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bookViews>
    <workbookView xWindow="0" yWindow="0" windowWidth="28800" windowHeight="1183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1" r:id="rId10"/>
    <sheet name="Oil Crops Chart Gallery Fig 2" sheetId="12" r:id="rId11"/>
  </sheets>
  <definedNames>
    <definedName name="_xlnm.Print_Area" localSheetId="1">'Table 1'!$A$1:$N$36</definedName>
    <definedName name="_xlnm.Print_Area" localSheetId="7">'Table 10'!$A$1:$G$37</definedName>
    <definedName name="_xlnm.Print_Area" localSheetId="2">'Table 2'!$A$1:$J$28</definedName>
    <definedName name="_xlnm.Print_Area" localSheetId="3">'Table 3'!$A$1:$M$29</definedName>
    <definedName name="_xlnm.Print_Area" localSheetId="5">'Table 8'!$A$1:$G$35</definedName>
    <definedName name="_xlnm.Print_Area" localSheetId="6">'Table 9'!$A$1:$I$37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D26" i="2" l="1"/>
  <c r="D27" i="9" l="1"/>
  <c r="J27" i="9"/>
  <c r="H26" i="2"/>
  <c r="L32" i="1"/>
  <c r="G32" i="1"/>
  <c r="J26" i="2" l="1"/>
  <c r="C26" i="2"/>
  <c r="L27" i="9"/>
  <c r="J32" i="1"/>
  <c r="B27" i="9" l="1"/>
  <c r="E27" i="9" s="1"/>
  <c r="K27" i="9" s="1"/>
  <c r="G27" i="9" s="1"/>
  <c r="B12" i="9"/>
  <c r="E26" i="2"/>
  <c r="I26" i="2" s="1"/>
  <c r="G26" i="2" s="1"/>
  <c r="B26" i="2"/>
  <c r="B11" i="2"/>
  <c r="L33" i="1"/>
  <c r="J33" i="1"/>
  <c r="G33" i="1"/>
  <c r="H33" i="1" s="1"/>
  <c r="F28" i="1"/>
  <c r="F33" i="1"/>
  <c r="H24" i="9" l="1"/>
  <c r="H8" i="9" s="1"/>
  <c r="J23" i="9"/>
  <c r="D23" i="9"/>
  <c r="D22" i="2"/>
  <c r="H22" i="2"/>
  <c r="G31" i="1"/>
  <c r="H31" i="1" s="1"/>
  <c r="L31" i="1"/>
  <c r="L23" i="9"/>
  <c r="J31" i="1"/>
  <c r="J22" i="2"/>
  <c r="J7" i="2" s="1"/>
  <c r="B8" i="2" s="1"/>
  <c r="E8" i="2" s="1"/>
  <c r="I8" i="2" s="1"/>
  <c r="G8" i="2" s="1"/>
  <c r="C22" i="2"/>
  <c r="L8" i="9"/>
  <c r="C24" i="9"/>
  <c r="C8" i="9"/>
  <c r="E31" i="1"/>
  <c r="J22" i="9"/>
  <c r="D22" i="9"/>
  <c r="E22" i="9" s="1"/>
  <c r="K22" i="9" s="1"/>
  <c r="G22" i="9" s="1"/>
  <c r="I22" i="9" s="1"/>
  <c r="H21" i="2"/>
  <c r="D21" i="2"/>
  <c r="L26" i="1"/>
  <c r="G26" i="1"/>
  <c r="L21" i="9"/>
  <c r="L22" i="9"/>
  <c r="B23" i="9" s="1"/>
  <c r="E23" i="9" s="1"/>
  <c r="K23" i="9" s="1"/>
  <c r="G23" i="9" s="1"/>
  <c r="I23" i="9" s="1"/>
  <c r="J21" i="2"/>
  <c r="B22" i="2" s="1"/>
  <c r="C21" i="2"/>
  <c r="J26" i="1"/>
  <c r="B22" i="9"/>
  <c r="N7" i="1"/>
  <c r="F15" i="1"/>
  <c r="H28" i="1" s="1"/>
  <c r="G27" i="1"/>
  <c r="H27" i="1" s="1"/>
  <c r="M27" i="1" s="1"/>
  <c r="E27" i="1"/>
  <c r="H20" i="2"/>
  <c r="D20" i="2"/>
  <c r="J21" i="9"/>
  <c r="D21" i="9"/>
  <c r="L25" i="1"/>
  <c r="G25" i="1"/>
  <c r="C20" i="2"/>
  <c r="J19" i="2"/>
  <c r="J20" i="2"/>
  <c r="B21" i="2" s="1"/>
  <c r="J25" i="1"/>
  <c r="B20" i="2"/>
  <c r="K47" i="3"/>
  <c r="M46" i="3"/>
  <c r="D8" i="1"/>
  <c r="D19" i="2"/>
  <c r="H19" i="2"/>
  <c r="L24" i="1"/>
  <c r="L27" i="1" s="1"/>
  <c r="G24" i="1"/>
  <c r="J20" i="9"/>
  <c r="D20" i="9"/>
  <c r="L20" i="9"/>
  <c r="B21" i="9" s="1"/>
  <c r="E21" i="9" s="1"/>
  <c r="K21" i="9" s="1"/>
  <c r="G21" i="9" s="1"/>
  <c r="I21" i="9" s="1"/>
  <c r="C19" i="2"/>
  <c r="J24" i="1"/>
  <c r="J27" i="1" s="1"/>
  <c r="J14" i="9"/>
  <c r="J13" i="9"/>
  <c r="J12" i="9"/>
  <c r="J24" i="9" s="1"/>
  <c r="J8" i="9" s="1"/>
  <c r="D14" i="9"/>
  <c r="D13" i="9"/>
  <c r="D12" i="9"/>
  <c r="D24" i="9" s="1"/>
  <c r="E12" i="9"/>
  <c r="K12" i="9" s="1"/>
  <c r="J19" i="9"/>
  <c r="D19" i="9"/>
  <c r="H18" i="2"/>
  <c r="H17" i="2"/>
  <c r="H16" i="2"/>
  <c r="H15" i="2"/>
  <c r="H14" i="2"/>
  <c r="H13" i="2"/>
  <c r="H12" i="2"/>
  <c r="H11" i="2"/>
  <c r="D17" i="2"/>
  <c r="D16" i="2"/>
  <c r="D15" i="2"/>
  <c r="D14" i="2"/>
  <c r="D13" i="2"/>
  <c r="D12" i="2"/>
  <c r="D11" i="2"/>
  <c r="E11" i="2" s="1"/>
  <c r="I11" i="2" s="1"/>
  <c r="D18" i="2"/>
  <c r="L22" i="1"/>
  <c r="L16" i="1"/>
  <c r="L14" i="1"/>
  <c r="L13" i="1"/>
  <c r="L12" i="1"/>
  <c r="L15" i="1"/>
  <c r="L28" i="1" s="1"/>
  <c r="L7" i="1" s="1"/>
  <c r="G16" i="1"/>
  <c r="G19" i="1"/>
  <c r="G14" i="1"/>
  <c r="G13" i="1"/>
  <c r="G12" i="1"/>
  <c r="G22" i="1"/>
  <c r="L19" i="9"/>
  <c r="B20" i="9" s="1"/>
  <c r="E20" i="9" s="1"/>
  <c r="K20" i="9" s="1"/>
  <c r="G20" i="9" s="1"/>
  <c r="I20" i="9" s="1"/>
  <c r="C18" i="2"/>
  <c r="J18" i="2"/>
  <c r="B19" i="2" s="1"/>
  <c r="E19" i="2" s="1"/>
  <c r="I19" i="2" s="1"/>
  <c r="G19" i="2" s="1"/>
  <c r="J22" i="1"/>
  <c r="E23" i="1"/>
  <c r="H23" i="1" s="1"/>
  <c r="M23" i="1" s="1"/>
  <c r="K23" i="1" s="1"/>
  <c r="D18" i="9"/>
  <c r="J18" i="9"/>
  <c r="G21" i="1"/>
  <c r="L21" i="1"/>
  <c r="L18" i="9"/>
  <c r="B19" i="9" s="1"/>
  <c r="E19" i="9" s="1"/>
  <c r="K19" i="9" s="1"/>
  <c r="G19" i="9" s="1"/>
  <c r="I19" i="9" s="1"/>
  <c r="J17" i="2"/>
  <c r="B18" i="2" s="1"/>
  <c r="C17" i="2"/>
  <c r="J21" i="1"/>
  <c r="D17" i="9"/>
  <c r="J17" i="9"/>
  <c r="G20" i="1"/>
  <c r="G23" i="1"/>
  <c r="L20" i="1"/>
  <c r="L23" i="1"/>
  <c r="E48" i="3"/>
  <c r="H48" i="3"/>
  <c r="N48" i="3" s="1"/>
  <c r="L48" i="3" s="1"/>
  <c r="D48" i="3"/>
  <c r="B35" i="3"/>
  <c r="E35" i="3" s="1"/>
  <c r="I35" i="3" s="1"/>
  <c r="G35" i="3" s="1"/>
  <c r="B22" i="3"/>
  <c r="E22" i="3"/>
  <c r="I22" i="3" s="1"/>
  <c r="G22" i="3" s="1"/>
  <c r="B9" i="3"/>
  <c r="E9" i="3"/>
  <c r="J9" i="3" s="1"/>
  <c r="I9" i="3" s="1"/>
  <c r="B9" i="9"/>
  <c r="E9" i="9"/>
  <c r="K9" i="9" s="1"/>
  <c r="G9" i="9" s="1"/>
  <c r="I9" i="9" s="1"/>
  <c r="E8" i="1"/>
  <c r="H8" i="1"/>
  <c r="M8" i="1" s="1"/>
  <c r="K8" i="1" s="1"/>
  <c r="J20" i="1"/>
  <c r="J23" i="1"/>
  <c r="L17" i="9"/>
  <c r="B18" i="9" s="1"/>
  <c r="E18" i="9" s="1"/>
  <c r="K18" i="9" s="1"/>
  <c r="G18" i="9" s="1"/>
  <c r="I18" i="9" s="1"/>
  <c r="J16" i="2"/>
  <c r="B17" i="2" s="1"/>
  <c r="C16" i="2"/>
  <c r="J16" i="9"/>
  <c r="D16" i="9"/>
  <c r="G18" i="1"/>
  <c r="L18" i="1"/>
  <c r="L19" i="1" s="1"/>
  <c r="L16" i="9"/>
  <c r="B17" i="9" s="1"/>
  <c r="E17" i="9" s="1"/>
  <c r="K17" i="9" s="1"/>
  <c r="G17" i="9" s="1"/>
  <c r="I17" i="9" s="1"/>
  <c r="L15" i="9"/>
  <c r="J15" i="2"/>
  <c r="B16" i="2" s="1"/>
  <c r="E16" i="2" s="1"/>
  <c r="J14" i="2"/>
  <c r="B15" i="2"/>
  <c r="C14" i="2"/>
  <c r="C15" i="2"/>
  <c r="J17" i="1"/>
  <c r="J18" i="1"/>
  <c r="B16" i="9"/>
  <c r="E16" i="9"/>
  <c r="K16" i="9" s="1"/>
  <c r="G16" i="9" s="1"/>
  <c r="I16" i="9" s="1"/>
  <c r="E19" i="1"/>
  <c r="H19" i="1" s="1"/>
  <c r="M19" i="1" s="1"/>
  <c r="K19" i="1" s="1"/>
  <c r="D15" i="9"/>
  <c r="J15" i="9"/>
  <c r="L17" i="1"/>
  <c r="G17" i="1"/>
  <c r="L14" i="9"/>
  <c r="L13" i="9"/>
  <c r="L12" i="9"/>
  <c r="B13" i="9"/>
  <c r="E13" i="9" s="1"/>
  <c r="K13" i="9" s="1"/>
  <c r="G13" i="9" s="1"/>
  <c r="I13" i="9" s="1"/>
  <c r="J13" i="2"/>
  <c r="B14" i="2" s="1"/>
  <c r="E14" i="2" s="1"/>
  <c r="I14" i="2" s="1"/>
  <c r="G14" i="2" s="1"/>
  <c r="J12" i="2"/>
  <c r="B13" i="2" s="1"/>
  <c r="E13" i="2" s="1"/>
  <c r="J11" i="2"/>
  <c r="B12" i="2" s="1"/>
  <c r="E12" i="2" s="1"/>
  <c r="I12" i="2" s="1"/>
  <c r="G12" i="2" s="1"/>
  <c r="C13" i="2"/>
  <c r="C12" i="2"/>
  <c r="C11" i="2"/>
  <c r="J16" i="1"/>
  <c r="J19" i="1" s="1"/>
  <c r="B15" i="9"/>
  <c r="E15" i="9" s="1"/>
  <c r="K15" i="9" s="1"/>
  <c r="G15" i="9" s="1"/>
  <c r="I15" i="9" s="1"/>
  <c r="B39" i="6"/>
  <c r="B38" i="5"/>
  <c r="B38" i="4"/>
  <c r="E47" i="3"/>
  <c r="H47" i="3"/>
  <c r="N47" i="3"/>
  <c r="L47" i="3"/>
  <c r="D47" i="3"/>
  <c r="K46" i="3"/>
  <c r="G46" i="3"/>
  <c r="H46" i="3"/>
  <c r="N46" i="3"/>
  <c r="L46" i="3"/>
  <c r="D46" i="3"/>
  <c r="B34" i="3"/>
  <c r="E34" i="3"/>
  <c r="I34" i="3" s="1"/>
  <c r="G34" i="3" s="1"/>
  <c r="E33" i="3"/>
  <c r="I33" i="3"/>
  <c r="G33" i="3"/>
  <c r="B21" i="3"/>
  <c r="E21" i="3"/>
  <c r="I21" i="3"/>
  <c r="G21" i="3"/>
  <c r="E20" i="3"/>
  <c r="I20" i="3"/>
  <c r="G20" i="3"/>
  <c r="B8" i="3"/>
  <c r="E8" i="3"/>
  <c r="J8" i="3"/>
  <c r="I8" i="3"/>
  <c r="E7" i="3"/>
  <c r="J7" i="3"/>
  <c r="I7" i="3"/>
  <c r="B30" i="9"/>
  <c r="B14" i="9"/>
  <c r="E14" i="9" s="1"/>
  <c r="K14" i="9" s="1"/>
  <c r="G14" i="9" s="1"/>
  <c r="I14" i="9" s="1"/>
  <c r="B29" i="2"/>
  <c r="B37" i="1"/>
  <c r="J14" i="1"/>
  <c r="J13" i="1"/>
  <c r="J12" i="1"/>
  <c r="J15" i="1" s="1"/>
  <c r="J28" i="1" s="1"/>
  <c r="J7" i="1" s="1"/>
  <c r="G15" i="1"/>
  <c r="H15" i="1" s="1"/>
  <c r="M15" i="1" s="1"/>
  <c r="F7" i="1"/>
  <c r="D7" i="1"/>
  <c r="B7" i="2"/>
  <c r="B8" i="9"/>
  <c r="E7" i="1"/>
  <c r="A5" i="10"/>
  <c r="D6" i="1"/>
  <c r="B52" i="3"/>
  <c r="E6" i="2"/>
  <c r="I6" i="2" s="1"/>
  <c r="G6" i="2" s="1"/>
  <c r="H6" i="1"/>
  <c r="M6" i="1" s="1"/>
  <c r="K6" i="1" s="1"/>
  <c r="E7" i="9"/>
  <c r="K7" i="9" s="1"/>
  <c r="G7" i="9" s="1"/>
  <c r="I7" i="9" s="1"/>
  <c r="G28" i="1"/>
  <c r="G7" i="1" s="1"/>
  <c r="H7" i="1" s="1"/>
  <c r="M7" i="1" s="1"/>
  <c r="D8" i="9" l="1"/>
  <c r="E8" i="9" s="1"/>
  <c r="K8" i="9" s="1"/>
  <c r="G8" i="9" s="1"/>
  <c r="I8" i="9" s="1"/>
  <c r="E24" i="9"/>
  <c r="G12" i="9"/>
  <c r="K24" i="9"/>
  <c r="I16" i="2"/>
  <c r="G16" i="2" s="1"/>
  <c r="E17" i="2"/>
  <c r="I17" i="2" s="1"/>
  <c r="G17" i="2" s="1"/>
  <c r="I13" i="2"/>
  <c r="G13" i="2" s="1"/>
  <c r="D23" i="2"/>
  <c r="D7" i="2" s="1"/>
  <c r="H23" i="2"/>
  <c r="H7" i="2" s="1"/>
  <c r="E22" i="2"/>
  <c r="I22" i="2" s="1"/>
  <c r="G22" i="2" s="1"/>
  <c r="C23" i="2"/>
  <c r="C7" i="2" s="1"/>
  <c r="E7" i="2" s="1"/>
  <c r="I7" i="2" s="1"/>
  <c r="G7" i="2" s="1"/>
  <c r="E15" i="2"/>
  <c r="I15" i="2" s="1"/>
  <c r="G15" i="2" s="1"/>
  <c r="E18" i="2"/>
  <c r="I18" i="2" s="1"/>
  <c r="G18" i="2" s="1"/>
  <c r="E20" i="2"/>
  <c r="I20" i="2" s="1"/>
  <c r="G20" i="2" s="1"/>
  <c r="E21" i="2"/>
  <c r="I21" i="2" s="1"/>
  <c r="G21" i="2" s="1"/>
  <c r="G11" i="2"/>
  <c r="K7" i="1"/>
  <c r="M28" i="1"/>
  <c r="K15" i="1"/>
  <c r="K27" i="1"/>
  <c r="I12" i="9" l="1"/>
  <c r="I24" i="9" s="1"/>
  <c r="G24" i="9"/>
  <c r="E23" i="2"/>
  <c r="I23" i="2"/>
  <c r="G23" i="2"/>
  <c r="K28" i="1"/>
</calcChain>
</file>

<file path=xl/sharedStrings.xml><?xml version="1.0" encoding="utf-8"?>
<sst xmlns="http://schemas.openxmlformats.org/spreadsheetml/2006/main" count="471" uniqueCount="201">
  <si>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</si>
  <si>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</si>
  <si>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</si>
  <si>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</si>
  <si>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</si>
  <si>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</si>
  <si>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</si>
  <si>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</si>
  <si>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</si>
  <si>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</si>
  <si>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</si>
  <si>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</si>
  <si>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</si>
  <si>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</si>
  <si>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</si>
  <si>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</si>
  <si>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</si>
  <si>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</si>
  <si>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</si>
  <si>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</si>
  <si>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</si>
  <si>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</si>
  <si>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</si>
  <si>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</si>
  <si>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</si>
  <si>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</si>
  <si>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</si>
  <si>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</si>
  <si>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</si>
  <si>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</si>
  <si>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</si>
  <si>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</si>
  <si>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</si>
  <si>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</si>
  <si>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</si>
  <si>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</si>
  <si>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</si>
  <si>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</si>
  <si>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</si>
  <si>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</si>
  <si>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</si>
  <si>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</si>
  <si>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</si>
  <si>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</si>
  <si>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</si>
  <si>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</si>
  <si>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</si>
  <si>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</si>
  <si>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</si>
  <si>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</si>
  <si>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</si>
  <si>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</si>
  <si>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</si>
  <si>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</si>
  <si>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</si>
  <si>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</si>
  <si>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</si>
  <si>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</si>
  <si>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</si>
  <si>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</si>
  <si>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</si>
  <si>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</si>
  <si>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</si>
  <si>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</si>
  <si>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</si>
  <si>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</si>
  <si>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</si>
  <si>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</si>
  <si>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</si>
  <si>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</si>
  <si>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</si>
  <si>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</si>
  <si>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</si>
  <si>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</si>
  <si>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</si>
  <si>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</si>
  <si>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</si>
  <si>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</si>
  <si>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</si>
  <si>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</si>
  <si>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</si>
  <si>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</si>
  <si>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</si>
  <si>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</si>
  <si>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</si>
  <si>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</si>
  <si>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</si>
  <si>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</si>
  <si>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</si>
  <si>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</si>
  <si>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</si>
  <si>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</si>
  <si>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</si>
  <si>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</si>
  <si>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</si>
  <si>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</si>
  <si>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</si>
  <si>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</si>
  <si>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</si>
  <si>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</si>
  <si>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</si>
  <si>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</si>
  <si>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</si>
  <si>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</si>
  <si>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</si>
  <si>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</si>
  <si>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</si>
  <si>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</si>
  <si>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</si>
  <si>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</si>
  <si>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</si>
  <si>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</si>
  <si>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</si>
  <si>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</si>
  <si>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</si>
  <si>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</si>
  <si>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</si>
  <si>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</si>
  <si>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</si>
  <si>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</si>
  <si>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</si>
  <si>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</si>
  <si>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</si>
  <si>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</si>
  <si>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</si>
  <si>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</si>
  <si>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</si>
  <si>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</si>
  <si>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</si>
  <si>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</si>
  <si>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</si>
  <si>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</si>
  <si>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</si>
  <si>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</si>
  <si>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</si>
  <si>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</si>
  <si>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</si>
  <si>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</si>
  <si>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</si>
  <si>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</si>
  <si>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</si>
  <si>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</si>
  <si>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</si>
  <si>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</si>
  <si>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</si>
  <si>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</si>
  <si>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</si>
  <si>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</si>
  <si>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</si>
  <si>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</si>
  <si>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</si>
  <si>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</si>
  <si>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</si>
  <si>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</si>
  <si>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</si>
  <si>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</si>
  <si>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</si>
  <si>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</si>
  <si>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</si>
  <si>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</si>
  <si>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</si>
  <si>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</si>
  <si>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</si>
  <si>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</si>
  <si>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</si>
  <si>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</si>
  <si>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</si>
  <si>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</si>
  <si>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</si>
  <si>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28.0-32.0</t>
  </si>
  <si>
    <t>31.0-35.0</t>
  </si>
  <si>
    <t>290-330</t>
  </si>
  <si>
    <t>195-235</t>
  </si>
  <si>
    <t>2018/19</t>
  </si>
  <si>
    <t>Total to date</t>
  </si>
  <si>
    <t>Million short tons</t>
  </si>
  <si>
    <t>Feed &amp; other</t>
  </si>
  <si>
    <t>palm oil price</t>
  </si>
  <si>
    <t>$/MT</t>
  </si>
  <si>
    <t>FOB Malaysia</t>
  </si>
  <si>
    <t>U.S.</t>
  </si>
  <si>
    <t>Brazil</t>
  </si>
  <si>
    <t>Million metric tons</t>
  </si>
  <si>
    <t>Soybean</t>
  </si>
  <si>
    <t>exports</t>
  </si>
  <si>
    <t>121-161</t>
  </si>
  <si>
    <t>20.25-22.75</t>
  </si>
  <si>
    <t>15.65-18.15</t>
  </si>
  <si>
    <t>15.10-17.60</t>
  </si>
  <si>
    <t>53.0-57.0</t>
  </si>
  <si>
    <t>145-185</t>
  </si>
  <si>
    <t>255-295</t>
  </si>
  <si>
    <t>38.0-42.0</t>
  </si>
  <si>
    <t>220-260</t>
  </si>
  <si>
    <t>26.5-30.5</t>
  </si>
  <si>
    <t>32.0-36.0</t>
  </si>
  <si>
    <t>30.5-34.5</t>
  </si>
  <si>
    <t>65.5-69.5</t>
  </si>
  <si>
    <t>7.85-9.35</t>
  </si>
  <si>
    <t>8.75-10.25</t>
  </si>
  <si>
    <t>Refined, bleached, deodorized palm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</si>
</sst>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"/>
    <numFmt numFmtId="168" formatCode="#,##0.0_);\(#,##0.0\)"/>
    <numFmt numFmtId="169" formatCode="0.000"/>
    <numFmt numFmtId="170" formatCode="#,##0.0"/>
    <numFmt numFmtId="171" formatCode="[$-409]mmm\-yy;@"/>
    <numFmt numFmtId="172" formatCode="mmm\-yyyy"/>
    <numFmt numFmtId="173" formatCode="0.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6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172" fontId="0" fillId="0" borderId="0" xfId="0" applyNumberFormat="1" applyProtection="1"/>
    <xf numFmtId="165" fontId="0" fillId="0" borderId="0" xfId="1" applyNumberFormat="1" applyFont="1"/>
    <xf numFmtId="171" fontId="2" fillId="0" borderId="0" xfId="0" quotePrefix="1" applyNumberFormat="1" applyFont="1"/>
    <xf numFmtId="168" fontId="0" fillId="0" borderId="0" xfId="1" applyNumberFormat="1" applyFont="1"/>
    <xf numFmtId="170" fontId="5" fillId="0" borderId="0" xfId="1" applyNumberFormat="1" applyFont="1" applyBorder="1" applyAlignment="1">
      <alignment horizontal="center"/>
    </xf>
    <xf numFmtId="164" fontId="0" fillId="0" borderId="0" xfId="1" applyNumberFormat="1" applyFont="1"/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0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6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70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170" fontId="13" fillId="0" borderId="1" xfId="1" applyNumberFormat="1" applyFont="1" applyBorder="1" applyAlignment="1">
      <alignment horizontal="right" indent="1"/>
    </xf>
    <xf numFmtId="170" fontId="13" fillId="0" borderId="1" xfId="1" applyNumberFormat="1" applyFont="1" applyBorder="1" applyAlignment="1">
      <alignment horizontal="right"/>
    </xf>
    <xf numFmtId="170" fontId="13" fillId="0" borderId="1" xfId="1" quotePrefix="1" applyNumberFormat="1" applyFont="1" applyBorder="1" applyAlignment="1">
      <alignment horizontal="right"/>
    </xf>
    <xf numFmtId="170" fontId="13" fillId="0" borderId="1" xfId="1" applyNumberFormat="1" applyFont="1" applyFill="1" applyBorder="1" applyAlignment="1">
      <alignment horizontal="right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0" xfId="1" applyNumberFormat="1" applyFont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3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7" fontId="13" fillId="0" borderId="0" xfId="0" applyNumberFormat="1" applyFont="1"/>
    <xf numFmtId="2" fontId="13" fillId="0" borderId="0" xfId="0" applyNumberFormat="1" applyFont="1"/>
    <xf numFmtId="3" fontId="5" fillId="0" borderId="0" xfId="0" applyNumberFormat="1" applyFont="1" applyBorder="1" applyAlignme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/>
    <xf numFmtId="2" fontId="5" fillId="0" borderId="0" xfId="10" quotePrefix="1" applyNumberFormat="1" applyFont="1"/>
    <xf numFmtId="2" fontId="2" fillId="0" borderId="0" xfId="10" applyNumberFormat="1" applyFont="1"/>
    <xf numFmtId="0" fontId="2" fillId="0" borderId="0" xfId="10" applyFont="1" applyBorder="1"/>
    <xf numFmtId="0" fontId="5" fillId="0" borderId="0" xfId="10" applyFont="1" applyBorder="1"/>
    <xf numFmtId="166" fontId="2" fillId="0" borderId="0" xfId="10" applyNumberFormat="1" applyBorder="1" applyAlignment="1">
      <alignment wrapText="1"/>
    </xf>
    <xf numFmtId="1" fontId="2" fillId="0" borderId="0" xfId="0" applyNumberFormat="1" applyFont="1"/>
    <xf numFmtId="14" fontId="0" fillId="0" borderId="0" xfId="0" applyNumberFormat="1"/>
    <xf numFmtId="169" fontId="0" fillId="0" borderId="0" xfId="12" applyNumberFormat="1" applyFont="1"/>
    <xf numFmtId="166" fontId="0" fillId="0" borderId="0" xfId="12" applyNumberFormat="1" applyFont="1"/>
    <xf numFmtId="0" fontId="2" fillId="0" borderId="0" xfId="0" quotePrefix="1" applyFont="1"/>
    <xf numFmtId="0" fontId="1" fillId="0" borderId="0" xfId="0" applyFont="1"/>
    <xf numFmtId="171" fontId="1" fillId="0" borderId="0" xfId="0" quotePrefix="1" applyNumberFormat="1" applyFont="1"/>
    <xf numFmtId="3" fontId="0" fillId="0" borderId="0" xfId="12" applyNumberFormat="1" applyFont="1"/>
    <xf numFmtId="17" fontId="13" fillId="0" borderId="0" xfId="0" applyNumberFormat="1" applyFont="1"/>
    <xf numFmtId="43" fontId="0" fillId="0" borderId="0" xfId="1" applyNumberFormat="1" applyFont="1"/>
    <xf numFmtId="17" fontId="2" fillId="0" borderId="0" xfId="0" quotePrefix="1" applyNumberFormat="1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 soybean exports benefit from the lack </a:t>
            </a:r>
            <a:r>
              <a:rPr lang="en-US" baseline="0"/>
              <a:t>of a U.S. seasonal expansion</a:t>
            </a:r>
            <a:endParaRPr lang="en-US"/>
          </a:p>
        </c:rich>
      </c:tx>
      <c:layout>
        <c:manualLayout>
          <c:xMode val="edge"/>
          <c:yMode val="edge"/>
          <c:x val="3.9951743378178958E-2"/>
          <c:y val="3.80110152134873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Cover!$B$2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Cover!$A$4:$A$29</c:f>
              <c:numCache>
                <c:formatCode>mmm\-yy</c:formatCode>
                <c:ptCount val="2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</c:numCache>
            </c:numRef>
          </c:cat>
          <c:val>
            <c:numRef>
              <c:f>Cover!$B$4:$B$29</c:f>
              <c:numCache>
                <c:formatCode>_(* #,##0_);_(* \(#,##0\);_(* "-"??_);_(@_)</c:formatCode>
                <c:ptCount val="26"/>
                <c:pt idx="0">
                  <c:v>11.313574300000001</c:v>
                </c:pt>
                <c:pt idx="1">
                  <c:v>10.298568</c:v>
                </c:pt>
                <c:pt idx="2">
                  <c:v>7.9201182000000001</c:v>
                </c:pt>
                <c:pt idx="3">
                  <c:v>7.4229987999999993</c:v>
                </c:pt>
                <c:pt idx="4">
                  <c:v>4.4160457000000006</c:v>
                </c:pt>
                <c:pt idx="5">
                  <c:v>3.1206011000000005</c:v>
                </c:pt>
                <c:pt idx="6">
                  <c:v>2.4325142</c:v>
                </c:pt>
                <c:pt idx="7">
                  <c:v>1.4499701</c:v>
                </c:pt>
                <c:pt idx="8">
                  <c:v>1.7954512999999999</c:v>
                </c:pt>
                <c:pt idx="9" formatCode="_(* #,##0.0_);_(* \(#,##0.0\);_(* &quot;-&quot;??_);_(@_)">
                  <c:v>2.2629627000000001</c:v>
                </c:pt>
                <c:pt idx="10" formatCode="_(* #,##0.0_);_(* \(#,##0.0\);_(* &quot;-&quot;??_);_(@_)">
                  <c:v>3.0762605999999999</c:v>
                </c:pt>
                <c:pt idx="11" formatCode="_(* #,##0.0_);_(* \(#,##0.0\);_(* &quot;-&quot;??_);_(@_)">
                  <c:v>4.4654433999999998</c:v>
                </c:pt>
                <c:pt idx="12" formatCode="_(* #,##0.0_);_(* \(#,##0.0\);_(* &quot;-&quot;??_);_(@_)">
                  <c:v>9.6454791000000011</c:v>
                </c:pt>
                <c:pt idx="13" formatCode="_(* #,##0.0_);_(* \(#,##0.0\);_(* &quot;-&quot;??_);_(@_)">
                  <c:v>9.1891700000000007</c:v>
                </c:pt>
                <c:pt idx="14" formatCode="_(* #,##0.0_);_(* \(#,##0.0\);_(* &quot;-&quot;??_);_(@_)">
                  <c:v>6.2222410999999989</c:v>
                </c:pt>
                <c:pt idx="15" formatCode="_(* #,##0.0_);_(* \(#,##0.0\);_(* &quot;-&quot;??_);_(@_)">
                  <c:v>5.7628567999999998</c:v>
                </c:pt>
                <c:pt idx="16" formatCode="_(* #,##0.0_);_(* \(#,##0.0\);_(* &quot;-&quot;??_);_(@_)">
                  <c:v>4.2128249999999996</c:v>
                </c:pt>
                <c:pt idx="17" formatCode="_(* #,##0.0_);_(* \(#,##0.0\);_(* &quot;-&quot;??_);_(@_)">
                  <c:v>3.2385679000000001</c:v>
                </c:pt>
                <c:pt idx="18" formatCode="_(* #,##0.0_);_(* \(#,##0.0\);_(* &quot;-&quot;??_);_(@_)">
                  <c:v>2.1673659999999999</c:v>
                </c:pt>
                <c:pt idx="19" formatCode="_(* #,##0.00_);_(* \(#,##0.00\);_(* &quot;-&quot;??_);_(@_)">
                  <c:v>2.9907947999999998</c:v>
                </c:pt>
                <c:pt idx="20" formatCode="_(* #,##0.00_);_(* \(#,##0.00\);_(* &quot;-&quot;??_);_(@_)">
                  <c:v>3.2557830999999999</c:v>
                </c:pt>
                <c:pt idx="21" formatCode="_(* #,##0.00_);_(* \(#,##0.00\);_(* &quot;-&quot;??_);_(@_)">
                  <c:v>3.4266052</c:v>
                </c:pt>
                <c:pt idx="22" formatCode="_(* #,##0.00_);_(* \(#,##0.00\);_(* &quot;-&quot;??_);_(@_)">
                  <c:v>3.3675098999999999</c:v>
                </c:pt>
                <c:pt idx="23" formatCode="_(* #,##0.00_);_(* \(#,##0.00\);_(* &quot;-&quot;??_);_(@_)">
                  <c:v>3.2373094</c:v>
                </c:pt>
                <c:pt idx="24" formatCode="_(* #,##0.00_);_(* \(#,##0.00\);_(* &quot;-&quot;??_);_(@_)">
                  <c:v>5.5801458820000001</c:v>
                </c:pt>
                <c:pt idx="25" formatCode="_(* #,##0.00_);_(* \(#,##0.00\);_(* &quot;-&quot;??_);_(@_)">
                  <c:v>4.5283600000000002</c:v>
                </c:pt>
              </c:numCache>
            </c:numRef>
          </c:val>
        </c:ser>
        <c:ser>
          <c:idx val="0"/>
          <c:order val="1"/>
          <c:tx>
            <c:strRef>
              <c:f>Cover!$C$2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Cover!$A$4:$A$29</c:f>
              <c:numCache>
                <c:formatCode>mmm\-yy</c:formatCode>
                <c:ptCount val="2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</c:numCache>
            </c:numRef>
          </c:cat>
          <c:val>
            <c:numRef>
              <c:f>Cover!$C$4:$C$29</c:f>
              <c:numCache>
                <c:formatCode>_(* #,##0_);_(* \(#,##0\);_(* "-"??_);_(@_)</c:formatCode>
                <c:ptCount val="26"/>
                <c:pt idx="0">
                  <c:v>0.99819153500000002</c:v>
                </c:pt>
                <c:pt idx="1">
                  <c:v>0.31609430500000002</c:v>
                </c:pt>
                <c:pt idx="2">
                  <c:v>0.65309839299999994</c:v>
                </c:pt>
                <c:pt idx="3">
                  <c:v>0.91182694900000005</c:v>
                </c:pt>
                <c:pt idx="4">
                  <c:v>3.5094472720000001</c:v>
                </c:pt>
                <c:pt idx="5">
                  <c:v>8.9791274420000011</c:v>
                </c:pt>
                <c:pt idx="6">
                  <c:v>10.432129072</c:v>
                </c:pt>
                <c:pt idx="7">
                  <c:v>10.959858431000001</c:v>
                </c:pt>
                <c:pt idx="8" formatCode="_(* #,##0.0_);_(* \(#,##0.0\);_(* &quot;-&quot;??_);_(@_)">
                  <c:v>9.1970208000000007</c:v>
                </c:pt>
                <c:pt idx="9" formatCode="_(* #,##0.0_);_(* \(#,##0.0\);_(* &quot;-&quot;??_);_(@_)">
                  <c:v>6.9552204370000004</c:v>
                </c:pt>
                <c:pt idx="10" formatCode="_(* #,##0.0_);_(* \(#,##0.0\);_(* &quot;-&quot;??_);_(@_)">
                  <c:v>5.9524113060000001</c:v>
                </c:pt>
                <c:pt idx="11" formatCode="_(* #,##0.0_);_(* \(#,##0.0\);_(* &quot;-&quot;??_);_(@_)">
                  <c:v>4.2724629279999995</c:v>
                </c:pt>
                <c:pt idx="12" formatCode="_(* #,##0.0_);_(* \(#,##0.0\);_(* &quot;-&quot;??_);_(@_)">
                  <c:v>2.4869381260000001</c:v>
                </c:pt>
                <c:pt idx="13" formatCode="_(* #,##0.0_);_(* \(#,##0.0\);_(* &quot;-&quot;??_);_(@_)">
                  <c:v>2.1427293779999999</c:v>
                </c:pt>
                <c:pt idx="14" formatCode="_(* #,##0.0_);_(* \(#,##0.0\);_(* &quot;-&quot;??_);_(@_)">
                  <c:v>2.3556365709999998</c:v>
                </c:pt>
                <c:pt idx="15" formatCode="_(* #,##0.0_);_(* \(#,##0.0\);_(* &quot;-&quot;??_);_(@_)">
                  <c:v>1.563589001</c:v>
                </c:pt>
                <c:pt idx="16" formatCode="_(* #,##0.0_);_(* \(#,##0.0\);_(* &quot;-&quot;??_);_(@_)">
                  <c:v>2.8642527229999999</c:v>
                </c:pt>
                <c:pt idx="17" formatCode="_(* #,##0.0_);_(* \(#,##0.0\);_(* &quot;-&quot;??_);_(@_)">
                  <c:v>8.8137597729999992</c:v>
                </c:pt>
                <c:pt idx="18" formatCode="_(* #,##0.0_);_(* \(#,##0.0\);_(* &quot;-&quot;??_);_(@_)">
                  <c:v>10.258699613999999</c:v>
                </c:pt>
                <c:pt idx="19" formatCode="_(* #,##0.00_);_(* \(#,##0.00\);_(* &quot;-&quot;??_);_(@_)">
                  <c:v>12.353479438000001</c:v>
                </c:pt>
                <c:pt idx="20" formatCode="_(* #,##0.00_);_(* \(#,##0.00\);_(* &quot;-&quot;??_);_(@_)">
                  <c:v>10.420130276</c:v>
                </c:pt>
                <c:pt idx="21" formatCode="_(* #,##0.00_);_(* \(#,##0.00\);_(* &quot;-&quot;??_);_(@_)">
                  <c:v>10.198036004</c:v>
                </c:pt>
                <c:pt idx="22" formatCode="_(* #,##0.00_);_(* \(#,##0.00\);_(* &quot;-&quot;??_);_(@_)">
                  <c:v>8.1252288230000005</c:v>
                </c:pt>
                <c:pt idx="23" formatCode="_(* #,##0.00_);_(* \(#,##0.00\);_(* &quot;-&quot;??_);_(@_)">
                  <c:v>4.6108046680000001</c:v>
                </c:pt>
                <c:pt idx="24" formatCode="_(* #,##0.00_);_(* \(#,##0.00\);_(* &quot;-&quot;??_);_(@_)">
                  <c:v>5.3533869709999999</c:v>
                </c:pt>
                <c:pt idx="25" formatCode="_(* #,##0.00_);_(* \(#,##0.00\);_(* &quot;-&quot;??_);_(@_)">
                  <c:v>5.0715680329999993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18040"/>
        <c:axId val="237618432"/>
      </c:barChart>
      <c:dateAx>
        <c:axId val="23761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Sources: USDA, Foreign Agricultural Statistics Service,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Global Agricultural Trade System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and Brazil customs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 </a:t>
                </a:r>
              </a:p>
            </c:rich>
          </c:tx>
          <c:layout>
            <c:manualLayout>
              <c:xMode val="edge"/>
              <c:yMode val="edge"/>
              <c:x val="4.1945775929855551E-2"/>
              <c:y val="0.9229023946377412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18432"/>
        <c:crosses val="autoZero"/>
        <c:auto val="1"/>
        <c:lblOffset val="100"/>
        <c:baseTimeUnit val="months"/>
      </c:dateAx>
      <c:valAx>
        <c:axId val="237618432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3498605082025479E-2"/>
              <c:y val="0.12330720673645772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18040"/>
        <c:crosses val="autoZero"/>
        <c:crossBetween val="between"/>
        <c:majorUnit val="5"/>
        <c:minorUnit val="1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653367371486225"/>
          <c:y val="0.20278563577722122"/>
          <c:w val="0.12777250831941894"/>
          <c:h val="4.76914187984603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Decline in cottonseed supplie</a:t>
            </a:r>
            <a:r>
              <a:rPr lang="en-US" baseline="0"/>
              <a:t>s likely to temper use </a:t>
            </a:r>
            <a:endParaRPr lang="en-US"/>
          </a:p>
        </c:rich>
      </c:tx>
      <c:layout>
        <c:manualLayout>
          <c:xMode val="edge"/>
          <c:yMode val="edge"/>
          <c:x val="2.4326560361638695E-2"/>
          <c:y val="4.05219469517529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1'!$B$4:$B$12</c:f>
              <c:numCache>
                <c:formatCode>0.0</c:formatCode>
                <c:ptCount val="9"/>
                <c:pt idx="0">
                  <c:v>6096.1</c:v>
                </c:pt>
                <c:pt idx="1">
                  <c:v>5370</c:v>
                </c:pt>
                <c:pt idx="2">
                  <c:v>5666</c:v>
                </c:pt>
                <c:pt idx="3">
                  <c:v>4203</c:v>
                </c:pt>
                <c:pt idx="4">
                  <c:v>5125</c:v>
                </c:pt>
                <c:pt idx="5">
                  <c:v>4043</c:v>
                </c:pt>
                <c:pt idx="6">
                  <c:v>5369</c:v>
                </c:pt>
                <c:pt idx="7">
                  <c:v>6422</c:v>
                </c:pt>
                <c:pt idx="8">
                  <c:v>5858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21176"/>
        <c:axId val="237619216"/>
      </c:barChart>
      <c:lineChart>
        <c:grouping val="standard"/>
        <c:varyColors val="0"/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Crush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1'!$C$4:$C$12</c:f>
              <c:numCache>
                <c:formatCode>0.0</c:formatCode>
                <c:ptCount val="9"/>
                <c:pt idx="0">
                  <c:v>2562.5510700000004</c:v>
                </c:pt>
                <c:pt idx="1">
                  <c:v>2400</c:v>
                </c:pt>
                <c:pt idx="2">
                  <c:v>2500</c:v>
                </c:pt>
                <c:pt idx="3">
                  <c:v>2000</c:v>
                </c:pt>
                <c:pt idx="4">
                  <c:v>1900</c:v>
                </c:pt>
                <c:pt idx="5">
                  <c:v>1500.181</c:v>
                </c:pt>
                <c:pt idx="6">
                  <c:v>1769.4399999999998</c:v>
                </c:pt>
                <c:pt idx="7">
                  <c:v>1853.576</c:v>
                </c:pt>
                <c:pt idx="8">
                  <c:v>1800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Feed &amp; other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1'!$D$4:$D$12</c:f>
              <c:numCache>
                <c:formatCode>0.0</c:formatCode>
                <c:ptCount val="9"/>
                <c:pt idx="0">
                  <c:v>2982.7006398487019</c:v>
                </c:pt>
                <c:pt idx="1">
                  <c:v>3120.1660962219903</c:v>
                </c:pt>
                <c:pt idx="2">
                  <c:v>3004.1252187691671</c:v>
                </c:pt>
                <c:pt idx="3">
                  <c:v>2141.6738024460892</c:v>
                </c:pt>
                <c:pt idx="4">
                  <c:v>3044.8538978358692</c:v>
                </c:pt>
                <c:pt idx="5">
                  <c:v>2469.0775520124048</c:v>
                </c:pt>
                <c:pt idx="6">
                  <c:v>3299.9844832140616</c:v>
                </c:pt>
                <c:pt idx="7">
                  <c:v>4040.0387247054159</c:v>
                </c:pt>
                <c:pt idx="8">
                  <c:v>3683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1'!$E$2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'Oil Crops Chart Gallery Fig 1'!$E$4:$E$12</c:f>
              <c:numCache>
                <c:formatCode>0.0</c:formatCode>
                <c:ptCount val="9"/>
                <c:pt idx="0">
                  <c:v>275.15730984531302</c:v>
                </c:pt>
                <c:pt idx="1">
                  <c:v>132.68900780534699</c:v>
                </c:pt>
                <c:pt idx="2">
                  <c:v>191.37798110346301</c:v>
                </c:pt>
                <c:pt idx="3">
                  <c:v>218.92546272334502</c:v>
                </c:pt>
                <c:pt idx="4">
                  <c:v>228.13998571249201</c:v>
                </c:pt>
                <c:pt idx="5">
                  <c:v>136.11302056359</c:v>
                </c:pt>
                <c:pt idx="6">
                  <c:v>341.65464751467005</c:v>
                </c:pt>
                <c:pt idx="7">
                  <c:v>478.38527529458401</c:v>
                </c:pt>
                <c:pt idx="8">
                  <c:v>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21176"/>
        <c:axId val="237619216"/>
      </c:lineChart>
      <c:catAx>
        <c:axId val="237621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Sources:  USDA, National Agricultural Service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Crop Production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and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Oilseed Crushings, Production, Consumption, and Stocks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and Foreign Agricultural Service, Global Agricultural Trade System.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01518587875E-2"/>
              <c:y val="0.9288620020058469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19216"/>
        <c:crosses val="autoZero"/>
        <c:auto val="1"/>
        <c:lblAlgn val="ctr"/>
        <c:lblOffset val="100"/>
        <c:noMultiLvlLbl val="0"/>
      </c:catAx>
      <c:valAx>
        <c:axId val="237619216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short tons</a:t>
                </a:r>
              </a:p>
            </c:rich>
          </c:tx>
          <c:layout>
            <c:manualLayout>
              <c:xMode val="edge"/>
              <c:yMode val="edge"/>
              <c:x val="2.6313867339699232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21176"/>
        <c:crosses val="autoZero"/>
        <c:crossBetween val="between"/>
        <c:majorUnit val="1000"/>
        <c:minorUnit val="250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754502068334515"/>
          <c:y val="0.20596205962059622"/>
          <c:w val="0.54115353749171313"/>
          <c:h val="4.023195271322792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High global stocks pressure palm oil prices toward a</a:t>
            </a:r>
            <a:r>
              <a:rPr lang="en-US" baseline="0"/>
              <a:t> </a:t>
            </a:r>
            <a:r>
              <a:rPr lang="en-US"/>
              <a:t>decade-low level </a:t>
            </a:r>
          </a:p>
        </c:rich>
      </c:tx>
      <c:layout>
        <c:manualLayout>
          <c:xMode val="edge"/>
          <c:yMode val="edge"/>
          <c:x val="4.5455290691403298E-2"/>
          <c:y val="3.8011028437959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2'!$B$2:$B$3</c:f>
              <c:strCache>
                <c:ptCount val="2"/>
                <c:pt idx="0">
                  <c:v>Refined, bleached, deodorized palm oil</c:v>
                </c:pt>
                <c:pt idx="1">
                  <c:v>FOB Malaysia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'Oil Crops Chart Gallery Fig 2'!$A$5:$A$135</c:f>
              <c:numCache>
                <c:formatCode>mmm\-yy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</c:numCache>
            </c:numRef>
          </c:cat>
          <c:val>
            <c:numRef>
              <c:f>'Oil Crops Chart Gallery Fig 2'!$B$5:$B$135</c:f>
              <c:numCache>
                <c:formatCode>#,##0</c:formatCode>
                <c:ptCount val="131"/>
                <c:pt idx="0">
                  <c:v>1053</c:v>
                </c:pt>
                <c:pt idx="1">
                  <c:v>1192</c:v>
                </c:pt>
                <c:pt idx="2">
                  <c:v>1291</c:v>
                </c:pt>
                <c:pt idx="3">
                  <c:v>1247</c:v>
                </c:pt>
                <c:pt idx="4">
                  <c:v>1250</c:v>
                </c:pt>
                <c:pt idx="5">
                  <c:v>1199</c:v>
                </c:pt>
                <c:pt idx="6">
                  <c:v>1115</c:v>
                </c:pt>
                <c:pt idx="7">
                  <c:v>879</c:v>
                </c:pt>
                <c:pt idx="8">
                  <c:v>743</c:v>
                </c:pt>
                <c:pt idx="9">
                  <c:v>564</c:v>
                </c:pt>
                <c:pt idx="10">
                  <c:v>489</c:v>
                </c:pt>
                <c:pt idx="11">
                  <c:v>511</c:v>
                </c:pt>
                <c:pt idx="12">
                  <c:v>566</c:v>
                </c:pt>
                <c:pt idx="13">
                  <c:v>577</c:v>
                </c:pt>
                <c:pt idx="14">
                  <c:v>595</c:v>
                </c:pt>
                <c:pt idx="15">
                  <c:v>716</c:v>
                </c:pt>
                <c:pt idx="16">
                  <c:v>799</c:v>
                </c:pt>
                <c:pt idx="17">
                  <c:v>732</c:v>
                </c:pt>
                <c:pt idx="18">
                  <c:v>647</c:v>
                </c:pt>
                <c:pt idx="19">
                  <c:v>719</c:v>
                </c:pt>
                <c:pt idx="20">
                  <c:v>675</c:v>
                </c:pt>
                <c:pt idx="21">
                  <c:v>663</c:v>
                </c:pt>
                <c:pt idx="22">
                  <c:v>703</c:v>
                </c:pt>
                <c:pt idx="23">
                  <c:v>766</c:v>
                </c:pt>
                <c:pt idx="24">
                  <c:v>774</c:v>
                </c:pt>
                <c:pt idx="25">
                  <c:v>778</c:v>
                </c:pt>
                <c:pt idx="26">
                  <c:v>809</c:v>
                </c:pt>
                <c:pt idx="27">
                  <c:v>811</c:v>
                </c:pt>
                <c:pt idx="28">
                  <c:v>798</c:v>
                </c:pt>
                <c:pt idx="29">
                  <c:v>787</c:v>
                </c:pt>
                <c:pt idx="30">
                  <c:v>801</c:v>
                </c:pt>
                <c:pt idx="31">
                  <c:v>915</c:v>
                </c:pt>
                <c:pt idx="32">
                  <c:v>906</c:v>
                </c:pt>
                <c:pt idx="33">
                  <c:v>997</c:v>
                </c:pt>
                <c:pt idx="34">
                  <c:v>1107</c:v>
                </c:pt>
                <c:pt idx="35">
                  <c:v>1196</c:v>
                </c:pt>
                <c:pt idx="36">
                  <c:v>1256</c:v>
                </c:pt>
                <c:pt idx="37">
                  <c:v>1282</c:v>
                </c:pt>
                <c:pt idx="38">
                  <c:v>1196</c:v>
                </c:pt>
                <c:pt idx="39">
                  <c:v>1167</c:v>
                </c:pt>
                <c:pt idx="40">
                  <c:v>1199</c:v>
                </c:pt>
                <c:pt idx="41">
                  <c:v>1123</c:v>
                </c:pt>
                <c:pt idx="42">
                  <c:v>1123</c:v>
                </c:pt>
                <c:pt idx="43">
                  <c:v>1133</c:v>
                </c:pt>
                <c:pt idx="44">
                  <c:v>1066</c:v>
                </c:pt>
                <c:pt idx="45">
                  <c:v>970</c:v>
                </c:pt>
                <c:pt idx="46">
                  <c:v>1034</c:v>
                </c:pt>
                <c:pt idx="47">
                  <c:v>1053</c:v>
                </c:pt>
                <c:pt idx="48">
                  <c:v>1056</c:v>
                </c:pt>
                <c:pt idx="49">
                  <c:v>1070</c:v>
                </c:pt>
                <c:pt idx="50">
                  <c:v>1126</c:v>
                </c:pt>
                <c:pt idx="51">
                  <c:v>1166</c:v>
                </c:pt>
                <c:pt idx="52">
                  <c:v>1062</c:v>
                </c:pt>
                <c:pt idx="53">
                  <c:v>965</c:v>
                </c:pt>
                <c:pt idx="54">
                  <c:v>990</c:v>
                </c:pt>
                <c:pt idx="55">
                  <c:v>960</c:v>
                </c:pt>
                <c:pt idx="56">
                  <c:v>935</c:v>
                </c:pt>
                <c:pt idx="57">
                  <c:v>823</c:v>
                </c:pt>
                <c:pt idx="58">
                  <c:v>799</c:v>
                </c:pt>
                <c:pt idx="59">
                  <c:v>763</c:v>
                </c:pt>
                <c:pt idx="60">
                  <c:v>812</c:v>
                </c:pt>
                <c:pt idx="61">
                  <c:v>828</c:v>
                </c:pt>
                <c:pt idx="62">
                  <c:v>804</c:v>
                </c:pt>
                <c:pt idx="63">
                  <c:v>793</c:v>
                </c:pt>
                <c:pt idx="64">
                  <c:v>795</c:v>
                </c:pt>
                <c:pt idx="65">
                  <c:v>796</c:v>
                </c:pt>
                <c:pt idx="66">
                  <c:v>765</c:v>
                </c:pt>
                <c:pt idx="67">
                  <c:v>757</c:v>
                </c:pt>
                <c:pt idx="68">
                  <c:v>760</c:v>
                </c:pt>
                <c:pt idx="69">
                  <c:v>795</c:v>
                </c:pt>
                <c:pt idx="70">
                  <c:v>835</c:v>
                </c:pt>
                <c:pt idx="71">
                  <c:v>813</c:v>
                </c:pt>
                <c:pt idx="72">
                  <c:v>796</c:v>
                </c:pt>
                <c:pt idx="73">
                  <c:v>846</c:v>
                </c:pt>
                <c:pt idx="74">
                  <c:v>890</c:v>
                </c:pt>
                <c:pt idx="75">
                  <c:v>858</c:v>
                </c:pt>
                <c:pt idx="76">
                  <c:v>828</c:v>
                </c:pt>
                <c:pt idx="77">
                  <c:v>793</c:v>
                </c:pt>
                <c:pt idx="78">
                  <c:v>782</c:v>
                </c:pt>
                <c:pt idx="79">
                  <c:v>701</c:v>
                </c:pt>
                <c:pt idx="80">
                  <c:v>694</c:v>
                </c:pt>
                <c:pt idx="81">
                  <c:v>693</c:v>
                </c:pt>
                <c:pt idx="82">
                  <c:v>693</c:v>
                </c:pt>
                <c:pt idx="83">
                  <c:v>656</c:v>
                </c:pt>
                <c:pt idx="84">
                  <c:v>652</c:v>
                </c:pt>
                <c:pt idx="85">
                  <c:v>662</c:v>
                </c:pt>
                <c:pt idx="86">
                  <c:v>629</c:v>
                </c:pt>
                <c:pt idx="87">
                  <c:v>610</c:v>
                </c:pt>
                <c:pt idx="88">
                  <c:v>628</c:v>
                </c:pt>
                <c:pt idx="89">
                  <c:v>638</c:v>
                </c:pt>
                <c:pt idx="90">
                  <c:v>610</c:v>
                </c:pt>
                <c:pt idx="91">
                  <c:v>524</c:v>
                </c:pt>
                <c:pt idx="92">
                  <c:v>521</c:v>
                </c:pt>
                <c:pt idx="93">
                  <c:v>565</c:v>
                </c:pt>
                <c:pt idx="94">
                  <c:v>541</c:v>
                </c:pt>
                <c:pt idx="95">
                  <c:v>539</c:v>
                </c:pt>
                <c:pt idx="96">
                  <c:v>550</c:v>
                </c:pt>
                <c:pt idx="97">
                  <c:v>613</c:v>
                </c:pt>
                <c:pt idx="98">
                  <c:v>654</c:v>
                </c:pt>
                <c:pt idx="99">
                  <c:v>707</c:v>
                </c:pt>
                <c:pt idx="100">
                  <c:v>686</c:v>
                </c:pt>
                <c:pt idx="101">
                  <c:v>640</c:v>
                </c:pt>
                <c:pt idx="102">
                  <c:v>615</c:v>
                </c:pt>
                <c:pt idx="103">
                  <c:v>704</c:v>
                </c:pt>
                <c:pt idx="104">
                  <c:v>716</c:v>
                </c:pt>
                <c:pt idx="105">
                  <c:v>677</c:v>
                </c:pt>
                <c:pt idx="106">
                  <c:v>708</c:v>
                </c:pt>
                <c:pt idx="107">
                  <c:v>745</c:v>
                </c:pt>
                <c:pt idx="108">
                  <c:v>759</c:v>
                </c:pt>
                <c:pt idx="109">
                  <c:v>740</c:v>
                </c:pt>
                <c:pt idx="110">
                  <c:v>713</c:v>
                </c:pt>
                <c:pt idx="111">
                  <c:v>681</c:v>
                </c:pt>
                <c:pt idx="112">
                  <c:v>698</c:v>
                </c:pt>
                <c:pt idx="113">
                  <c:v>670</c:v>
                </c:pt>
                <c:pt idx="114">
                  <c:v>658</c:v>
                </c:pt>
                <c:pt idx="115">
                  <c:v>651</c:v>
                </c:pt>
                <c:pt idx="116">
                  <c:v>690</c:v>
                </c:pt>
                <c:pt idx="117">
                  <c:v>681</c:v>
                </c:pt>
                <c:pt idx="118">
                  <c:v>670</c:v>
                </c:pt>
                <c:pt idx="119">
                  <c:v>619</c:v>
                </c:pt>
                <c:pt idx="120">
                  <c:v>650</c:v>
                </c:pt>
                <c:pt idx="121">
                  <c:v>654</c:v>
                </c:pt>
                <c:pt idx="122">
                  <c:v>658</c:v>
                </c:pt>
                <c:pt idx="123">
                  <c:v>651</c:v>
                </c:pt>
                <c:pt idx="124">
                  <c:v>639</c:v>
                </c:pt>
                <c:pt idx="125">
                  <c:v>605</c:v>
                </c:pt>
                <c:pt idx="126">
                  <c:v>570</c:v>
                </c:pt>
                <c:pt idx="127">
                  <c:v>559</c:v>
                </c:pt>
                <c:pt idx="128">
                  <c:v>552</c:v>
                </c:pt>
                <c:pt idx="129">
                  <c:v>539</c:v>
                </c:pt>
                <c:pt idx="130">
                  <c:v>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619608"/>
        <c:axId val="237615688"/>
      </c:lineChart>
      <c:catAx>
        <c:axId val="237619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Statistics Service, Oilseeds: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World Markets and Trade.</a:t>
                </a:r>
              </a:p>
            </c:rich>
          </c:tx>
          <c:layout>
            <c:manualLayout>
              <c:xMode val="edge"/>
              <c:yMode val="edge"/>
              <c:x val="4.1945852658828602E-2"/>
              <c:y val="0.92886200004815922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15688"/>
        <c:crosses val="autoZero"/>
        <c:auto val="0"/>
        <c:lblAlgn val="ctr"/>
        <c:lblOffset val="100"/>
        <c:noMultiLvlLbl val="0"/>
      </c:catAx>
      <c:valAx>
        <c:axId val="23761568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$/Metric ton</a:t>
                </a:r>
              </a:p>
            </c:rich>
          </c:tx>
          <c:layout>
            <c:manualLayout>
              <c:xMode val="edge"/>
              <c:yMode val="edge"/>
              <c:x val="4.533894222126343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19608"/>
        <c:crosses val="autoZero"/>
        <c:crossBetween val="between"/>
        <c:majorUnit val="500"/>
        <c:minorUnit val="100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50028990591386391"/>
          <c:y val="0.24069969326739274"/>
          <c:w val="0.30887643795283803"/>
          <c:h val="6.563480081140929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3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4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5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6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7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8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9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0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1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2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3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4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5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6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7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8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9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0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1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2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3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4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5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6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7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8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9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0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1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2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3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4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5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6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7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8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9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0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1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2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3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4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5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6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7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8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9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0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1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2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576695</xdr:colOff>
      <xdr:row>0</xdr:row>
      <xdr:rowOff>51089</xdr:rowOff>
    </xdr:from>
    <xdr:to>
      <xdr:col>14</xdr:col>
      <xdr:colOff>319521</xdr:colOff>
      <xdr:row>26</xdr:row>
      <xdr:rowOff>3464</xdr:rowOff>
    </xdr:to>
    <xdr:graphicFrame macro="">
      <xdr:nvGraphicFramePr>
        <xdr:cNvPr id="70778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28575</xdr:rowOff>
    </xdr:from>
    <xdr:to>
      <xdr:col>15</xdr:col>
      <xdr:colOff>381000</xdr:colOff>
      <xdr:row>25</xdr:row>
      <xdr:rowOff>152400</xdr:rowOff>
    </xdr:to>
    <xdr:graphicFrame macro="">
      <xdr:nvGraphicFramePr>
        <xdr:cNvPr id="76756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12123</xdr:rowOff>
    </xdr:from>
    <xdr:to>
      <xdr:col>13</xdr:col>
      <xdr:colOff>359352</xdr:colOff>
      <xdr:row>25</xdr:row>
      <xdr:rowOff>119496</xdr:rowOff>
    </xdr:to>
    <xdr:graphicFrame macro="">
      <xdr:nvGraphicFramePr>
        <xdr:cNvPr id="84965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4" customWidth="1"/>
    <col min="2" max="16384" width="9.7109375" style="26"/>
  </cols>
  <sheetData>
    <row r="1" spans="1:3" ht="44.25" customHeight="1" x14ac:dyDescent="0.2">
      <c r="A1" s="25"/>
    </row>
    <row r="2" spans="1:3" ht="18" x14ac:dyDescent="0.25">
      <c r="A2" s="27" t="s">
        <v>122</v>
      </c>
    </row>
    <row r="3" spans="1:3" s="29" customFormat="1" ht="11.25" x14ac:dyDescent="0.2">
      <c r="A3" s="28"/>
    </row>
    <row r="4" spans="1:3" x14ac:dyDescent="0.2">
      <c r="A4" s="30" t="s">
        <v>123</v>
      </c>
    </row>
    <row r="5" spans="1:3" x14ac:dyDescent="0.2">
      <c r="A5" s="38">
        <f ca="1">TODAY()</f>
        <v>43447</v>
      </c>
      <c r="B5" s="31"/>
    </row>
    <row r="6" spans="1:3" s="29" customFormat="1" x14ac:dyDescent="0.2">
      <c r="A6" s="28"/>
      <c r="B6" s="31"/>
      <c r="C6" s="32"/>
    </row>
    <row r="7" spans="1:3" x14ac:dyDescent="0.2">
      <c r="A7" s="37" t="s">
        <v>73</v>
      </c>
      <c r="B7" s="33"/>
      <c r="C7" s="29"/>
    </row>
    <row r="8" spans="1:3" x14ac:dyDescent="0.2">
      <c r="A8" s="37" t="s">
        <v>23</v>
      </c>
      <c r="B8" s="35"/>
    </row>
    <row r="9" spans="1:3" x14ac:dyDescent="0.2">
      <c r="A9" s="37" t="s">
        <v>25</v>
      </c>
      <c r="B9" s="35"/>
    </row>
    <row r="10" spans="1:3" x14ac:dyDescent="0.2">
      <c r="A10" s="37" t="s">
        <v>11</v>
      </c>
      <c r="B10" s="35"/>
    </row>
    <row r="11" spans="1:3" x14ac:dyDescent="0.2">
      <c r="A11" s="37" t="s">
        <v>12</v>
      </c>
      <c r="B11" s="35"/>
    </row>
    <row r="12" spans="1:3" x14ac:dyDescent="0.2">
      <c r="A12" s="37" t="s">
        <v>13</v>
      </c>
      <c r="B12" s="35"/>
    </row>
    <row r="13" spans="1:3" x14ac:dyDescent="0.2">
      <c r="A13" s="37" t="s">
        <v>14</v>
      </c>
      <c r="B13" s="35"/>
    </row>
    <row r="14" spans="1:3" x14ac:dyDescent="0.2">
      <c r="A14" s="37" t="s">
        <v>51</v>
      </c>
      <c r="B14" s="35"/>
    </row>
    <row r="15" spans="1:3" x14ac:dyDescent="0.2">
      <c r="A15" s="37" t="s">
        <v>22</v>
      </c>
      <c r="B15" s="35"/>
    </row>
    <row r="16" spans="1:3" x14ac:dyDescent="0.2">
      <c r="A16" s="37" t="s">
        <v>43</v>
      </c>
      <c r="B16" s="35"/>
    </row>
    <row r="17" spans="1:2" x14ac:dyDescent="0.2">
      <c r="A17" s="36" t="s">
        <v>124</v>
      </c>
      <c r="B17" s="35"/>
    </row>
    <row r="18" spans="1:2" x14ac:dyDescent="0.2">
      <c r="A18" s="36" t="s">
        <v>125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8"/>
  <sheetViews>
    <sheetView workbookViewId="0">
      <selection activeCell="A2" sqref="A2"/>
    </sheetView>
  </sheetViews>
  <sheetFormatPr defaultRowHeight="12.75" x14ac:dyDescent="0.2"/>
  <cols>
    <col min="1" max="1" width="10.7109375" style="1" customWidth="1"/>
    <col min="2" max="3" width="10.7109375" style="16" bestFit="1" customWidth="1"/>
  </cols>
  <sheetData>
    <row r="1" spans="1:5" ht="15.75" x14ac:dyDescent="0.25">
      <c r="A1" s="142" t="s">
        <v>17</v>
      </c>
      <c r="B1" s="139"/>
      <c r="C1" s="139"/>
      <c r="D1" s="139"/>
      <c r="E1" s="139"/>
    </row>
    <row r="2" spans="1:5" ht="15.75" x14ac:dyDescent="0.25">
      <c r="A2" s="143"/>
      <c r="B2" s="140" t="s">
        <v>1</v>
      </c>
      <c r="C2" s="140" t="s">
        <v>72</v>
      </c>
      <c r="D2" s="138" t="s">
        <v>176</v>
      </c>
      <c r="E2" s="138" t="s">
        <v>4</v>
      </c>
    </row>
    <row r="3" spans="1:5" x14ac:dyDescent="0.2">
      <c r="A3" s="138"/>
      <c r="B3" s="141" t="s">
        <v>175</v>
      </c>
      <c r="C3" s="141"/>
      <c r="D3" s="138"/>
      <c r="E3" s="138"/>
    </row>
    <row r="4" spans="1:5" ht="14.25" x14ac:dyDescent="0.2">
      <c r="A4" s="41" t="s">
        <v>56</v>
      </c>
      <c r="B4" s="144">
        <v>6096.1</v>
      </c>
      <c r="C4" s="144">
        <v>2562.5510700000004</v>
      </c>
      <c r="D4" s="144">
        <v>2982.7006398487019</v>
      </c>
      <c r="E4" s="144">
        <v>275.15730984531302</v>
      </c>
    </row>
    <row r="5" spans="1:5" ht="14.25" x14ac:dyDescent="0.2">
      <c r="A5" s="41" t="s">
        <v>67</v>
      </c>
      <c r="B5" s="144">
        <v>5370</v>
      </c>
      <c r="C5" s="144">
        <v>2400</v>
      </c>
      <c r="D5" s="144">
        <v>3120.1660962219903</v>
      </c>
      <c r="E5" s="144">
        <v>132.68900780534699</v>
      </c>
    </row>
    <row r="6" spans="1:5" ht="14.25" x14ac:dyDescent="0.2">
      <c r="A6" s="41" t="s">
        <v>91</v>
      </c>
      <c r="B6" s="144">
        <v>5666</v>
      </c>
      <c r="C6" s="144">
        <v>2500</v>
      </c>
      <c r="D6" s="144">
        <v>3004.1252187691671</v>
      </c>
      <c r="E6" s="144">
        <v>191.37798110346301</v>
      </c>
    </row>
    <row r="7" spans="1:5" ht="14.25" x14ac:dyDescent="0.2">
      <c r="A7" s="41" t="s">
        <v>99</v>
      </c>
      <c r="B7" s="144">
        <v>4203</v>
      </c>
      <c r="C7" s="144">
        <v>2000</v>
      </c>
      <c r="D7" s="144">
        <v>2141.6738024460892</v>
      </c>
      <c r="E7" s="144">
        <v>218.92546272334502</v>
      </c>
    </row>
    <row r="8" spans="1:5" ht="14.25" x14ac:dyDescent="0.2">
      <c r="A8" s="41" t="s">
        <v>102</v>
      </c>
      <c r="B8" s="144">
        <v>5125</v>
      </c>
      <c r="C8" s="144">
        <v>1900</v>
      </c>
      <c r="D8" s="144">
        <v>3044.8538978358692</v>
      </c>
      <c r="E8" s="144">
        <v>228.13998571249201</v>
      </c>
    </row>
    <row r="9" spans="1:5" ht="14.25" x14ac:dyDescent="0.2">
      <c r="A9" s="41" t="s">
        <v>103</v>
      </c>
      <c r="B9" s="144">
        <v>4043</v>
      </c>
      <c r="C9" s="144">
        <v>1500.181</v>
      </c>
      <c r="D9" s="144">
        <v>2469.0775520124048</v>
      </c>
      <c r="E9" s="144">
        <v>136.11302056359</v>
      </c>
    </row>
    <row r="10" spans="1:5" ht="14.25" x14ac:dyDescent="0.2">
      <c r="A10" s="41" t="s">
        <v>119</v>
      </c>
      <c r="B10" s="144">
        <v>5369</v>
      </c>
      <c r="C10" s="144">
        <v>1769.4399999999998</v>
      </c>
      <c r="D10" s="144">
        <v>3299.9844832140616</v>
      </c>
      <c r="E10" s="144">
        <v>341.65464751467005</v>
      </c>
    </row>
    <row r="11" spans="1:5" ht="14.25" x14ac:dyDescent="0.2">
      <c r="A11" s="41" t="s">
        <v>121</v>
      </c>
      <c r="B11" s="144">
        <v>6422</v>
      </c>
      <c r="C11" s="144">
        <v>1853.576</v>
      </c>
      <c r="D11" s="144">
        <v>4040.0387247054159</v>
      </c>
      <c r="E11" s="144">
        <v>478.38527529458401</v>
      </c>
    </row>
    <row r="12" spans="1:5" ht="14.25" x14ac:dyDescent="0.2">
      <c r="A12" s="41" t="s">
        <v>173</v>
      </c>
      <c r="B12" s="144">
        <v>5858</v>
      </c>
      <c r="C12" s="144">
        <v>1800</v>
      </c>
      <c r="D12" s="144">
        <v>3683</v>
      </c>
      <c r="E12" s="144">
        <v>425</v>
      </c>
    </row>
    <row r="13" spans="1:5" ht="15.75" x14ac:dyDescent="0.25">
      <c r="A13" s="139"/>
      <c r="B13" s="144"/>
      <c r="C13" s="144"/>
      <c r="D13" s="144"/>
      <c r="E13" s="144"/>
    </row>
    <row r="14" spans="1:5" ht="15.75" x14ac:dyDescent="0.25">
      <c r="A14" s="139"/>
      <c r="B14" s="144"/>
      <c r="C14" s="144"/>
      <c r="D14" s="144"/>
      <c r="E14" s="144"/>
    </row>
    <row r="15" spans="1:5" ht="15.75" x14ac:dyDescent="0.25">
      <c r="A15" s="139"/>
      <c r="B15" s="144"/>
      <c r="C15" s="144"/>
      <c r="D15" s="144"/>
      <c r="E15" s="144"/>
    </row>
    <row r="16" spans="1:5" ht="15.75" x14ac:dyDescent="0.25">
      <c r="A16" s="134"/>
      <c r="B16" s="133"/>
      <c r="C16" s="133"/>
      <c r="D16" s="132"/>
    </row>
    <row r="17" spans="1:4" ht="15.75" x14ac:dyDescent="0.25">
      <c r="A17" s="134"/>
      <c r="B17" s="133"/>
      <c r="C17" s="133"/>
      <c r="D17" s="132"/>
    </row>
    <row r="18" spans="1:4" ht="15.75" x14ac:dyDescent="0.25">
      <c r="A18" s="134"/>
      <c r="B18" s="133"/>
      <c r="C18" s="133"/>
      <c r="D18" s="132"/>
    </row>
    <row r="19" spans="1:4" ht="15.75" x14ac:dyDescent="0.25">
      <c r="A19" s="134"/>
      <c r="B19" s="133"/>
      <c r="C19" s="133"/>
      <c r="D19" s="132"/>
    </row>
    <row r="20" spans="1:4" x14ac:dyDescent="0.2">
      <c r="A20" s="134"/>
      <c r="B20" s="133"/>
      <c r="C20" s="133"/>
    </row>
    <row r="21" spans="1:4" x14ac:dyDescent="0.2">
      <c r="A21" s="134"/>
      <c r="B21" s="133"/>
      <c r="C21" s="133"/>
    </row>
    <row r="22" spans="1:4" x14ac:dyDescent="0.2">
      <c r="A22" s="134"/>
      <c r="B22" s="133"/>
      <c r="C22" s="133"/>
    </row>
    <row r="23" spans="1:4" x14ac:dyDescent="0.2">
      <c r="A23" s="134"/>
      <c r="B23" s="133"/>
      <c r="C23" s="133"/>
    </row>
    <row r="24" spans="1:4" x14ac:dyDescent="0.2">
      <c r="A24" s="134"/>
      <c r="B24" s="133"/>
      <c r="C24" s="133"/>
    </row>
    <row r="25" spans="1:4" x14ac:dyDescent="0.2">
      <c r="A25" s="134"/>
      <c r="B25" s="133"/>
      <c r="C25" s="133"/>
    </row>
    <row r="26" spans="1:4" x14ac:dyDescent="0.2">
      <c r="A26" s="134"/>
      <c r="B26" s="133"/>
      <c r="C26" s="133"/>
    </row>
    <row r="27" spans="1:4" x14ac:dyDescent="0.2">
      <c r="A27" s="134"/>
      <c r="B27" s="133"/>
      <c r="C27" s="133"/>
    </row>
    <row r="28" spans="1:4" x14ac:dyDescent="0.2">
      <c r="A28" s="134"/>
      <c r="B28" s="133"/>
      <c r="C28" s="133"/>
    </row>
    <row r="29" spans="1:4" x14ac:dyDescent="0.2">
      <c r="A29" s="134"/>
      <c r="B29" s="133"/>
      <c r="C29" s="133"/>
    </row>
    <row r="30" spans="1:4" x14ac:dyDescent="0.2">
      <c r="A30" s="134"/>
      <c r="B30" s="133"/>
      <c r="C30" s="133"/>
    </row>
    <row r="31" spans="1:4" x14ac:dyDescent="0.2">
      <c r="A31" s="134"/>
      <c r="B31" s="133"/>
      <c r="C31" s="133"/>
    </row>
    <row r="32" spans="1:4" x14ac:dyDescent="0.2">
      <c r="A32" s="134"/>
      <c r="B32" s="133"/>
      <c r="C32" s="133"/>
    </row>
    <row r="33" spans="1:3" x14ac:dyDescent="0.2">
      <c r="A33" s="134"/>
      <c r="B33" s="133"/>
      <c r="C33" s="133"/>
    </row>
    <row r="34" spans="1:3" x14ac:dyDescent="0.2">
      <c r="A34" s="134"/>
      <c r="B34" s="133"/>
      <c r="C34" s="133"/>
    </row>
    <row r="35" spans="1:3" x14ac:dyDescent="0.2">
      <c r="A35" s="134"/>
      <c r="B35" s="133"/>
      <c r="C35" s="133"/>
    </row>
    <row r="36" spans="1:3" x14ac:dyDescent="0.2">
      <c r="A36" s="134"/>
      <c r="B36" s="133"/>
      <c r="C36" s="133"/>
    </row>
    <row r="37" spans="1:3" x14ac:dyDescent="0.2">
      <c r="A37" s="134"/>
      <c r="B37" s="133"/>
      <c r="C37" s="133"/>
    </row>
    <row r="38" spans="1:3" x14ac:dyDescent="0.2">
      <c r="A38" s="134"/>
      <c r="B38" s="133"/>
      <c r="C38" s="133"/>
    </row>
    <row r="39" spans="1:3" x14ac:dyDescent="0.2">
      <c r="A39" s="134"/>
      <c r="B39" s="133"/>
      <c r="C39" s="133"/>
    </row>
    <row r="40" spans="1:3" x14ac:dyDescent="0.2">
      <c r="A40" s="134"/>
      <c r="B40" s="133"/>
      <c r="C40" s="133"/>
    </row>
    <row r="41" spans="1:3" x14ac:dyDescent="0.2">
      <c r="A41" s="134"/>
      <c r="B41" s="133"/>
      <c r="C41" s="133"/>
    </row>
    <row r="42" spans="1:3" x14ac:dyDescent="0.2">
      <c r="A42" s="134"/>
      <c r="B42" s="133"/>
      <c r="C42" s="133"/>
    </row>
    <row r="43" spans="1:3" x14ac:dyDescent="0.2">
      <c r="A43" s="134"/>
      <c r="B43" s="133"/>
      <c r="C43" s="133"/>
    </row>
    <row r="44" spans="1:3" x14ac:dyDescent="0.2">
      <c r="A44" s="134"/>
      <c r="B44" s="133"/>
      <c r="C44" s="133"/>
    </row>
    <row r="45" spans="1:3" x14ac:dyDescent="0.2">
      <c r="A45" s="134"/>
      <c r="B45" s="133"/>
      <c r="C45" s="133"/>
    </row>
    <row r="46" spans="1:3" x14ac:dyDescent="0.2">
      <c r="A46" s="134"/>
      <c r="B46" s="133"/>
      <c r="C46" s="133"/>
    </row>
    <row r="47" spans="1:3" x14ac:dyDescent="0.2">
      <c r="A47" s="134"/>
      <c r="B47" s="133"/>
      <c r="C47" s="133"/>
    </row>
    <row r="48" spans="1:3" x14ac:dyDescent="0.2">
      <c r="A48" s="134"/>
      <c r="B48" s="133"/>
      <c r="C48" s="133"/>
    </row>
    <row r="49" spans="1:3" x14ac:dyDescent="0.2">
      <c r="A49" s="134"/>
      <c r="B49" s="133"/>
      <c r="C49" s="133"/>
    </row>
    <row r="50" spans="1:3" x14ac:dyDescent="0.2">
      <c r="A50" s="134"/>
      <c r="B50" s="133"/>
      <c r="C50" s="133"/>
    </row>
    <row r="51" spans="1:3" x14ac:dyDescent="0.2">
      <c r="A51" s="134"/>
      <c r="B51" s="133"/>
      <c r="C51" s="133"/>
    </row>
    <row r="52" spans="1:3" x14ac:dyDescent="0.2">
      <c r="A52" s="134"/>
      <c r="B52" s="133"/>
      <c r="C52" s="133"/>
    </row>
    <row r="53" spans="1:3" x14ac:dyDescent="0.2">
      <c r="A53" s="134"/>
      <c r="B53" s="133"/>
      <c r="C53" s="133"/>
    </row>
    <row r="54" spans="1:3" x14ac:dyDescent="0.2">
      <c r="A54" s="134"/>
      <c r="B54" s="133"/>
      <c r="C54" s="133"/>
    </row>
    <row r="55" spans="1:3" x14ac:dyDescent="0.2">
      <c r="A55" s="134"/>
      <c r="B55" s="133"/>
      <c r="C55" s="133"/>
    </row>
    <row r="56" spans="1:3" x14ac:dyDescent="0.2">
      <c r="A56" s="134"/>
      <c r="B56" s="133"/>
      <c r="C56" s="133"/>
    </row>
    <row r="57" spans="1:3" x14ac:dyDescent="0.2">
      <c r="A57" s="134"/>
      <c r="B57" s="133"/>
      <c r="C57" s="133"/>
    </row>
    <row r="58" spans="1:3" x14ac:dyDescent="0.2">
      <c r="A58" s="134"/>
      <c r="B58" s="133"/>
      <c r="C58" s="133"/>
    </row>
    <row r="59" spans="1:3" x14ac:dyDescent="0.2">
      <c r="A59" s="134"/>
      <c r="B59" s="133"/>
      <c r="C59" s="133"/>
    </row>
    <row r="60" spans="1:3" x14ac:dyDescent="0.2">
      <c r="A60" s="134"/>
      <c r="B60" s="133"/>
      <c r="C60" s="133"/>
    </row>
    <row r="61" spans="1:3" x14ac:dyDescent="0.2">
      <c r="A61" s="134"/>
      <c r="B61" s="133"/>
      <c r="C61" s="133"/>
    </row>
    <row r="62" spans="1:3" x14ac:dyDescent="0.2">
      <c r="A62" s="134"/>
      <c r="B62" s="133"/>
      <c r="C62" s="133"/>
    </row>
    <row r="63" spans="1:3" x14ac:dyDescent="0.2">
      <c r="A63" s="134"/>
      <c r="B63" s="133"/>
      <c r="C63" s="133"/>
    </row>
    <row r="64" spans="1:3" x14ac:dyDescent="0.2">
      <c r="A64" s="134"/>
      <c r="B64" s="133"/>
      <c r="C64" s="133"/>
    </row>
    <row r="65" spans="1:3" x14ac:dyDescent="0.2">
      <c r="A65" s="134"/>
      <c r="B65" s="133"/>
      <c r="C65" s="133"/>
    </row>
    <row r="66" spans="1:3" x14ac:dyDescent="0.2">
      <c r="A66" s="134"/>
      <c r="B66" s="133"/>
      <c r="C66" s="133"/>
    </row>
    <row r="67" spans="1:3" x14ac:dyDescent="0.2">
      <c r="A67" s="134"/>
      <c r="B67" s="133"/>
      <c r="C67" s="133"/>
    </row>
    <row r="68" spans="1:3" x14ac:dyDescent="0.2">
      <c r="A68" s="134"/>
      <c r="B68" s="133"/>
      <c r="C68" s="133"/>
    </row>
    <row r="69" spans="1:3" x14ac:dyDescent="0.2">
      <c r="A69" s="134"/>
      <c r="B69" s="133"/>
      <c r="C69" s="133"/>
    </row>
    <row r="70" spans="1:3" x14ac:dyDescent="0.2">
      <c r="A70" s="134"/>
      <c r="B70" s="133"/>
      <c r="C70" s="133"/>
    </row>
    <row r="71" spans="1:3" x14ac:dyDescent="0.2">
      <c r="A71" s="134"/>
      <c r="B71" s="133"/>
      <c r="C71" s="133"/>
    </row>
    <row r="72" spans="1:3" x14ac:dyDescent="0.2">
      <c r="A72" s="134"/>
      <c r="B72" s="133"/>
      <c r="C72" s="133"/>
    </row>
    <row r="73" spans="1:3" x14ac:dyDescent="0.2">
      <c r="A73" s="134"/>
      <c r="B73" s="133"/>
      <c r="C73" s="133"/>
    </row>
    <row r="74" spans="1:3" x14ac:dyDescent="0.2">
      <c r="A74" s="134"/>
      <c r="B74" s="133"/>
      <c r="C74" s="133"/>
    </row>
    <row r="75" spans="1:3" x14ac:dyDescent="0.2">
      <c r="A75" s="134"/>
      <c r="B75" s="133"/>
      <c r="C75" s="133"/>
    </row>
    <row r="76" spans="1:3" x14ac:dyDescent="0.2">
      <c r="A76" s="134"/>
      <c r="B76" s="133"/>
      <c r="C76" s="133"/>
    </row>
    <row r="77" spans="1:3" x14ac:dyDescent="0.2">
      <c r="A77" s="134"/>
      <c r="B77" s="133"/>
      <c r="C77" s="133"/>
    </row>
    <row r="78" spans="1:3" x14ac:dyDescent="0.2">
      <c r="A78" s="134"/>
      <c r="B78" s="133"/>
      <c r="C78" s="133"/>
    </row>
    <row r="79" spans="1:3" x14ac:dyDescent="0.2">
      <c r="A79" s="134"/>
      <c r="B79" s="133"/>
      <c r="C79" s="133"/>
    </row>
    <row r="80" spans="1:3" x14ac:dyDescent="0.2">
      <c r="A80" s="134"/>
      <c r="B80" s="133"/>
      <c r="C80" s="133"/>
    </row>
    <row r="81" spans="1:3" x14ac:dyDescent="0.2">
      <c r="A81" s="134"/>
      <c r="B81" s="133"/>
      <c r="C81" s="133"/>
    </row>
    <row r="82" spans="1:3" x14ac:dyDescent="0.2">
      <c r="A82" s="134"/>
      <c r="B82" s="133"/>
      <c r="C82" s="133"/>
    </row>
    <row r="83" spans="1:3" x14ac:dyDescent="0.2">
      <c r="A83" s="134"/>
      <c r="B83" s="133"/>
      <c r="C83" s="133"/>
    </row>
    <row r="84" spans="1:3" x14ac:dyDescent="0.2">
      <c r="A84" s="134"/>
      <c r="B84" s="133"/>
      <c r="C84" s="133"/>
    </row>
    <row r="85" spans="1:3" x14ac:dyDescent="0.2">
      <c r="A85" s="134"/>
      <c r="B85" s="133"/>
      <c r="C85" s="133"/>
    </row>
    <row r="86" spans="1:3" x14ac:dyDescent="0.2">
      <c r="A86" s="134"/>
      <c r="B86" s="133"/>
      <c r="C86" s="133"/>
    </row>
    <row r="87" spans="1:3" x14ac:dyDescent="0.2">
      <c r="A87" s="134"/>
      <c r="B87" s="133"/>
      <c r="C87" s="133"/>
    </row>
    <row r="88" spans="1:3" x14ac:dyDescent="0.2">
      <c r="A88" s="134"/>
      <c r="B88" s="133"/>
      <c r="C88" s="133"/>
    </row>
    <row r="89" spans="1:3" x14ac:dyDescent="0.2">
      <c r="A89" s="134"/>
      <c r="B89" s="133"/>
      <c r="C89" s="133"/>
    </row>
    <row r="90" spans="1:3" x14ac:dyDescent="0.2">
      <c r="A90" s="134"/>
      <c r="B90" s="133"/>
      <c r="C90" s="133"/>
    </row>
    <row r="91" spans="1:3" x14ac:dyDescent="0.2">
      <c r="A91" s="134"/>
      <c r="B91" s="133"/>
      <c r="C91" s="133"/>
    </row>
    <row r="92" spans="1:3" x14ac:dyDescent="0.2">
      <c r="A92" s="134"/>
      <c r="B92" s="133"/>
      <c r="C92" s="133"/>
    </row>
    <row r="93" spans="1:3" x14ac:dyDescent="0.2">
      <c r="A93" s="134"/>
      <c r="B93" s="133"/>
      <c r="C93" s="133"/>
    </row>
    <row r="94" spans="1:3" x14ac:dyDescent="0.2">
      <c r="A94" s="134"/>
      <c r="B94" s="133"/>
      <c r="C94" s="133"/>
    </row>
    <row r="95" spans="1:3" x14ac:dyDescent="0.2">
      <c r="A95" s="134"/>
      <c r="B95" s="133"/>
      <c r="C95" s="133"/>
    </row>
    <row r="96" spans="1:3" x14ac:dyDescent="0.2">
      <c r="A96" s="134"/>
      <c r="B96" s="133"/>
      <c r="C96" s="133"/>
    </row>
    <row r="97" spans="1:3" x14ac:dyDescent="0.2">
      <c r="A97" s="134"/>
      <c r="B97" s="133"/>
      <c r="C97" s="133"/>
    </row>
    <row r="98" spans="1:3" x14ac:dyDescent="0.2">
      <c r="A98" s="134"/>
      <c r="B98" s="133"/>
      <c r="C98" s="133"/>
    </row>
    <row r="99" spans="1:3" x14ac:dyDescent="0.2">
      <c r="A99" s="134"/>
      <c r="B99" s="133"/>
      <c r="C99" s="133"/>
    </row>
    <row r="100" spans="1:3" x14ac:dyDescent="0.2">
      <c r="A100" s="134"/>
      <c r="B100" s="133"/>
      <c r="C100" s="133"/>
    </row>
    <row r="101" spans="1:3" x14ac:dyDescent="0.2">
      <c r="A101" s="134"/>
      <c r="B101" s="133"/>
      <c r="C101" s="133"/>
    </row>
    <row r="102" spans="1:3" x14ac:dyDescent="0.2">
      <c r="A102" s="134"/>
      <c r="B102" s="133"/>
      <c r="C102" s="133"/>
    </row>
    <row r="103" spans="1:3" x14ac:dyDescent="0.2">
      <c r="A103" s="134"/>
      <c r="B103" s="133"/>
      <c r="C103" s="133"/>
    </row>
    <row r="104" spans="1:3" x14ac:dyDescent="0.2">
      <c r="A104" s="134"/>
      <c r="B104" s="133"/>
      <c r="C104" s="133"/>
    </row>
    <row r="105" spans="1:3" x14ac:dyDescent="0.2">
      <c r="A105" s="134"/>
      <c r="B105" s="133"/>
      <c r="C105" s="133"/>
    </row>
    <row r="106" spans="1:3" x14ac:dyDescent="0.2">
      <c r="A106" s="134"/>
      <c r="B106" s="133"/>
      <c r="C106" s="133"/>
    </row>
    <row r="107" spans="1:3" x14ac:dyDescent="0.2">
      <c r="A107" s="134"/>
      <c r="B107" s="133"/>
      <c r="C107" s="133"/>
    </row>
    <row r="108" spans="1:3" x14ac:dyDescent="0.2">
      <c r="A108" s="134"/>
      <c r="B108" s="133"/>
      <c r="C108" s="133"/>
    </row>
    <row r="109" spans="1:3" x14ac:dyDescent="0.2">
      <c r="A109" s="134"/>
      <c r="B109" s="133"/>
      <c r="C109" s="133"/>
    </row>
    <row r="110" spans="1:3" x14ac:dyDescent="0.2">
      <c r="A110" s="134"/>
      <c r="B110" s="133"/>
      <c r="C110" s="133"/>
    </row>
    <row r="111" spans="1:3" x14ac:dyDescent="0.2">
      <c r="A111" s="134"/>
      <c r="B111" s="133"/>
      <c r="C111" s="133"/>
    </row>
    <row r="112" spans="1:3" x14ac:dyDescent="0.2">
      <c r="A112" s="134"/>
      <c r="B112" s="133"/>
      <c r="C112" s="133"/>
    </row>
    <row r="113" spans="1:3" x14ac:dyDescent="0.2">
      <c r="A113" s="134"/>
      <c r="B113" s="133"/>
      <c r="C113" s="133"/>
    </row>
    <row r="114" spans="1:3" x14ac:dyDescent="0.2">
      <c r="A114" s="134"/>
      <c r="B114" s="133"/>
      <c r="C114" s="133"/>
    </row>
    <row r="115" spans="1:3" x14ac:dyDescent="0.2">
      <c r="A115" s="134"/>
      <c r="B115" s="133"/>
      <c r="C115" s="133"/>
    </row>
    <row r="116" spans="1:3" x14ac:dyDescent="0.2">
      <c r="A116" s="134"/>
      <c r="B116" s="133"/>
      <c r="C116" s="133"/>
    </row>
    <row r="117" spans="1:3" x14ac:dyDescent="0.2">
      <c r="A117" s="134"/>
      <c r="B117" s="133"/>
      <c r="C117" s="133"/>
    </row>
    <row r="118" spans="1:3" x14ac:dyDescent="0.2">
      <c r="A118" s="134"/>
      <c r="B118" s="133"/>
      <c r="C118" s="133"/>
    </row>
    <row r="119" spans="1:3" x14ac:dyDescent="0.2">
      <c r="A119" s="134"/>
      <c r="B119" s="133"/>
      <c r="C119" s="133"/>
    </row>
    <row r="120" spans="1:3" x14ac:dyDescent="0.2">
      <c r="A120" s="134"/>
      <c r="B120" s="133"/>
      <c r="C120" s="133"/>
    </row>
    <row r="121" spans="1:3" x14ac:dyDescent="0.2">
      <c r="A121" s="134"/>
      <c r="B121" s="133"/>
      <c r="C121" s="133"/>
    </row>
    <row r="122" spans="1:3" x14ac:dyDescent="0.2">
      <c r="A122" s="134"/>
      <c r="B122" s="133"/>
      <c r="C122" s="133"/>
    </row>
    <row r="123" spans="1:3" x14ac:dyDescent="0.2">
      <c r="A123" s="134"/>
      <c r="B123" s="133"/>
      <c r="C123" s="133"/>
    </row>
    <row r="124" spans="1:3" x14ac:dyDescent="0.2">
      <c r="A124" s="134"/>
      <c r="B124" s="133"/>
      <c r="C124" s="133"/>
    </row>
    <row r="125" spans="1:3" x14ac:dyDescent="0.2">
      <c r="A125" s="134"/>
      <c r="B125" s="133"/>
      <c r="C125" s="133"/>
    </row>
    <row r="126" spans="1:3" x14ac:dyDescent="0.2">
      <c r="A126" s="134"/>
      <c r="B126" s="133"/>
      <c r="C126" s="133"/>
    </row>
    <row r="127" spans="1:3" x14ac:dyDescent="0.2">
      <c r="A127" s="134"/>
      <c r="B127" s="133"/>
      <c r="C127" s="133"/>
    </row>
    <row r="128" spans="1:3" x14ac:dyDescent="0.2">
      <c r="A128" s="134"/>
      <c r="B128" s="133"/>
      <c r="C128" s="133"/>
    </row>
    <row r="129" spans="1:3" x14ac:dyDescent="0.2">
      <c r="A129" s="134"/>
      <c r="B129" s="133"/>
      <c r="C129" s="133"/>
    </row>
    <row r="130" spans="1:3" x14ac:dyDescent="0.2">
      <c r="A130" s="134"/>
      <c r="B130" s="133"/>
      <c r="C130" s="133"/>
    </row>
    <row r="131" spans="1:3" x14ac:dyDescent="0.2">
      <c r="A131" s="134"/>
      <c r="B131" s="133"/>
    </row>
    <row r="132" spans="1:3" x14ac:dyDescent="0.2">
      <c r="A132" s="134"/>
      <c r="B132" s="133"/>
      <c r="C132" s="133"/>
    </row>
    <row r="133" spans="1:3" x14ac:dyDescent="0.2">
      <c r="A133" s="134"/>
      <c r="B133" s="133"/>
      <c r="C133" s="133"/>
    </row>
    <row r="134" spans="1:3" x14ac:dyDescent="0.2">
      <c r="A134" s="134"/>
      <c r="B134" s="133"/>
      <c r="C134" s="133"/>
    </row>
    <row r="135" spans="1:3" x14ac:dyDescent="0.2">
      <c r="A135" s="134"/>
      <c r="B135" s="133"/>
      <c r="C135" s="133"/>
    </row>
    <row r="136" spans="1:3" x14ac:dyDescent="0.2">
      <c r="A136" s="134"/>
      <c r="B136" s="133"/>
      <c r="C136" s="133"/>
    </row>
    <row r="137" spans="1:3" x14ac:dyDescent="0.2">
      <c r="A137" s="134"/>
      <c r="B137" s="133"/>
      <c r="C137" s="133"/>
    </row>
    <row r="138" spans="1:3" x14ac:dyDescent="0.2">
      <c r="A138" s="134"/>
      <c r="B138" s="133"/>
      <c r="C138" s="133"/>
    </row>
    <row r="139" spans="1:3" x14ac:dyDescent="0.2">
      <c r="A139" s="134"/>
      <c r="B139" s="133"/>
      <c r="C139" s="133"/>
    </row>
    <row r="140" spans="1:3" x14ac:dyDescent="0.2">
      <c r="A140" s="134"/>
      <c r="B140" s="133"/>
      <c r="C140" s="133"/>
    </row>
    <row r="141" spans="1:3" x14ac:dyDescent="0.2">
      <c r="A141" s="134"/>
      <c r="B141" s="133"/>
      <c r="C141" s="133"/>
    </row>
    <row r="142" spans="1:3" x14ac:dyDescent="0.2">
      <c r="A142" s="134"/>
      <c r="B142" s="133"/>
      <c r="C142" s="133"/>
    </row>
    <row r="143" spans="1:3" x14ac:dyDescent="0.2">
      <c r="A143" s="134"/>
      <c r="B143" s="133"/>
      <c r="C143" s="133"/>
    </row>
    <row r="144" spans="1:3" x14ac:dyDescent="0.2">
      <c r="A144" s="134"/>
      <c r="B144" s="133"/>
      <c r="C144" s="133"/>
    </row>
    <row r="145" spans="1:3" x14ac:dyDescent="0.2">
      <c r="A145" s="134"/>
      <c r="B145" s="133"/>
      <c r="C145" s="133"/>
    </row>
    <row r="146" spans="1:3" x14ac:dyDescent="0.2">
      <c r="A146" s="134"/>
      <c r="B146" s="133"/>
      <c r="C146" s="133"/>
    </row>
    <row r="147" spans="1:3" x14ac:dyDescent="0.2">
      <c r="A147" s="134"/>
      <c r="B147" s="133"/>
      <c r="C147" s="133"/>
    </row>
    <row r="148" spans="1:3" x14ac:dyDescent="0.2">
      <c r="A148" s="134"/>
      <c r="B148" s="133"/>
      <c r="C148" s="133"/>
    </row>
    <row r="149" spans="1:3" x14ac:dyDescent="0.2">
      <c r="A149" s="134"/>
      <c r="B149" s="133"/>
      <c r="C149" s="133"/>
    </row>
    <row r="150" spans="1:3" x14ac:dyDescent="0.2">
      <c r="A150" s="134"/>
      <c r="B150" s="133"/>
      <c r="C150" s="133"/>
    </row>
    <row r="151" spans="1:3" x14ac:dyDescent="0.2">
      <c r="A151" s="134"/>
      <c r="B151" s="133"/>
      <c r="C151" s="133"/>
    </row>
    <row r="152" spans="1:3" x14ac:dyDescent="0.2">
      <c r="A152" s="134"/>
      <c r="B152" s="133"/>
      <c r="C152" s="133"/>
    </row>
    <row r="153" spans="1:3" x14ac:dyDescent="0.2">
      <c r="A153" s="134"/>
      <c r="B153" s="133"/>
      <c r="C153" s="133"/>
    </row>
    <row r="154" spans="1:3" x14ac:dyDescent="0.2">
      <c r="A154" s="134"/>
      <c r="B154" s="133"/>
      <c r="C154" s="133"/>
    </row>
    <row r="155" spans="1:3" x14ac:dyDescent="0.2">
      <c r="A155" s="134"/>
      <c r="B155" s="133"/>
      <c r="C155" s="133"/>
    </row>
    <row r="156" spans="1:3" x14ac:dyDescent="0.2">
      <c r="A156" s="134"/>
      <c r="B156" s="133"/>
      <c r="C156" s="133"/>
    </row>
    <row r="157" spans="1:3" x14ac:dyDescent="0.2">
      <c r="A157" s="134"/>
      <c r="B157" s="133"/>
      <c r="C157" s="133"/>
    </row>
    <row r="158" spans="1:3" x14ac:dyDescent="0.2">
      <c r="A158" s="134"/>
      <c r="B158" s="133"/>
    </row>
    <row r="159" spans="1:3" x14ac:dyDescent="0.2">
      <c r="A159" s="134"/>
      <c r="B159" s="133"/>
      <c r="C159" s="133"/>
    </row>
    <row r="160" spans="1:3" x14ac:dyDescent="0.2">
      <c r="A160" s="134"/>
      <c r="B160" s="133"/>
      <c r="C160" s="133"/>
    </row>
    <row r="161" spans="1:3" x14ac:dyDescent="0.2">
      <c r="A161" s="134"/>
      <c r="B161" s="133"/>
      <c r="C161" s="133"/>
    </row>
    <row r="162" spans="1:3" x14ac:dyDescent="0.2">
      <c r="A162" s="134"/>
      <c r="B162" s="133"/>
      <c r="C162" s="133"/>
    </row>
    <row r="163" spans="1:3" x14ac:dyDescent="0.2">
      <c r="A163" s="134"/>
      <c r="B163" s="133"/>
      <c r="C163" s="133"/>
    </row>
    <row r="164" spans="1:3" x14ac:dyDescent="0.2">
      <c r="A164" s="134"/>
      <c r="B164" s="133"/>
      <c r="C164" s="133"/>
    </row>
    <row r="165" spans="1:3" x14ac:dyDescent="0.2">
      <c r="A165" s="134"/>
      <c r="B165" s="133"/>
      <c r="C165" s="133"/>
    </row>
    <row r="166" spans="1:3" x14ac:dyDescent="0.2">
      <c r="A166" s="134"/>
      <c r="B166" s="133"/>
      <c r="C166" s="133"/>
    </row>
    <row r="167" spans="1:3" x14ac:dyDescent="0.2">
      <c r="A167" s="134"/>
      <c r="B167" s="133"/>
      <c r="C167" s="133"/>
    </row>
    <row r="168" spans="1:3" x14ac:dyDescent="0.2">
      <c r="A168" s="134"/>
      <c r="B168" s="133"/>
    </row>
    <row r="169" spans="1:3" x14ac:dyDescent="0.2">
      <c r="A169" s="134"/>
      <c r="B169" s="133"/>
      <c r="C169" s="133"/>
    </row>
    <row r="170" spans="1:3" x14ac:dyDescent="0.2">
      <c r="A170" s="134"/>
      <c r="B170" s="133"/>
      <c r="C170" s="133"/>
    </row>
    <row r="171" spans="1:3" x14ac:dyDescent="0.2">
      <c r="A171" s="134"/>
      <c r="B171" s="133"/>
      <c r="C171" s="133"/>
    </row>
    <row r="172" spans="1:3" x14ac:dyDescent="0.2">
      <c r="A172" s="134"/>
      <c r="B172" s="133"/>
      <c r="C172" s="133"/>
    </row>
    <row r="173" spans="1:3" x14ac:dyDescent="0.2">
      <c r="A173" s="134"/>
      <c r="B173" s="133"/>
      <c r="C173" s="133"/>
    </row>
    <row r="174" spans="1:3" x14ac:dyDescent="0.2">
      <c r="A174" s="134"/>
      <c r="B174" s="133"/>
      <c r="C174" s="133"/>
    </row>
    <row r="175" spans="1:3" x14ac:dyDescent="0.2">
      <c r="A175" s="134"/>
      <c r="B175" s="133"/>
      <c r="C175" s="133"/>
    </row>
    <row r="176" spans="1:3" x14ac:dyDescent="0.2">
      <c r="A176" s="134"/>
      <c r="B176" s="133"/>
      <c r="C176" s="133"/>
    </row>
    <row r="177" spans="1:3" x14ac:dyDescent="0.2">
      <c r="A177" s="134"/>
      <c r="B177" s="133"/>
      <c r="C177" s="133"/>
    </row>
    <row r="178" spans="1:3" x14ac:dyDescent="0.2">
      <c r="A178" s="134"/>
      <c r="B178" s="133"/>
      <c r="C178" s="133"/>
    </row>
    <row r="179" spans="1:3" x14ac:dyDescent="0.2">
      <c r="A179" s="134"/>
      <c r="B179" s="133"/>
      <c r="C179" s="133"/>
    </row>
    <row r="180" spans="1:3" x14ac:dyDescent="0.2">
      <c r="A180" s="134"/>
      <c r="B180" s="133"/>
      <c r="C180" s="133"/>
    </row>
    <row r="181" spans="1:3" x14ac:dyDescent="0.2">
      <c r="A181" s="134"/>
      <c r="B181" s="133"/>
      <c r="C181" s="133"/>
    </row>
    <row r="182" spans="1:3" x14ac:dyDescent="0.2">
      <c r="A182" s="134"/>
      <c r="B182" s="133"/>
      <c r="C182" s="133"/>
    </row>
    <row r="183" spans="1:3" x14ac:dyDescent="0.2">
      <c r="A183" s="134"/>
      <c r="B183" s="133"/>
      <c r="C183" s="133"/>
    </row>
    <row r="184" spans="1:3" x14ac:dyDescent="0.2">
      <c r="A184" s="134"/>
      <c r="B184" s="133"/>
      <c r="C184" s="133"/>
    </row>
    <row r="185" spans="1:3" x14ac:dyDescent="0.2">
      <c r="A185" s="134"/>
      <c r="B185" s="133"/>
      <c r="C185" s="133"/>
    </row>
    <row r="186" spans="1:3" x14ac:dyDescent="0.2">
      <c r="A186" s="134"/>
      <c r="B186" s="133"/>
      <c r="C186" s="133"/>
    </row>
    <row r="187" spans="1:3" x14ac:dyDescent="0.2">
      <c r="A187" s="134"/>
      <c r="B187" s="133"/>
      <c r="C187" s="133"/>
    </row>
    <row r="188" spans="1:3" x14ac:dyDescent="0.2">
      <c r="A188" s="134"/>
      <c r="B188" s="133"/>
      <c r="C188" s="133"/>
    </row>
    <row r="189" spans="1:3" x14ac:dyDescent="0.2">
      <c r="A189" s="134"/>
      <c r="B189" s="133"/>
      <c r="C189" s="133"/>
    </row>
    <row r="190" spans="1:3" x14ac:dyDescent="0.2">
      <c r="A190" s="134"/>
      <c r="B190" s="133"/>
      <c r="C190" s="133"/>
    </row>
    <row r="191" spans="1:3" x14ac:dyDescent="0.2">
      <c r="A191" s="134"/>
      <c r="B191" s="133"/>
      <c r="C191" s="133"/>
    </row>
    <row r="192" spans="1:3" x14ac:dyDescent="0.2">
      <c r="A192" s="134"/>
      <c r="B192" s="133"/>
      <c r="C192" s="133"/>
    </row>
    <row r="193" spans="1:3" x14ac:dyDescent="0.2">
      <c r="A193" s="134"/>
      <c r="B193" s="133"/>
      <c r="C193" s="133"/>
    </row>
    <row r="194" spans="1:3" x14ac:dyDescent="0.2">
      <c r="A194" s="134"/>
      <c r="B194" s="133"/>
      <c r="C194" s="133"/>
    </row>
    <row r="195" spans="1:3" x14ac:dyDescent="0.2">
      <c r="A195" s="134"/>
      <c r="B195" s="133"/>
      <c r="C195" s="133"/>
    </row>
    <row r="196" spans="1:3" x14ac:dyDescent="0.2">
      <c r="A196" s="134"/>
      <c r="B196" s="133"/>
      <c r="C196" s="133"/>
    </row>
    <row r="197" spans="1:3" x14ac:dyDescent="0.2">
      <c r="A197" s="134"/>
      <c r="B197" s="133"/>
      <c r="C197" s="133"/>
    </row>
    <row r="198" spans="1:3" x14ac:dyDescent="0.2">
      <c r="A198" s="134"/>
      <c r="B198" s="133"/>
      <c r="C198" s="133"/>
    </row>
    <row r="199" spans="1:3" x14ac:dyDescent="0.2">
      <c r="A199" s="134"/>
      <c r="B199" s="133"/>
      <c r="C199" s="133"/>
    </row>
    <row r="200" spans="1:3" x14ac:dyDescent="0.2">
      <c r="A200" s="134"/>
      <c r="B200" s="133"/>
      <c r="C200" s="133"/>
    </row>
    <row r="201" spans="1:3" x14ac:dyDescent="0.2">
      <c r="A201" s="134"/>
      <c r="B201" s="133"/>
      <c r="C201" s="133"/>
    </row>
    <row r="202" spans="1:3" x14ac:dyDescent="0.2">
      <c r="A202" s="134"/>
      <c r="B202" s="133"/>
      <c r="C202" s="133"/>
    </row>
    <row r="203" spans="1:3" x14ac:dyDescent="0.2">
      <c r="A203" s="134"/>
      <c r="B203" s="133"/>
      <c r="C203" s="133"/>
    </row>
    <row r="204" spans="1:3" x14ac:dyDescent="0.2">
      <c r="A204" s="134"/>
      <c r="B204" s="133"/>
      <c r="C204" s="133"/>
    </row>
    <row r="205" spans="1:3" x14ac:dyDescent="0.2">
      <c r="A205" s="134"/>
      <c r="B205" s="133"/>
      <c r="C205" s="133"/>
    </row>
    <row r="206" spans="1:3" x14ac:dyDescent="0.2">
      <c r="A206" s="134"/>
      <c r="B206" s="133"/>
      <c r="C206" s="133"/>
    </row>
    <row r="207" spans="1:3" x14ac:dyDescent="0.2">
      <c r="A207" s="134"/>
      <c r="B207" s="133"/>
      <c r="C207" s="133"/>
    </row>
    <row r="208" spans="1:3" x14ac:dyDescent="0.2">
      <c r="A208" s="134"/>
      <c r="B208" s="133"/>
      <c r="C208" s="133"/>
    </row>
    <row r="209" spans="1:3" x14ac:dyDescent="0.2">
      <c r="A209" s="134"/>
      <c r="B209" s="133"/>
      <c r="C209" s="133"/>
    </row>
    <row r="210" spans="1:3" x14ac:dyDescent="0.2">
      <c r="A210" s="134"/>
      <c r="B210" s="133"/>
      <c r="C210" s="133"/>
    </row>
    <row r="211" spans="1:3" x14ac:dyDescent="0.2">
      <c r="A211" s="134"/>
      <c r="B211" s="133"/>
      <c r="C211" s="133"/>
    </row>
    <row r="212" spans="1:3" x14ac:dyDescent="0.2">
      <c r="A212" s="134"/>
      <c r="B212" s="133"/>
      <c r="C212" s="133"/>
    </row>
    <row r="213" spans="1:3" x14ac:dyDescent="0.2">
      <c r="A213" s="135"/>
      <c r="C213" s="133"/>
    </row>
    <row r="214" spans="1:3" x14ac:dyDescent="0.2">
      <c r="A214" s="135"/>
      <c r="C214" s="133"/>
    </row>
    <row r="215" spans="1:3" x14ac:dyDescent="0.2">
      <c r="A215" s="135"/>
    </row>
    <row r="216" spans="1:3" x14ac:dyDescent="0.2">
      <c r="A216" s="135"/>
    </row>
    <row r="217" spans="1:3" x14ac:dyDescent="0.2">
      <c r="A217" s="135"/>
    </row>
    <row r="218" spans="1:3" x14ac:dyDescent="0.2">
      <c r="A218" s="135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="110" zoomScaleNormal="110" workbookViewId="0"/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50" t="s">
        <v>177</v>
      </c>
    </row>
    <row r="2" spans="1:7" x14ac:dyDescent="0.2">
      <c r="A2" s="151"/>
      <c r="B2" s="151" t="s">
        <v>200</v>
      </c>
      <c r="C2" s="145"/>
      <c r="D2" s="145"/>
      <c r="F2" s="10"/>
      <c r="G2" s="21"/>
    </row>
    <row r="3" spans="1:7" x14ac:dyDescent="0.2">
      <c r="A3" s="10"/>
      <c r="B3" s="150" t="s">
        <v>179</v>
      </c>
      <c r="C3" s="10"/>
      <c r="D3" s="10"/>
    </row>
    <row r="4" spans="1:7" x14ac:dyDescent="0.2">
      <c r="B4" s="150" t="s">
        <v>178</v>
      </c>
      <c r="C4" s="10"/>
      <c r="D4" s="10"/>
    </row>
    <row r="5" spans="1:7" ht="14.25" x14ac:dyDescent="0.2">
      <c r="A5" s="153">
        <v>39448</v>
      </c>
      <c r="B5" s="152">
        <v>1053</v>
      </c>
      <c r="C5" s="148"/>
      <c r="D5" s="147"/>
      <c r="F5" s="22"/>
      <c r="G5" s="24"/>
    </row>
    <row r="6" spans="1:7" ht="14.25" x14ac:dyDescent="0.2">
      <c r="A6" s="153">
        <v>39479</v>
      </c>
      <c r="B6" s="152">
        <v>1192</v>
      </c>
      <c r="C6" s="148"/>
      <c r="D6" s="147"/>
      <c r="F6" s="22"/>
      <c r="G6" s="24"/>
    </row>
    <row r="7" spans="1:7" ht="14.25" x14ac:dyDescent="0.2">
      <c r="A7" s="153">
        <v>39508</v>
      </c>
      <c r="B7" s="152">
        <v>1291</v>
      </c>
      <c r="C7" s="148"/>
      <c r="D7" s="147"/>
    </row>
    <row r="8" spans="1:7" ht="14.25" x14ac:dyDescent="0.2">
      <c r="A8" s="153">
        <v>39539</v>
      </c>
      <c r="B8" s="152">
        <v>1247</v>
      </c>
      <c r="C8" s="148"/>
      <c r="D8" s="147"/>
    </row>
    <row r="9" spans="1:7" ht="14.25" x14ac:dyDescent="0.2">
      <c r="A9" s="153">
        <v>39569</v>
      </c>
      <c r="B9" s="152">
        <v>1250</v>
      </c>
      <c r="C9" s="148"/>
      <c r="D9" s="147"/>
    </row>
    <row r="10" spans="1:7" ht="14.25" x14ac:dyDescent="0.2">
      <c r="A10" s="153">
        <v>39600</v>
      </c>
      <c r="B10" s="152">
        <v>1199</v>
      </c>
      <c r="C10" s="148"/>
      <c r="D10" s="147"/>
    </row>
    <row r="11" spans="1:7" ht="14.25" x14ac:dyDescent="0.2">
      <c r="A11" s="153">
        <v>39630</v>
      </c>
      <c r="B11" s="152">
        <v>1115</v>
      </c>
      <c r="C11" s="148"/>
      <c r="D11" s="147"/>
    </row>
    <row r="12" spans="1:7" ht="14.25" x14ac:dyDescent="0.2">
      <c r="A12" s="153">
        <v>39661</v>
      </c>
      <c r="B12" s="152">
        <v>879</v>
      </c>
      <c r="C12" s="148"/>
      <c r="D12" s="147"/>
    </row>
    <row r="13" spans="1:7" ht="14.25" x14ac:dyDescent="0.2">
      <c r="A13" s="153">
        <v>39692</v>
      </c>
      <c r="B13" s="152">
        <v>743</v>
      </c>
      <c r="C13" s="148"/>
      <c r="D13" s="147"/>
    </row>
    <row r="14" spans="1:7" ht="14.25" x14ac:dyDescent="0.2">
      <c r="A14" s="153">
        <v>39722</v>
      </c>
      <c r="B14" s="152">
        <v>564</v>
      </c>
      <c r="C14" s="148"/>
      <c r="D14" s="147"/>
    </row>
    <row r="15" spans="1:7" ht="14.25" x14ac:dyDescent="0.2">
      <c r="A15" s="153">
        <v>39753</v>
      </c>
      <c r="B15" s="152">
        <v>489</v>
      </c>
      <c r="C15" s="148"/>
      <c r="D15" s="147"/>
    </row>
    <row r="16" spans="1:7" ht="14.25" x14ac:dyDescent="0.2">
      <c r="A16" s="153">
        <v>39783</v>
      </c>
      <c r="B16" s="152">
        <v>511</v>
      </c>
      <c r="C16" s="148"/>
      <c r="D16" s="147"/>
    </row>
    <row r="17" spans="1:9" ht="14.25" x14ac:dyDescent="0.2">
      <c r="A17" s="153">
        <v>39814</v>
      </c>
      <c r="B17" s="152">
        <v>566</v>
      </c>
      <c r="C17" s="148"/>
      <c r="D17" s="147"/>
      <c r="H17" s="20"/>
      <c r="I17" s="20"/>
    </row>
    <row r="18" spans="1:9" ht="14.25" x14ac:dyDescent="0.2">
      <c r="A18" s="153">
        <v>39845</v>
      </c>
      <c r="B18" s="152">
        <v>577</v>
      </c>
      <c r="C18" s="148"/>
      <c r="D18" s="147"/>
      <c r="H18" s="13"/>
    </row>
    <row r="19" spans="1:9" ht="14.25" x14ac:dyDescent="0.2">
      <c r="A19" s="153">
        <v>39873</v>
      </c>
      <c r="B19" s="152">
        <v>595</v>
      </c>
      <c r="C19" s="148"/>
      <c r="D19" s="147"/>
      <c r="H19" s="13"/>
    </row>
    <row r="20" spans="1:9" ht="14.25" x14ac:dyDescent="0.2">
      <c r="A20" s="153">
        <v>39904</v>
      </c>
      <c r="B20" s="152">
        <v>716</v>
      </c>
      <c r="C20" s="148"/>
      <c r="D20" s="147"/>
      <c r="H20" s="13"/>
    </row>
    <row r="21" spans="1:9" ht="14.25" x14ac:dyDescent="0.2">
      <c r="A21" s="153">
        <v>39934</v>
      </c>
      <c r="B21" s="152">
        <v>799</v>
      </c>
      <c r="C21" s="148"/>
      <c r="D21" s="147"/>
      <c r="H21" s="13"/>
    </row>
    <row r="22" spans="1:9" ht="14.25" x14ac:dyDescent="0.2">
      <c r="A22" s="153">
        <v>39965</v>
      </c>
      <c r="B22" s="152">
        <v>732</v>
      </c>
      <c r="C22" s="148"/>
      <c r="D22" s="147"/>
      <c r="H22" s="13"/>
    </row>
    <row r="23" spans="1:9" ht="14.25" x14ac:dyDescent="0.2">
      <c r="A23" s="153">
        <v>39995</v>
      </c>
      <c r="B23" s="152">
        <v>647</v>
      </c>
      <c r="C23" s="148"/>
      <c r="D23" s="147"/>
      <c r="H23" s="13"/>
    </row>
    <row r="24" spans="1:9" ht="14.25" x14ac:dyDescent="0.2">
      <c r="A24" s="153">
        <v>40026</v>
      </c>
      <c r="B24" s="152">
        <v>719</v>
      </c>
      <c r="C24" s="147"/>
      <c r="D24" s="147"/>
      <c r="H24" s="13"/>
    </row>
    <row r="25" spans="1:9" ht="14.25" x14ac:dyDescent="0.2">
      <c r="A25" s="153">
        <v>40057</v>
      </c>
      <c r="B25" s="152">
        <v>675</v>
      </c>
      <c r="C25" s="147"/>
      <c r="D25" s="147"/>
      <c r="H25" s="13"/>
    </row>
    <row r="26" spans="1:9" ht="14.25" x14ac:dyDescent="0.2">
      <c r="A26" s="153">
        <v>40087</v>
      </c>
      <c r="B26" s="152">
        <v>663</v>
      </c>
      <c r="C26" s="147"/>
      <c r="D26" s="147"/>
      <c r="H26" s="13"/>
    </row>
    <row r="27" spans="1:9" ht="14.25" x14ac:dyDescent="0.2">
      <c r="A27" s="153">
        <v>40118</v>
      </c>
      <c r="B27" s="152">
        <v>703</v>
      </c>
      <c r="C27" s="147"/>
      <c r="D27" s="147"/>
      <c r="H27" s="13"/>
    </row>
    <row r="28" spans="1:9" ht="14.25" x14ac:dyDescent="0.2">
      <c r="A28" s="153">
        <v>40148</v>
      </c>
      <c r="B28" s="152">
        <v>766</v>
      </c>
      <c r="C28" s="147"/>
      <c r="D28" s="147"/>
      <c r="H28" s="13"/>
    </row>
    <row r="29" spans="1:9" ht="14.25" x14ac:dyDescent="0.2">
      <c r="A29" s="153">
        <v>40179</v>
      </c>
      <c r="B29" s="152">
        <v>774</v>
      </c>
      <c r="C29" s="147"/>
      <c r="D29" s="147"/>
      <c r="H29" s="13"/>
    </row>
    <row r="30" spans="1:9" ht="14.25" x14ac:dyDescent="0.2">
      <c r="A30" s="153">
        <v>40210</v>
      </c>
      <c r="B30" s="152">
        <v>778</v>
      </c>
      <c r="C30" s="147"/>
      <c r="D30" s="147"/>
    </row>
    <row r="31" spans="1:9" ht="14.25" x14ac:dyDescent="0.2">
      <c r="A31" s="153">
        <v>40238</v>
      </c>
      <c r="B31" s="152">
        <v>809</v>
      </c>
      <c r="C31" s="147"/>
      <c r="D31" s="147"/>
    </row>
    <row r="32" spans="1:9" ht="14.25" x14ac:dyDescent="0.2">
      <c r="A32" s="153">
        <v>40269</v>
      </c>
      <c r="B32" s="152">
        <v>811</v>
      </c>
      <c r="C32" s="147"/>
      <c r="D32" s="147"/>
    </row>
    <row r="33" spans="1:4" ht="14.25" x14ac:dyDescent="0.2">
      <c r="A33" s="153">
        <v>40299</v>
      </c>
      <c r="B33" s="152">
        <v>798</v>
      </c>
      <c r="C33" s="147"/>
      <c r="D33" s="147"/>
    </row>
    <row r="34" spans="1:4" ht="14.25" x14ac:dyDescent="0.2">
      <c r="A34" s="153">
        <v>40330</v>
      </c>
      <c r="B34" s="152">
        <v>787</v>
      </c>
      <c r="C34" s="147"/>
      <c r="D34" s="147"/>
    </row>
    <row r="35" spans="1:4" ht="14.25" x14ac:dyDescent="0.2">
      <c r="A35" s="153">
        <v>40360</v>
      </c>
      <c r="B35" s="152">
        <v>801</v>
      </c>
      <c r="C35" s="147"/>
      <c r="D35" s="147"/>
    </row>
    <row r="36" spans="1:4" ht="14.25" x14ac:dyDescent="0.2">
      <c r="A36" s="153">
        <v>40391</v>
      </c>
      <c r="B36" s="152">
        <v>915</v>
      </c>
      <c r="C36" s="147"/>
      <c r="D36" s="147"/>
    </row>
    <row r="37" spans="1:4" ht="14.25" x14ac:dyDescent="0.2">
      <c r="A37" s="153">
        <v>40422</v>
      </c>
      <c r="B37" s="152">
        <v>906</v>
      </c>
      <c r="C37" s="147"/>
      <c r="D37" s="147"/>
    </row>
    <row r="38" spans="1:4" ht="14.25" x14ac:dyDescent="0.2">
      <c r="A38" s="153">
        <v>40452</v>
      </c>
      <c r="B38" s="152">
        <v>997</v>
      </c>
      <c r="C38" s="147"/>
      <c r="D38" s="147"/>
    </row>
    <row r="39" spans="1:4" ht="14.25" x14ac:dyDescent="0.2">
      <c r="A39" s="153">
        <v>40483</v>
      </c>
      <c r="B39" s="152">
        <v>1107</v>
      </c>
      <c r="C39" s="147"/>
      <c r="D39" s="147"/>
    </row>
    <row r="40" spans="1:4" ht="14.25" x14ac:dyDescent="0.2">
      <c r="A40" s="153">
        <v>40513</v>
      </c>
      <c r="B40" s="152">
        <v>1196</v>
      </c>
      <c r="C40" s="147"/>
      <c r="D40" s="147"/>
    </row>
    <row r="41" spans="1:4" ht="14.25" x14ac:dyDescent="0.2">
      <c r="A41" s="153">
        <v>40544</v>
      </c>
      <c r="B41" s="152">
        <v>1256</v>
      </c>
      <c r="C41" s="147"/>
      <c r="D41" s="147"/>
    </row>
    <row r="42" spans="1:4" ht="14.25" x14ac:dyDescent="0.2">
      <c r="A42" s="153">
        <v>40575</v>
      </c>
      <c r="B42" s="152">
        <v>1282</v>
      </c>
      <c r="C42" s="147"/>
      <c r="D42" s="147"/>
    </row>
    <row r="43" spans="1:4" ht="14.25" x14ac:dyDescent="0.2">
      <c r="A43" s="153">
        <v>40603</v>
      </c>
      <c r="B43" s="152">
        <v>1196</v>
      </c>
      <c r="C43" s="147"/>
      <c r="D43" s="147"/>
    </row>
    <row r="44" spans="1:4" ht="14.25" x14ac:dyDescent="0.2">
      <c r="A44" s="153">
        <v>40634</v>
      </c>
      <c r="B44" s="152">
        <v>1167</v>
      </c>
      <c r="C44" s="147"/>
      <c r="D44" s="147"/>
    </row>
    <row r="45" spans="1:4" ht="14.25" x14ac:dyDescent="0.2">
      <c r="A45" s="153">
        <v>40664</v>
      </c>
      <c r="B45" s="152">
        <v>1199</v>
      </c>
      <c r="C45" s="147"/>
      <c r="D45" s="147"/>
    </row>
    <row r="46" spans="1:4" ht="14.25" x14ac:dyDescent="0.2">
      <c r="A46" s="153">
        <v>40695</v>
      </c>
      <c r="B46" s="152">
        <v>1123</v>
      </c>
      <c r="C46" s="147"/>
      <c r="D46" s="147"/>
    </row>
    <row r="47" spans="1:4" ht="14.25" x14ac:dyDescent="0.2">
      <c r="A47" s="153">
        <v>40725</v>
      </c>
      <c r="B47" s="152">
        <v>1123</v>
      </c>
      <c r="C47" s="147"/>
      <c r="D47" s="147"/>
    </row>
    <row r="48" spans="1:4" ht="14.25" x14ac:dyDescent="0.2">
      <c r="A48" s="153">
        <v>40756</v>
      </c>
      <c r="B48" s="152">
        <v>1133</v>
      </c>
      <c r="C48" s="147"/>
      <c r="D48" s="147"/>
    </row>
    <row r="49" spans="1:4" ht="14.25" x14ac:dyDescent="0.2">
      <c r="A49" s="153">
        <v>40787</v>
      </c>
      <c r="B49" s="152">
        <v>1066</v>
      </c>
      <c r="C49" s="147"/>
      <c r="D49" s="147"/>
    </row>
    <row r="50" spans="1:4" ht="14.25" x14ac:dyDescent="0.2">
      <c r="A50" s="153">
        <v>40817</v>
      </c>
      <c r="B50" s="152">
        <v>970</v>
      </c>
      <c r="C50" s="147"/>
      <c r="D50" s="147"/>
    </row>
    <row r="51" spans="1:4" ht="14.25" x14ac:dyDescent="0.2">
      <c r="A51" s="153">
        <v>40848</v>
      </c>
      <c r="B51" s="152">
        <v>1034</v>
      </c>
      <c r="C51" s="147"/>
      <c r="D51" s="147"/>
    </row>
    <row r="52" spans="1:4" ht="14.25" x14ac:dyDescent="0.2">
      <c r="A52" s="153">
        <v>40878</v>
      </c>
      <c r="B52" s="152">
        <v>1053</v>
      </c>
      <c r="C52" s="147"/>
      <c r="D52" s="147"/>
    </row>
    <row r="53" spans="1:4" ht="14.25" x14ac:dyDescent="0.2">
      <c r="A53" s="153">
        <v>40909</v>
      </c>
      <c r="B53" s="152">
        <v>1056</v>
      </c>
      <c r="C53" s="147"/>
      <c r="D53" s="147"/>
    </row>
    <row r="54" spans="1:4" ht="14.25" x14ac:dyDescent="0.2">
      <c r="A54" s="153">
        <v>40940</v>
      </c>
      <c r="B54" s="152">
        <v>1070</v>
      </c>
      <c r="C54" s="147"/>
      <c r="D54" s="147"/>
    </row>
    <row r="55" spans="1:4" ht="14.25" x14ac:dyDescent="0.2">
      <c r="A55" s="153">
        <v>40969</v>
      </c>
      <c r="B55" s="152">
        <v>1126</v>
      </c>
      <c r="C55" s="147"/>
      <c r="D55" s="147"/>
    </row>
    <row r="56" spans="1:4" ht="14.25" x14ac:dyDescent="0.2">
      <c r="A56" s="153">
        <v>41000</v>
      </c>
      <c r="B56" s="152">
        <v>1166</v>
      </c>
      <c r="C56" s="147"/>
      <c r="D56" s="147"/>
    </row>
    <row r="57" spans="1:4" ht="14.25" x14ac:dyDescent="0.2">
      <c r="A57" s="153">
        <v>41030</v>
      </c>
      <c r="B57" s="152">
        <v>1062</v>
      </c>
      <c r="C57" s="147"/>
      <c r="D57" s="147"/>
    </row>
    <row r="58" spans="1:4" ht="14.25" x14ac:dyDescent="0.2">
      <c r="A58" s="153">
        <v>41061</v>
      </c>
      <c r="B58" s="152">
        <v>965</v>
      </c>
      <c r="C58" s="147"/>
      <c r="D58" s="147"/>
    </row>
    <row r="59" spans="1:4" ht="14.25" x14ac:dyDescent="0.2">
      <c r="A59" s="153">
        <v>41091</v>
      </c>
      <c r="B59" s="152">
        <v>990</v>
      </c>
      <c r="C59" s="147"/>
      <c r="D59" s="147"/>
    </row>
    <row r="60" spans="1:4" ht="14.25" x14ac:dyDescent="0.2">
      <c r="A60" s="153">
        <v>41122</v>
      </c>
      <c r="B60" s="152">
        <v>960</v>
      </c>
      <c r="C60" s="147"/>
      <c r="D60" s="147"/>
    </row>
    <row r="61" spans="1:4" ht="14.25" x14ac:dyDescent="0.2">
      <c r="A61" s="153">
        <v>41153</v>
      </c>
      <c r="B61" s="152">
        <v>935</v>
      </c>
      <c r="C61" s="147"/>
      <c r="D61" s="147"/>
    </row>
    <row r="62" spans="1:4" ht="14.25" x14ac:dyDescent="0.2">
      <c r="A62" s="153">
        <v>41183</v>
      </c>
      <c r="B62" s="152">
        <v>823</v>
      </c>
      <c r="C62" s="147"/>
      <c r="D62" s="147"/>
    </row>
    <row r="63" spans="1:4" ht="14.25" x14ac:dyDescent="0.2">
      <c r="A63" s="153">
        <v>41214</v>
      </c>
      <c r="B63" s="152">
        <v>799</v>
      </c>
      <c r="C63" s="147"/>
      <c r="D63" s="147"/>
    </row>
    <row r="64" spans="1:4" ht="14.25" x14ac:dyDescent="0.2">
      <c r="A64" s="153">
        <v>41244</v>
      </c>
      <c r="B64" s="152">
        <v>763</v>
      </c>
      <c r="C64" s="147"/>
      <c r="D64" s="147"/>
    </row>
    <row r="65" spans="1:4" ht="14.25" x14ac:dyDescent="0.2">
      <c r="A65" s="153">
        <v>41275</v>
      </c>
      <c r="B65" s="152">
        <v>812</v>
      </c>
      <c r="C65" s="147"/>
      <c r="D65" s="147"/>
    </row>
    <row r="66" spans="1:4" ht="14.25" x14ac:dyDescent="0.2">
      <c r="A66" s="153">
        <v>41306</v>
      </c>
      <c r="B66" s="152">
        <v>828</v>
      </c>
      <c r="C66" s="147"/>
      <c r="D66" s="147"/>
    </row>
    <row r="67" spans="1:4" ht="14.25" x14ac:dyDescent="0.2">
      <c r="A67" s="153">
        <v>41334</v>
      </c>
      <c r="B67" s="152">
        <v>804</v>
      </c>
      <c r="C67" s="147"/>
      <c r="D67" s="147"/>
    </row>
    <row r="68" spans="1:4" ht="14.25" x14ac:dyDescent="0.2">
      <c r="A68" s="153">
        <v>41365</v>
      </c>
      <c r="B68" s="152">
        <v>793</v>
      </c>
      <c r="C68" s="147"/>
      <c r="D68" s="147"/>
    </row>
    <row r="69" spans="1:4" ht="14.25" x14ac:dyDescent="0.2">
      <c r="A69" s="153">
        <v>41395</v>
      </c>
      <c r="B69" s="152">
        <v>795</v>
      </c>
      <c r="C69" s="147"/>
      <c r="D69" s="147"/>
    </row>
    <row r="70" spans="1:4" ht="14.25" x14ac:dyDescent="0.2">
      <c r="A70" s="153">
        <v>41426</v>
      </c>
      <c r="B70" s="152">
        <v>796</v>
      </c>
      <c r="C70" s="147"/>
      <c r="D70" s="147"/>
    </row>
    <row r="71" spans="1:4" ht="14.25" x14ac:dyDescent="0.2">
      <c r="A71" s="153">
        <v>41456</v>
      </c>
      <c r="B71" s="152">
        <v>765</v>
      </c>
      <c r="C71" s="147"/>
      <c r="D71" s="147"/>
    </row>
    <row r="72" spans="1:4" ht="14.25" x14ac:dyDescent="0.2">
      <c r="A72" s="153">
        <v>41487</v>
      </c>
      <c r="B72" s="152">
        <v>757</v>
      </c>
      <c r="C72" s="147"/>
      <c r="D72" s="147"/>
    </row>
    <row r="73" spans="1:4" ht="14.25" x14ac:dyDescent="0.2">
      <c r="A73" s="153">
        <v>41518</v>
      </c>
      <c r="B73" s="152">
        <v>760</v>
      </c>
      <c r="C73" s="147"/>
      <c r="D73" s="147"/>
    </row>
    <row r="74" spans="1:4" ht="14.25" x14ac:dyDescent="0.2">
      <c r="A74" s="153">
        <v>41548</v>
      </c>
      <c r="B74" s="152">
        <v>795</v>
      </c>
      <c r="C74" s="147"/>
      <c r="D74" s="147"/>
    </row>
    <row r="75" spans="1:4" ht="14.25" x14ac:dyDescent="0.2">
      <c r="A75" s="153">
        <v>41579</v>
      </c>
      <c r="B75" s="152">
        <v>835</v>
      </c>
      <c r="C75" s="147"/>
      <c r="D75" s="147"/>
    </row>
    <row r="76" spans="1:4" ht="14.25" x14ac:dyDescent="0.2">
      <c r="A76" s="153">
        <v>41609</v>
      </c>
      <c r="B76" s="152">
        <v>813</v>
      </c>
      <c r="C76" s="147"/>
      <c r="D76" s="147"/>
    </row>
    <row r="77" spans="1:4" ht="14.25" x14ac:dyDescent="0.2">
      <c r="A77" s="153">
        <v>41640</v>
      </c>
      <c r="B77" s="152">
        <v>796</v>
      </c>
      <c r="C77" s="147"/>
      <c r="D77" s="147"/>
    </row>
    <row r="78" spans="1:4" ht="14.25" x14ac:dyDescent="0.2">
      <c r="A78" s="153">
        <v>41671</v>
      </c>
      <c r="B78" s="152">
        <v>846</v>
      </c>
      <c r="C78" s="147"/>
      <c r="D78" s="147"/>
    </row>
    <row r="79" spans="1:4" ht="14.25" x14ac:dyDescent="0.2">
      <c r="A79" s="153">
        <v>41699</v>
      </c>
      <c r="B79" s="152">
        <v>890</v>
      </c>
      <c r="C79" s="147"/>
      <c r="D79" s="147"/>
    </row>
    <row r="80" spans="1:4" ht="14.25" x14ac:dyDescent="0.2">
      <c r="A80" s="153">
        <v>41730</v>
      </c>
      <c r="B80" s="152">
        <v>858</v>
      </c>
      <c r="C80" s="147"/>
      <c r="D80" s="147"/>
    </row>
    <row r="81" spans="1:4" ht="14.25" x14ac:dyDescent="0.2">
      <c r="A81" s="153">
        <v>41760</v>
      </c>
      <c r="B81" s="152">
        <v>828</v>
      </c>
      <c r="C81" s="147"/>
      <c r="D81" s="147"/>
    </row>
    <row r="82" spans="1:4" ht="14.25" x14ac:dyDescent="0.2">
      <c r="A82" s="153">
        <v>41791</v>
      </c>
      <c r="B82" s="152">
        <v>793</v>
      </c>
      <c r="C82" s="147"/>
      <c r="D82" s="147"/>
    </row>
    <row r="83" spans="1:4" ht="14.25" x14ac:dyDescent="0.2">
      <c r="A83" s="153">
        <v>41821</v>
      </c>
      <c r="B83" s="152">
        <v>782</v>
      </c>
      <c r="C83" s="147"/>
      <c r="D83" s="147"/>
    </row>
    <row r="84" spans="1:4" ht="14.25" x14ac:dyDescent="0.2">
      <c r="A84" s="153">
        <v>41852</v>
      </c>
      <c r="B84" s="152">
        <v>701</v>
      </c>
      <c r="C84" s="147"/>
      <c r="D84" s="147"/>
    </row>
    <row r="85" spans="1:4" ht="14.25" x14ac:dyDescent="0.2">
      <c r="A85" s="153">
        <v>41883</v>
      </c>
      <c r="B85" s="152">
        <v>694</v>
      </c>
      <c r="C85" s="147"/>
      <c r="D85" s="147"/>
    </row>
    <row r="86" spans="1:4" ht="14.25" x14ac:dyDescent="0.2">
      <c r="A86" s="153">
        <v>41913</v>
      </c>
      <c r="B86" s="152">
        <v>693</v>
      </c>
      <c r="C86" s="147"/>
      <c r="D86" s="147"/>
    </row>
    <row r="87" spans="1:4" ht="14.25" x14ac:dyDescent="0.2">
      <c r="A87" s="153">
        <v>41944</v>
      </c>
      <c r="B87" s="152">
        <v>693</v>
      </c>
      <c r="C87" s="147"/>
      <c r="D87" s="147"/>
    </row>
    <row r="88" spans="1:4" ht="14.25" x14ac:dyDescent="0.2">
      <c r="A88" s="153">
        <v>41974</v>
      </c>
      <c r="B88" s="152">
        <v>656</v>
      </c>
      <c r="C88" s="147"/>
      <c r="D88" s="147"/>
    </row>
    <row r="89" spans="1:4" ht="14.25" x14ac:dyDescent="0.2">
      <c r="A89" s="153">
        <v>42005</v>
      </c>
      <c r="B89" s="152">
        <v>652</v>
      </c>
      <c r="C89" s="147"/>
      <c r="D89" s="147"/>
    </row>
    <row r="90" spans="1:4" ht="14.25" x14ac:dyDescent="0.2">
      <c r="A90" s="153">
        <v>42036</v>
      </c>
      <c r="B90" s="152">
        <v>662</v>
      </c>
      <c r="C90" s="147"/>
      <c r="D90" s="147"/>
    </row>
    <row r="91" spans="1:4" ht="14.25" x14ac:dyDescent="0.2">
      <c r="A91" s="153">
        <v>42064</v>
      </c>
      <c r="B91" s="152">
        <v>629</v>
      </c>
      <c r="C91" s="147"/>
      <c r="D91" s="147"/>
    </row>
    <row r="92" spans="1:4" ht="14.25" x14ac:dyDescent="0.2">
      <c r="A92" s="153">
        <v>42095</v>
      </c>
      <c r="B92" s="152">
        <v>610</v>
      </c>
      <c r="C92" s="147"/>
      <c r="D92" s="147"/>
    </row>
    <row r="93" spans="1:4" ht="14.25" x14ac:dyDescent="0.2">
      <c r="A93" s="153">
        <v>42125</v>
      </c>
      <c r="B93" s="152">
        <v>628</v>
      </c>
      <c r="C93" s="147"/>
      <c r="D93" s="147"/>
    </row>
    <row r="94" spans="1:4" ht="14.25" x14ac:dyDescent="0.2">
      <c r="A94" s="153">
        <v>42156</v>
      </c>
      <c r="B94" s="152">
        <v>638</v>
      </c>
      <c r="C94" s="147"/>
      <c r="D94" s="147"/>
    </row>
    <row r="95" spans="1:4" ht="14.25" x14ac:dyDescent="0.2">
      <c r="A95" s="153">
        <v>42186</v>
      </c>
      <c r="B95" s="152">
        <v>610</v>
      </c>
      <c r="C95" s="147"/>
      <c r="D95" s="147"/>
    </row>
    <row r="96" spans="1:4" ht="14.25" x14ac:dyDescent="0.2">
      <c r="A96" s="153">
        <v>42217</v>
      </c>
      <c r="B96" s="152">
        <v>524</v>
      </c>
      <c r="C96" s="147"/>
      <c r="D96" s="147"/>
    </row>
    <row r="97" spans="1:4" ht="14.25" x14ac:dyDescent="0.2">
      <c r="A97" s="153">
        <v>42248</v>
      </c>
      <c r="B97" s="152">
        <v>521</v>
      </c>
      <c r="C97" s="147"/>
      <c r="D97" s="147"/>
    </row>
    <row r="98" spans="1:4" ht="14.25" x14ac:dyDescent="0.2">
      <c r="A98" s="153">
        <v>42278</v>
      </c>
      <c r="B98" s="152">
        <v>565</v>
      </c>
      <c r="C98" s="147"/>
      <c r="D98" s="147"/>
    </row>
    <row r="99" spans="1:4" ht="14.25" x14ac:dyDescent="0.2">
      <c r="A99" s="153">
        <v>42309</v>
      </c>
      <c r="B99" s="152">
        <v>541</v>
      </c>
      <c r="C99" s="147"/>
      <c r="D99" s="147"/>
    </row>
    <row r="100" spans="1:4" ht="14.25" x14ac:dyDescent="0.2">
      <c r="A100" s="153">
        <v>42339</v>
      </c>
      <c r="B100" s="152">
        <v>539</v>
      </c>
      <c r="C100" s="147"/>
      <c r="D100" s="147"/>
    </row>
    <row r="101" spans="1:4" ht="14.25" x14ac:dyDescent="0.2">
      <c r="A101" s="153">
        <v>42370</v>
      </c>
      <c r="B101" s="152">
        <v>550</v>
      </c>
      <c r="C101" s="147"/>
      <c r="D101" s="147"/>
    </row>
    <row r="102" spans="1:4" ht="14.25" x14ac:dyDescent="0.2">
      <c r="A102" s="153">
        <v>42401</v>
      </c>
      <c r="B102" s="152">
        <v>613</v>
      </c>
      <c r="C102" s="147"/>
      <c r="D102" s="147"/>
    </row>
    <row r="103" spans="1:4" ht="14.25" x14ac:dyDescent="0.2">
      <c r="A103" s="153">
        <v>42430</v>
      </c>
      <c r="B103" s="152">
        <v>654</v>
      </c>
      <c r="C103" s="147"/>
      <c r="D103" s="147"/>
    </row>
    <row r="104" spans="1:4" ht="14.25" x14ac:dyDescent="0.2">
      <c r="A104" s="153">
        <v>42461</v>
      </c>
      <c r="B104" s="152">
        <v>707</v>
      </c>
      <c r="C104" s="147"/>
      <c r="D104" s="147"/>
    </row>
    <row r="105" spans="1:4" ht="14.25" x14ac:dyDescent="0.2">
      <c r="A105" s="153">
        <v>42491</v>
      </c>
      <c r="B105" s="152">
        <v>686</v>
      </c>
      <c r="C105" s="147"/>
      <c r="D105" s="147"/>
    </row>
    <row r="106" spans="1:4" ht="14.25" x14ac:dyDescent="0.2">
      <c r="A106" s="153">
        <v>42522</v>
      </c>
      <c r="B106" s="152">
        <v>640</v>
      </c>
      <c r="C106" s="147"/>
      <c r="D106" s="147"/>
    </row>
    <row r="107" spans="1:4" ht="14.25" x14ac:dyDescent="0.2">
      <c r="A107" s="153">
        <v>42552</v>
      </c>
      <c r="B107" s="152">
        <v>615</v>
      </c>
      <c r="C107" s="147"/>
      <c r="D107" s="147"/>
    </row>
    <row r="108" spans="1:4" ht="14.25" x14ac:dyDescent="0.2">
      <c r="A108" s="153">
        <v>42583</v>
      </c>
      <c r="B108" s="152">
        <v>704</v>
      </c>
      <c r="C108" s="147"/>
      <c r="D108" s="147"/>
    </row>
    <row r="109" spans="1:4" ht="14.25" x14ac:dyDescent="0.2">
      <c r="A109" s="153">
        <v>42614</v>
      </c>
      <c r="B109" s="152">
        <v>716</v>
      </c>
      <c r="C109" s="147"/>
      <c r="D109" s="147"/>
    </row>
    <row r="110" spans="1:4" ht="14.25" x14ac:dyDescent="0.2">
      <c r="A110" s="153">
        <v>42644</v>
      </c>
      <c r="B110" s="152">
        <v>677</v>
      </c>
      <c r="C110" s="147"/>
      <c r="D110" s="147"/>
    </row>
    <row r="111" spans="1:4" ht="14.25" x14ac:dyDescent="0.2">
      <c r="A111" s="153">
        <v>42675</v>
      </c>
      <c r="B111" s="152">
        <v>708</v>
      </c>
      <c r="C111" s="147"/>
      <c r="D111" s="147"/>
    </row>
    <row r="112" spans="1:4" ht="14.25" x14ac:dyDescent="0.2">
      <c r="A112" s="153">
        <v>42705</v>
      </c>
      <c r="B112" s="152">
        <v>745</v>
      </c>
      <c r="C112" s="147"/>
      <c r="D112" s="147"/>
    </row>
    <row r="113" spans="1:4" ht="14.25" x14ac:dyDescent="0.2">
      <c r="A113" s="153">
        <v>42736</v>
      </c>
      <c r="B113" s="152">
        <v>759</v>
      </c>
      <c r="C113" s="147"/>
      <c r="D113" s="147"/>
    </row>
    <row r="114" spans="1:4" ht="14.25" x14ac:dyDescent="0.2">
      <c r="A114" s="153">
        <v>42767</v>
      </c>
      <c r="B114" s="152">
        <v>740</v>
      </c>
      <c r="C114" s="147"/>
      <c r="D114" s="147"/>
    </row>
    <row r="115" spans="1:4" ht="14.25" x14ac:dyDescent="0.2">
      <c r="A115" s="153">
        <v>42795</v>
      </c>
      <c r="B115" s="152">
        <v>713</v>
      </c>
      <c r="C115" s="147"/>
      <c r="D115" s="147"/>
    </row>
    <row r="116" spans="1:4" ht="14.25" x14ac:dyDescent="0.2">
      <c r="A116" s="153">
        <v>42826</v>
      </c>
      <c r="B116" s="152">
        <v>681</v>
      </c>
      <c r="C116" s="147"/>
      <c r="D116" s="147"/>
    </row>
    <row r="117" spans="1:4" ht="14.25" x14ac:dyDescent="0.2">
      <c r="A117" s="153">
        <v>42856</v>
      </c>
      <c r="B117" s="152">
        <v>698</v>
      </c>
      <c r="C117" s="147"/>
      <c r="D117" s="147"/>
    </row>
    <row r="118" spans="1:4" ht="14.25" x14ac:dyDescent="0.2">
      <c r="A118" s="153">
        <v>42887</v>
      </c>
      <c r="B118" s="152">
        <v>670</v>
      </c>
      <c r="C118" s="147"/>
      <c r="D118" s="147"/>
    </row>
    <row r="119" spans="1:4" ht="14.25" x14ac:dyDescent="0.2">
      <c r="A119" s="153">
        <v>42917</v>
      </c>
      <c r="B119" s="152">
        <v>658</v>
      </c>
      <c r="C119" s="147"/>
      <c r="D119" s="147"/>
    </row>
    <row r="120" spans="1:4" ht="14.25" x14ac:dyDescent="0.2">
      <c r="A120" s="153">
        <v>42948</v>
      </c>
      <c r="B120" s="152">
        <v>651</v>
      </c>
      <c r="C120" s="147"/>
      <c r="D120" s="147"/>
    </row>
    <row r="121" spans="1:4" ht="14.25" x14ac:dyDescent="0.2">
      <c r="A121" s="153">
        <v>42979</v>
      </c>
      <c r="B121" s="152">
        <v>690</v>
      </c>
      <c r="C121" s="147"/>
      <c r="D121" s="147"/>
    </row>
    <row r="122" spans="1:4" ht="14.25" x14ac:dyDescent="0.2">
      <c r="A122" s="153">
        <v>43009</v>
      </c>
      <c r="B122" s="152">
        <v>681</v>
      </c>
      <c r="C122" s="147"/>
      <c r="D122" s="147"/>
    </row>
    <row r="123" spans="1:4" ht="14.25" x14ac:dyDescent="0.2">
      <c r="A123" s="153">
        <v>43040</v>
      </c>
      <c r="B123" s="152">
        <v>670</v>
      </c>
      <c r="C123" s="147"/>
      <c r="D123" s="147"/>
    </row>
    <row r="124" spans="1:4" ht="14.25" x14ac:dyDescent="0.2">
      <c r="A124" s="153">
        <v>43070</v>
      </c>
      <c r="B124" s="152">
        <v>619</v>
      </c>
      <c r="C124" s="147"/>
      <c r="D124" s="147"/>
    </row>
    <row r="125" spans="1:4" ht="14.25" x14ac:dyDescent="0.2">
      <c r="A125" s="153">
        <v>43101</v>
      </c>
      <c r="B125" s="152">
        <v>650</v>
      </c>
      <c r="C125" s="147"/>
      <c r="D125" s="147"/>
    </row>
    <row r="126" spans="1:4" ht="14.25" x14ac:dyDescent="0.2">
      <c r="A126" s="153">
        <v>43132</v>
      </c>
      <c r="B126" s="152">
        <v>654</v>
      </c>
      <c r="C126" s="147"/>
      <c r="D126" s="147"/>
    </row>
    <row r="127" spans="1:4" ht="14.25" x14ac:dyDescent="0.2">
      <c r="A127" s="153">
        <v>43160</v>
      </c>
      <c r="B127" s="152">
        <v>658</v>
      </c>
      <c r="C127" s="147"/>
      <c r="D127" s="147"/>
    </row>
    <row r="128" spans="1:4" ht="14.25" x14ac:dyDescent="0.2">
      <c r="A128" s="153">
        <v>43191</v>
      </c>
      <c r="B128" s="152">
        <v>651</v>
      </c>
      <c r="C128" s="147"/>
      <c r="D128" s="147"/>
    </row>
    <row r="129" spans="1:4" ht="14.25" x14ac:dyDescent="0.2">
      <c r="A129" s="153">
        <v>43221</v>
      </c>
      <c r="B129" s="152">
        <v>639</v>
      </c>
      <c r="C129" s="147"/>
      <c r="D129" s="147"/>
    </row>
    <row r="130" spans="1:4" ht="14.25" x14ac:dyDescent="0.2">
      <c r="A130" s="153">
        <v>43252</v>
      </c>
      <c r="B130" s="152">
        <v>605</v>
      </c>
      <c r="C130" s="147"/>
      <c r="D130" s="147"/>
    </row>
    <row r="131" spans="1:4" ht="14.25" x14ac:dyDescent="0.2">
      <c r="A131" s="153">
        <v>43282</v>
      </c>
      <c r="B131" s="152">
        <v>570</v>
      </c>
      <c r="C131" s="147"/>
      <c r="D131" s="147"/>
    </row>
    <row r="132" spans="1:4" ht="14.25" x14ac:dyDescent="0.2">
      <c r="A132" s="153">
        <v>43313</v>
      </c>
      <c r="B132" s="152">
        <v>559</v>
      </c>
      <c r="C132" s="147"/>
      <c r="D132" s="147"/>
    </row>
    <row r="133" spans="1:4" ht="14.25" x14ac:dyDescent="0.2">
      <c r="A133" s="153">
        <v>43344</v>
      </c>
      <c r="B133" s="152">
        <v>552</v>
      </c>
      <c r="C133" s="147"/>
      <c r="D133" s="147"/>
    </row>
    <row r="134" spans="1:4" ht="14.25" x14ac:dyDescent="0.2">
      <c r="A134" s="153">
        <v>43374</v>
      </c>
      <c r="B134" s="152">
        <v>539</v>
      </c>
      <c r="C134" s="147"/>
      <c r="D134" s="147"/>
    </row>
    <row r="135" spans="1:4" ht="14.25" x14ac:dyDescent="0.2">
      <c r="A135" s="153">
        <v>43405</v>
      </c>
      <c r="B135" s="152">
        <v>492</v>
      </c>
      <c r="C135" s="147"/>
      <c r="D135" s="147"/>
    </row>
    <row r="136" spans="1:4" x14ac:dyDescent="0.2">
      <c r="A136" s="146"/>
      <c r="B136" s="147"/>
      <c r="C136" s="147"/>
      <c r="D136" s="147"/>
    </row>
    <row r="137" spans="1:4" x14ac:dyDescent="0.2">
      <c r="A137" s="146"/>
      <c r="B137" s="147"/>
      <c r="C137" s="147"/>
      <c r="D137" s="147"/>
    </row>
    <row r="138" spans="1:4" x14ac:dyDescent="0.2">
      <c r="A138" s="146"/>
      <c r="B138" s="147"/>
      <c r="C138" s="147"/>
      <c r="D138" s="147"/>
    </row>
    <row r="139" spans="1:4" x14ac:dyDescent="0.2">
      <c r="A139" s="146"/>
      <c r="B139" s="147"/>
      <c r="C139" s="147"/>
      <c r="D139" s="147"/>
    </row>
    <row r="140" spans="1:4" x14ac:dyDescent="0.2">
      <c r="A140" s="146"/>
      <c r="B140" s="147"/>
      <c r="C140" s="147"/>
      <c r="D140" s="147"/>
    </row>
    <row r="141" spans="1:4" x14ac:dyDescent="0.2">
      <c r="A141" s="146"/>
      <c r="B141" s="147"/>
      <c r="C141" s="147"/>
      <c r="D141" s="147"/>
    </row>
    <row r="142" spans="1:4" x14ac:dyDescent="0.2">
      <c r="A142" s="146"/>
      <c r="B142" s="147"/>
      <c r="C142" s="147"/>
      <c r="D142" s="147"/>
    </row>
    <row r="143" spans="1:4" x14ac:dyDescent="0.2">
      <c r="A143" s="146"/>
      <c r="B143" s="147"/>
      <c r="C143" s="147"/>
      <c r="D143" s="147"/>
    </row>
    <row r="144" spans="1:4" x14ac:dyDescent="0.2">
      <c r="A144" s="146"/>
      <c r="B144" s="147"/>
      <c r="C144" s="147"/>
      <c r="D144" s="147"/>
    </row>
    <row r="145" spans="1:4" x14ac:dyDescent="0.2">
      <c r="A145" s="146"/>
      <c r="B145" s="147"/>
      <c r="C145" s="147"/>
      <c r="D145" s="147"/>
    </row>
    <row r="146" spans="1:4" x14ac:dyDescent="0.2">
      <c r="A146" s="146"/>
      <c r="B146" s="147"/>
      <c r="C146" s="147"/>
      <c r="D146" s="147"/>
    </row>
    <row r="147" spans="1:4" x14ac:dyDescent="0.2">
      <c r="A147" s="146"/>
      <c r="B147" s="147"/>
      <c r="C147" s="147"/>
      <c r="D147" s="147"/>
    </row>
    <row r="148" spans="1:4" x14ac:dyDescent="0.2">
      <c r="A148" s="146"/>
      <c r="B148" s="147"/>
      <c r="C148" s="147"/>
      <c r="D148" s="147"/>
    </row>
    <row r="149" spans="1:4" x14ac:dyDescent="0.2">
      <c r="A149" s="146"/>
      <c r="B149" s="147"/>
      <c r="C149" s="147"/>
      <c r="D149" s="147"/>
    </row>
    <row r="150" spans="1:4" x14ac:dyDescent="0.2">
      <c r="A150" s="146"/>
      <c r="B150" s="147"/>
      <c r="C150" s="147"/>
      <c r="D150" s="147"/>
    </row>
    <row r="151" spans="1:4" x14ac:dyDescent="0.2">
      <c r="A151" s="146"/>
      <c r="B151" s="147"/>
      <c r="C151" s="147"/>
      <c r="D151" s="147"/>
    </row>
    <row r="152" spans="1:4" x14ac:dyDescent="0.2">
      <c r="A152" s="146"/>
      <c r="B152" s="147"/>
      <c r="C152" s="147"/>
      <c r="D152" s="147"/>
    </row>
    <row r="153" spans="1:4" x14ac:dyDescent="0.2">
      <c r="A153" s="146"/>
      <c r="B153" s="147"/>
      <c r="C153" s="147"/>
      <c r="D153" s="147"/>
    </row>
    <row r="154" spans="1:4" x14ac:dyDescent="0.2">
      <c r="A154" s="146"/>
      <c r="B154" s="147"/>
      <c r="C154" s="147"/>
      <c r="D154" s="147"/>
    </row>
    <row r="155" spans="1:4" x14ac:dyDescent="0.2">
      <c r="A155" s="146"/>
      <c r="B155" s="147"/>
      <c r="C155" s="147"/>
      <c r="D155" s="147"/>
    </row>
    <row r="156" spans="1:4" x14ac:dyDescent="0.2">
      <c r="A156" s="146"/>
      <c r="B156" s="147"/>
      <c r="C156" s="147"/>
      <c r="D156" s="147"/>
    </row>
    <row r="157" spans="1:4" x14ac:dyDescent="0.2">
      <c r="A157" s="146"/>
      <c r="B157" s="147"/>
      <c r="C157" s="147"/>
      <c r="D157" s="147"/>
    </row>
    <row r="158" spans="1:4" x14ac:dyDescent="0.2">
      <c r="A158" s="146"/>
      <c r="B158" s="147"/>
      <c r="C158" s="147"/>
      <c r="D158" s="147"/>
    </row>
    <row r="159" spans="1:4" x14ac:dyDescent="0.2">
      <c r="A159" s="146"/>
      <c r="B159" s="147"/>
      <c r="C159" s="147"/>
      <c r="D159" s="147"/>
    </row>
    <row r="160" spans="1:4" x14ac:dyDescent="0.2">
      <c r="A160" s="146"/>
      <c r="B160" s="147"/>
      <c r="C160" s="147"/>
      <c r="D160" s="147"/>
    </row>
    <row r="161" spans="1:4" x14ac:dyDescent="0.2">
      <c r="A161" s="146"/>
      <c r="B161" s="147"/>
      <c r="C161" s="147"/>
      <c r="D161" s="147"/>
    </row>
    <row r="162" spans="1:4" x14ac:dyDescent="0.2">
      <c r="A162" s="146"/>
      <c r="B162" s="147"/>
      <c r="C162" s="147"/>
      <c r="D162" s="147"/>
    </row>
    <row r="163" spans="1:4" x14ac:dyDescent="0.2">
      <c r="A163" s="146"/>
      <c r="B163" s="147"/>
      <c r="C163" s="147"/>
      <c r="D163" s="147"/>
    </row>
    <row r="164" spans="1:4" x14ac:dyDescent="0.2">
      <c r="A164" s="146"/>
      <c r="B164" s="147"/>
      <c r="C164" s="147"/>
      <c r="D164" s="147"/>
    </row>
    <row r="165" spans="1:4" x14ac:dyDescent="0.2">
      <c r="A165" s="146"/>
      <c r="B165" s="147"/>
      <c r="C165" s="147"/>
      <c r="D165" s="147"/>
    </row>
    <row r="166" spans="1:4" x14ac:dyDescent="0.2">
      <c r="A166" s="146"/>
      <c r="B166" s="147"/>
      <c r="C166" s="147"/>
      <c r="D166" s="147"/>
    </row>
    <row r="167" spans="1:4" x14ac:dyDescent="0.2">
      <c r="A167" s="146"/>
      <c r="B167" s="147"/>
      <c r="C167" s="147"/>
      <c r="D167" s="147"/>
    </row>
    <row r="168" spans="1:4" x14ac:dyDescent="0.2">
      <c r="A168" s="146"/>
      <c r="B168" s="147"/>
      <c r="C168" s="147"/>
      <c r="D168" s="147"/>
    </row>
    <row r="169" spans="1:4" x14ac:dyDescent="0.2">
      <c r="A169" s="146"/>
      <c r="B169" s="147"/>
      <c r="C169" s="147"/>
      <c r="D169" s="147"/>
    </row>
    <row r="170" spans="1:4" x14ac:dyDescent="0.2">
      <c r="A170" s="146"/>
      <c r="B170" s="147"/>
      <c r="C170" s="147"/>
      <c r="D170" s="147"/>
    </row>
    <row r="171" spans="1:4" x14ac:dyDescent="0.2">
      <c r="A171" s="146"/>
      <c r="B171" s="147"/>
      <c r="C171" s="147"/>
      <c r="D171" s="147"/>
    </row>
    <row r="172" spans="1:4" x14ac:dyDescent="0.2">
      <c r="A172" s="146"/>
      <c r="B172" s="147"/>
      <c r="C172" s="147"/>
      <c r="D172" s="147"/>
    </row>
    <row r="173" spans="1:4" x14ac:dyDescent="0.2">
      <c r="A173" s="146"/>
      <c r="B173" s="147"/>
      <c r="C173" s="147"/>
      <c r="D173" s="147"/>
    </row>
    <row r="174" spans="1:4" x14ac:dyDescent="0.2">
      <c r="A174" s="146"/>
      <c r="B174" s="147"/>
      <c r="C174" s="147"/>
      <c r="D174" s="147"/>
    </row>
    <row r="175" spans="1:4" x14ac:dyDescent="0.2">
      <c r="A175" s="146"/>
      <c r="B175" s="147"/>
      <c r="C175" s="147"/>
      <c r="D175" s="147"/>
    </row>
    <row r="176" spans="1:4" x14ac:dyDescent="0.2">
      <c r="A176" s="146"/>
      <c r="B176" s="147"/>
      <c r="C176" s="147"/>
      <c r="D176" s="147"/>
    </row>
    <row r="177" spans="1:4" x14ac:dyDescent="0.2">
      <c r="A177" s="146"/>
      <c r="B177" s="147"/>
      <c r="C177" s="147"/>
      <c r="D177" s="147"/>
    </row>
    <row r="178" spans="1:4" x14ac:dyDescent="0.2">
      <c r="A178" s="146"/>
      <c r="B178" s="147"/>
      <c r="C178" s="147"/>
      <c r="D178" s="147"/>
    </row>
    <row r="179" spans="1:4" x14ac:dyDescent="0.2">
      <c r="A179" s="146"/>
      <c r="B179" s="147"/>
      <c r="C179" s="147"/>
      <c r="D179" s="147"/>
    </row>
    <row r="180" spans="1:4" x14ac:dyDescent="0.2">
      <c r="A180" s="146"/>
      <c r="B180" s="147"/>
      <c r="C180" s="147"/>
      <c r="D180" s="147"/>
    </row>
    <row r="181" spans="1:4" x14ac:dyDescent="0.2">
      <c r="A181" s="146"/>
      <c r="B181" s="147"/>
      <c r="C181" s="147"/>
      <c r="D181" s="147"/>
    </row>
    <row r="182" spans="1:4" x14ac:dyDescent="0.2">
      <c r="A182" s="146"/>
      <c r="B182" s="147"/>
      <c r="C182" s="147"/>
      <c r="D182" s="147"/>
    </row>
    <row r="183" spans="1:4" x14ac:dyDescent="0.2">
      <c r="A183" s="146"/>
      <c r="B183" s="147"/>
      <c r="C183" s="147"/>
      <c r="D183" s="147"/>
    </row>
    <row r="184" spans="1:4" x14ac:dyDescent="0.2">
      <c r="A184" s="146"/>
      <c r="B184" s="147"/>
      <c r="C184" s="147"/>
      <c r="D184" s="147"/>
    </row>
    <row r="185" spans="1:4" x14ac:dyDescent="0.2">
      <c r="A185" s="146"/>
      <c r="B185" s="147"/>
      <c r="C185" s="147"/>
      <c r="D185" s="147"/>
    </row>
    <row r="186" spans="1:4" x14ac:dyDescent="0.2">
      <c r="A186" s="146"/>
      <c r="B186" s="147"/>
      <c r="C186" s="147"/>
      <c r="D186" s="147"/>
    </row>
    <row r="187" spans="1:4" x14ac:dyDescent="0.2">
      <c r="A187" s="146"/>
      <c r="B187" s="147"/>
      <c r="C187" s="147"/>
      <c r="D187" s="147"/>
    </row>
    <row r="188" spans="1:4" x14ac:dyDescent="0.2">
      <c r="A188" s="146"/>
      <c r="B188" s="147"/>
      <c r="C188" s="147"/>
      <c r="D188" s="147"/>
    </row>
    <row r="189" spans="1:4" x14ac:dyDescent="0.2">
      <c r="A189" s="146"/>
      <c r="B189" s="147"/>
      <c r="C189" s="147"/>
      <c r="D189" s="147"/>
    </row>
    <row r="190" spans="1:4" x14ac:dyDescent="0.2">
      <c r="A190" s="146"/>
      <c r="B190" s="147"/>
      <c r="C190" s="147"/>
      <c r="D190" s="147"/>
    </row>
    <row r="191" spans="1:4" x14ac:dyDescent="0.2">
      <c r="A191" s="146"/>
      <c r="B191" s="147"/>
      <c r="C191" s="147"/>
      <c r="D191" s="147"/>
    </row>
    <row r="192" spans="1:4" x14ac:dyDescent="0.2">
      <c r="A192" s="146"/>
      <c r="B192" s="147"/>
      <c r="C192" s="147"/>
      <c r="D192" s="147"/>
    </row>
    <row r="193" spans="1:4" x14ac:dyDescent="0.2">
      <c r="A193" s="146"/>
      <c r="B193" s="147"/>
      <c r="C193" s="147"/>
      <c r="D193" s="147"/>
    </row>
    <row r="194" spans="1:4" x14ac:dyDescent="0.2">
      <c r="A194" s="146"/>
      <c r="B194" s="147"/>
      <c r="C194" s="147"/>
      <c r="D194" s="147"/>
    </row>
    <row r="195" spans="1:4" x14ac:dyDescent="0.2">
      <c r="A195" s="146"/>
      <c r="B195" s="147"/>
      <c r="C195" s="147"/>
      <c r="D195" s="147"/>
    </row>
    <row r="196" spans="1:4" x14ac:dyDescent="0.2">
      <c r="A196" s="146"/>
      <c r="B196" s="147"/>
      <c r="C196" s="147"/>
      <c r="D196" s="147"/>
    </row>
    <row r="197" spans="1:4" x14ac:dyDescent="0.2">
      <c r="A197" s="146"/>
      <c r="B197" s="147"/>
      <c r="C197" s="147"/>
      <c r="D197" s="147"/>
    </row>
    <row r="198" spans="1:4" x14ac:dyDescent="0.2">
      <c r="A198" s="146"/>
      <c r="B198" s="147"/>
      <c r="C198" s="147"/>
      <c r="D198" s="147"/>
    </row>
    <row r="199" spans="1:4" x14ac:dyDescent="0.2">
      <c r="A199" s="146"/>
      <c r="B199" s="147"/>
      <c r="C199" s="147"/>
      <c r="D199" s="147"/>
    </row>
    <row r="200" spans="1:4" x14ac:dyDescent="0.2">
      <c r="A200" s="146"/>
      <c r="B200" s="147"/>
      <c r="C200" s="147"/>
      <c r="D200" s="147"/>
    </row>
    <row r="201" spans="1:4" x14ac:dyDescent="0.2">
      <c r="A201" s="146"/>
      <c r="B201" s="147"/>
      <c r="C201" s="147"/>
      <c r="D201" s="147"/>
    </row>
    <row r="202" spans="1:4" x14ac:dyDescent="0.2">
      <c r="A202" s="146"/>
      <c r="B202" s="147"/>
      <c r="C202" s="147"/>
      <c r="D202" s="147"/>
    </row>
    <row r="203" spans="1:4" x14ac:dyDescent="0.2">
      <c r="A203" s="146"/>
      <c r="B203" s="147"/>
      <c r="C203" s="147"/>
      <c r="D203" s="147"/>
    </row>
    <row r="204" spans="1:4" x14ac:dyDescent="0.2">
      <c r="A204" s="146"/>
      <c r="B204" s="147"/>
      <c r="C204" s="147"/>
      <c r="D204" s="147"/>
    </row>
    <row r="205" spans="1:4" x14ac:dyDescent="0.2">
      <c r="A205" s="146"/>
      <c r="B205" s="147"/>
      <c r="C205" s="147"/>
      <c r="D205" s="147"/>
    </row>
    <row r="206" spans="1:4" x14ac:dyDescent="0.2">
      <c r="A206" s="146"/>
      <c r="B206" s="147"/>
      <c r="C206" s="147"/>
      <c r="D206" s="147"/>
    </row>
    <row r="207" spans="1:4" x14ac:dyDescent="0.2">
      <c r="A207" s="146"/>
      <c r="B207" s="147"/>
      <c r="C207" s="147"/>
      <c r="D207" s="147"/>
    </row>
    <row r="208" spans="1:4" x14ac:dyDescent="0.2">
      <c r="A208" s="146"/>
      <c r="B208" s="147"/>
      <c r="C208" s="147"/>
      <c r="D208" s="147"/>
    </row>
    <row r="209" spans="1:4" x14ac:dyDescent="0.2">
      <c r="A209" s="146"/>
      <c r="B209" s="147"/>
      <c r="C209" s="147"/>
      <c r="D209" s="147"/>
    </row>
    <row r="210" spans="1:4" x14ac:dyDescent="0.2">
      <c r="A210" s="146"/>
      <c r="B210" s="147"/>
      <c r="C210" s="147"/>
      <c r="D210" s="147"/>
    </row>
    <row r="211" spans="1:4" x14ac:dyDescent="0.2">
      <c r="A211" s="146"/>
      <c r="B211" s="147"/>
      <c r="C211" s="147"/>
      <c r="D211" s="147"/>
    </row>
    <row r="212" spans="1:4" x14ac:dyDescent="0.2">
      <c r="A212" s="146"/>
      <c r="B212" s="147"/>
      <c r="C212" s="147"/>
      <c r="D212" s="147"/>
    </row>
    <row r="213" spans="1:4" x14ac:dyDescent="0.2">
      <c r="A213" s="146"/>
      <c r="B213" s="147"/>
      <c r="C213" s="147"/>
      <c r="D213" s="147"/>
    </row>
    <row r="214" spans="1:4" x14ac:dyDescent="0.2">
      <c r="A214" s="146"/>
      <c r="B214" s="147"/>
      <c r="C214" s="147"/>
      <c r="D214" s="147"/>
    </row>
    <row r="215" spans="1:4" x14ac:dyDescent="0.2">
      <c r="A215" s="146"/>
      <c r="B215" s="147"/>
      <c r="C215" s="147"/>
      <c r="D215" s="147"/>
    </row>
    <row r="216" spans="1:4" x14ac:dyDescent="0.2">
      <c r="A216" s="146"/>
      <c r="B216" s="147"/>
      <c r="C216" s="147"/>
      <c r="D216" s="147"/>
    </row>
    <row r="217" spans="1:4" x14ac:dyDescent="0.2">
      <c r="A217" s="146"/>
      <c r="B217" s="147"/>
      <c r="C217" s="147"/>
      <c r="D217" s="147"/>
    </row>
    <row r="218" spans="1:4" x14ac:dyDescent="0.2">
      <c r="A218" s="146"/>
      <c r="B218" s="147"/>
      <c r="C218" s="147"/>
      <c r="D218" s="147"/>
    </row>
    <row r="219" spans="1:4" x14ac:dyDescent="0.2">
      <c r="A219" s="146"/>
      <c r="B219" s="147"/>
      <c r="C219" s="147"/>
      <c r="D219" s="147"/>
    </row>
    <row r="220" spans="1:4" x14ac:dyDescent="0.2">
      <c r="A220" s="146"/>
      <c r="B220" s="147"/>
      <c r="C220" s="147"/>
      <c r="D220" s="147"/>
    </row>
    <row r="221" spans="1:4" x14ac:dyDescent="0.2">
      <c r="A221" s="146"/>
      <c r="B221" s="147"/>
      <c r="C221" s="147"/>
      <c r="D221" s="147"/>
    </row>
    <row r="222" spans="1:4" x14ac:dyDescent="0.2">
      <c r="A222" s="146"/>
      <c r="B222" s="147"/>
      <c r="C222" s="147"/>
      <c r="D222" s="147"/>
    </row>
    <row r="223" spans="1:4" x14ac:dyDescent="0.2">
      <c r="A223" s="146"/>
      <c r="B223" s="147"/>
      <c r="C223" s="147"/>
      <c r="D223" s="147"/>
    </row>
    <row r="224" spans="1:4" x14ac:dyDescent="0.2">
      <c r="A224" s="146"/>
      <c r="B224" s="147"/>
      <c r="C224" s="147"/>
      <c r="D224" s="147"/>
    </row>
    <row r="225" spans="1:5" x14ac:dyDescent="0.2">
      <c r="A225" s="146"/>
      <c r="B225" s="147"/>
      <c r="C225" s="147"/>
      <c r="D225" s="147"/>
    </row>
    <row r="226" spans="1:5" x14ac:dyDescent="0.2">
      <c r="A226" s="146"/>
      <c r="B226" s="147"/>
      <c r="C226" s="147"/>
      <c r="D226" s="147"/>
    </row>
    <row r="227" spans="1:5" x14ac:dyDescent="0.2">
      <c r="A227" s="146"/>
      <c r="B227" s="147"/>
      <c r="C227" s="147"/>
      <c r="D227" s="147"/>
    </row>
    <row r="228" spans="1:5" x14ac:dyDescent="0.2">
      <c r="A228" s="146"/>
      <c r="B228" s="147"/>
      <c r="C228" s="147"/>
      <c r="D228" s="147"/>
    </row>
    <row r="229" spans="1:5" x14ac:dyDescent="0.2">
      <c r="A229" s="146"/>
      <c r="B229" s="147"/>
      <c r="C229" s="147"/>
      <c r="D229" s="147"/>
    </row>
    <row r="230" spans="1:5" x14ac:dyDescent="0.2">
      <c r="A230" s="146"/>
      <c r="B230" s="147"/>
      <c r="C230" s="147"/>
      <c r="D230" s="147"/>
      <c r="E230" s="147"/>
    </row>
    <row r="231" spans="1:5" x14ac:dyDescent="0.2">
      <c r="A231" s="146"/>
      <c r="B231" s="147"/>
      <c r="C231" s="147"/>
      <c r="D231" s="147"/>
      <c r="E231" s="147"/>
    </row>
    <row r="232" spans="1:5" x14ac:dyDescent="0.2">
      <c r="A232" s="146"/>
      <c r="B232" s="147"/>
      <c r="C232" s="147"/>
      <c r="D232" s="147"/>
      <c r="E232" s="147"/>
    </row>
    <row r="233" spans="1:5" x14ac:dyDescent="0.2">
      <c r="A233" s="146"/>
      <c r="B233" s="147"/>
      <c r="C233" s="147"/>
      <c r="D233" s="147"/>
      <c r="E233" s="147"/>
    </row>
    <row r="234" spans="1:5" x14ac:dyDescent="0.2">
      <c r="A234" s="146"/>
      <c r="B234" s="147"/>
      <c r="C234" s="147"/>
      <c r="D234" s="147"/>
      <c r="E234" s="147"/>
    </row>
    <row r="235" spans="1:5" x14ac:dyDescent="0.2">
      <c r="A235" s="146"/>
      <c r="B235" s="147"/>
      <c r="C235" s="147"/>
      <c r="D235" s="147"/>
      <c r="E235" s="147"/>
    </row>
    <row r="236" spans="1:5" x14ac:dyDescent="0.2">
      <c r="A236" s="146"/>
      <c r="B236" s="147"/>
      <c r="C236" s="147"/>
      <c r="D236" s="147"/>
      <c r="E236" s="147"/>
    </row>
    <row r="237" spans="1:5" x14ac:dyDescent="0.2">
      <c r="A237" s="146"/>
      <c r="B237" s="147"/>
      <c r="C237" s="147"/>
      <c r="D237" s="147"/>
      <c r="E237" s="147"/>
    </row>
    <row r="238" spans="1:5" x14ac:dyDescent="0.2">
      <c r="A238" s="146"/>
      <c r="B238" s="147"/>
      <c r="C238" s="147"/>
      <c r="D238" s="147"/>
      <c r="E238" s="147"/>
    </row>
    <row r="239" spans="1:5" x14ac:dyDescent="0.2">
      <c r="A239" s="146"/>
      <c r="B239" s="147"/>
      <c r="C239" s="147"/>
      <c r="D239" s="147"/>
      <c r="E239" s="147"/>
    </row>
    <row r="240" spans="1:5" x14ac:dyDescent="0.2">
      <c r="A240" s="146"/>
      <c r="B240" s="147"/>
      <c r="C240" s="147"/>
      <c r="D240" s="147"/>
      <c r="E240" s="147"/>
    </row>
    <row r="241" spans="1:5" x14ac:dyDescent="0.2">
      <c r="A241" s="146"/>
      <c r="B241" s="147"/>
      <c r="C241" s="147"/>
      <c r="D241" s="147"/>
      <c r="E241" s="147"/>
    </row>
    <row r="242" spans="1:5" x14ac:dyDescent="0.2">
      <c r="A242" s="146"/>
      <c r="B242" s="147"/>
      <c r="C242" s="147"/>
      <c r="D242" s="147"/>
      <c r="E242" s="147"/>
    </row>
    <row r="243" spans="1:5" x14ac:dyDescent="0.2">
      <c r="A243" s="146"/>
      <c r="B243" s="147"/>
      <c r="C243" s="147"/>
      <c r="D243" s="147"/>
      <c r="E243" s="147"/>
    </row>
    <row r="244" spans="1:5" x14ac:dyDescent="0.2">
      <c r="A244" s="146"/>
      <c r="B244" s="147"/>
      <c r="C244" s="147"/>
      <c r="D244" s="147"/>
      <c r="E244" s="147"/>
    </row>
    <row r="245" spans="1:5" x14ac:dyDescent="0.2">
      <c r="A245" s="146"/>
      <c r="B245" s="147"/>
      <c r="C245" s="147"/>
      <c r="D245" s="147"/>
      <c r="E245" s="147"/>
    </row>
    <row r="246" spans="1:5" x14ac:dyDescent="0.2">
      <c r="A246" s="146"/>
      <c r="B246" s="147"/>
      <c r="C246" s="147"/>
      <c r="D246" s="147"/>
      <c r="E246" s="147"/>
    </row>
    <row r="247" spans="1:5" x14ac:dyDescent="0.2">
      <c r="A247" s="146"/>
      <c r="B247" s="147"/>
      <c r="C247" s="147"/>
      <c r="D247" s="147"/>
      <c r="E247" s="147"/>
    </row>
    <row r="248" spans="1:5" x14ac:dyDescent="0.2">
      <c r="A248" s="146"/>
      <c r="B248" s="147"/>
      <c r="C248" s="147"/>
      <c r="D248" s="147"/>
      <c r="E248" s="147"/>
    </row>
    <row r="249" spans="1:5" x14ac:dyDescent="0.2">
      <c r="A249" s="146"/>
      <c r="B249" s="147"/>
      <c r="C249" s="147"/>
      <c r="D249" s="147"/>
      <c r="E249" s="147"/>
    </row>
    <row r="250" spans="1:5" x14ac:dyDescent="0.2">
      <c r="A250" s="146"/>
      <c r="B250" s="147"/>
      <c r="C250" s="147"/>
      <c r="D250" s="147"/>
      <c r="E250" s="147"/>
    </row>
    <row r="251" spans="1:5" x14ac:dyDescent="0.2">
      <c r="A251" s="146"/>
      <c r="B251" s="147"/>
      <c r="C251" s="147"/>
      <c r="D251" s="147"/>
      <c r="E251" s="147"/>
    </row>
    <row r="252" spans="1:5" x14ac:dyDescent="0.2">
      <c r="A252" s="146"/>
      <c r="B252" s="147"/>
      <c r="C252" s="147"/>
      <c r="D252" s="147"/>
      <c r="E252" s="147"/>
    </row>
    <row r="253" spans="1:5" x14ac:dyDescent="0.2">
      <c r="A253" s="146"/>
      <c r="B253" s="147"/>
      <c r="C253" s="147"/>
      <c r="D253" s="147"/>
      <c r="E253" s="147"/>
    </row>
    <row r="254" spans="1:5" x14ac:dyDescent="0.2">
      <c r="A254" s="146"/>
      <c r="B254" s="147"/>
      <c r="C254" s="147"/>
      <c r="D254" s="147"/>
      <c r="E254" s="147"/>
    </row>
    <row r="255" spans="1:5" x14ac:dyDescent="0.2">
      <c r="A255" s="146"/>
      <c r="B255" s="147"/>
      <c r="C255" s="147"/>
      <c r="D255" s="147"/>
      <c r="E255" s="147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4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x14ac:dyDescent="0.2">
      <c r="A2" s="41"/>
      <c r="B2" s="158" t="s">
        <v>27</v>
      </c>
      <c r="C2" s="158"/>
      <c r="D2" s="43" t="s">
        <v>30</v>
      </c>
      <c r="E2" s="158" t="s">
        <v>92</v>
      </c>
      <c r="F2" s="158"/>
      <c r="G2" s="158"/>
      <c r="H2" s="158"/>
      <c r="I2" s="44"/>
      <c r="J2" s="158" t="s">
        <v>70</v>
      </c>
      <c r="K2" s="158"/>
      <c r="L2" s="158"/>
      <c r="M2" s="158"/>
      <c r="N2" s="41"/>
    </row>
    <row r="3" spans="1:14" ht="14.25" x14ac:dyDescent="0.2">
      <c r="A3" s="41" t="s">
        <v>84</v>
      </c>
      <c r="B3" s="43" t="s">
        <v>28</v>
      </c>
      <c r="C3" s="41" t="s">
        <v>29</v>
      </c>
      <c r="D3" s="43"/>
      <c r="E3" s="45" t="s">
        <v>8</v>
      </c>
      <c r="F3" s="45"/>
      <c r="G3" s="45"/>
      <c r="H3" s="45"/>
      <c r="I3" s="45"/>
      <c r="J3" s="43" t="s">
        <v>72</v>
      </c>
      <c r="K3" s="45" t="s">
        <v>101</v>
      </c>
      <c r="L3" s="45"/>
      <c r="M3" s="45"/>
      <c r="N3" s="45" t="s">
        <v>6</v>
      </c>
    </row>
    <row r="4" spans="1:14" ht="14.25" x14ac:dyDescent="0.2">
      <c r="A4" s="46" t="s">
        <v>88</v>
      </c>
      <c r="B4" s="47"/>
      <c r="C4" s="47"/>
      <c r="D4" s="47"/>
      <c r="E4" s="48" t="s">
        <v>7</v>
      </c>
      <c r="F4" s="48" t="s">
        <v>1</v>
      </c>
      <c r="G4" s="49" t="s">
        <v>2</v>
      </c>
      <c r="H4" s="50" t="s">
        <v>3</v>
      </c>
      <c r="I4" s="49"/>
      <c r="J4" s="49"/>
      <c r="K4" s="49" t="s">
        <v>5</v>
      </c>
      <c r="L4" s="50" t="s">
        <v>4</v>
      </c>
      <c r="M4" s="48" t="s">
        <v>3</v>
      </c>
      <c r="N4" s="49" t="s">
        <v>7</v>
      </c>
    </row>
    <row r="5" spans="1:14" ht="14.25" x14ac:dyDescent="0.2">
      <c r="A5" s="41"/>
      <c r="B5" s="156" t="s">
        <v>93</v>
      </c>
      <c r="C5" s="157"/>
      <c r="D5" s="51" t="s">
        <v>75</v>
      </c>
      <c r="E5" s="156" t="s">
        <v>95</v>
      </c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6.5" x14ac:dyDescent="0.2">
      <c r="A6" s="41" t="s">
        <v>126</v>
      </c>
      <c r="B6" s="52">
        <v>83.433000000000007</v>
      </c>
      <c r="C6" s="52">
        <v>82.695999999999998</v>
      </c>
      <c r="D6" s="52">
        <f>+F6/C6</f>
        <v>51.950348263519402</v>
      </c>
      <c r="E6" s="53">
        <v>196.72900000000001</v>
      </c>
      <c r="F6" s="54">
        <v>4296.0860000000002</v>
      </c>
      <c r="G6" s="55">
        <v>22.280875923872998</v>
      </c>
      <c r="H6" s="55">
        <f>SUM(E6:G6)</f>
        <v>4515.0958759238738</v>
      </c>
      <c r="I6" s="41"/>
      <c r="J6" s="54">
        <v>1901.1980666666668</v>
      </c>
      <c r="K6" s="54">
        <f>M6-J6-L6</f>
        <v>145.88582285110306</v>
      </c>
      <c r="L6" s="55">
        <v>2166.4169864061037</v>
      </c>
      <c r="M6" s="55">
        <f>+H6-N6</f>
        <v>4213.5008759238735</v>
      </c>
      <c r="N6" s="55">
        <v>301.59500000000003</v>
      </c>
    </row>
    <row r="7" spans="1:14" ht="16.5" x14ac:dyDescent="0.2">
      <c r="A7" s="41" t="s">
        <v>145</v>
      </c>
      <c r="B7" s="52">
        <v>90.141999999999996</v>
      </c>
      <c r="C7" s="52">
        <v>89.522000000000006</v>
      </c>
      <c r="D7" s="52">
        <f>+F7/C7</f>
        <v>49.269151716896403</v>
      </c>
      <c r="E7" s="53">
        <f>N6</f>
        <v>301.59500000000003</v>
      </c>
      <c r="F7" s="54">
        <f>F15</f>
        <v>4410.6729999999998</v>
      </c>
      <c r="G7" s="55">
        <f>G28</f>
        <v>21.821877959229603</v>
      </c>
      <c r="H7" s="55">
        <f>SUM(E7:G7)</f>
        <v>4734.0898779592299</v>
      </c>
      <c r="I7" s="41"/>
      <c r="J7" s="54">
        <f>J28</f>
        <v>2054.9319999999998</v>
      </c>
      <c r="K7" s="54">
        <f>M7-J7-L7</f>
        <v>111.95233346246459</v>
      </c>
      <c r="L7" s="55">
        <f>L28</f>
        <v>2129.1005444967659</v>
      </c>
      <c r="M7" s="55">
        <f>+H7-N7</f>
        <v>4295.9848779592303</v>
      </c>
      <c r="N7" s="55">
        <f>N27</f>
        <v>438.10500000000002</v>
      </c>
    </row>
    <row r="8" spans="1:14" ht="16.5" x14ac:dyDescent="0.2">
      <c r="A8" s="41" t="s">
        <v>168</v>
      </c>
      <c r="B8" s="52">
        <v>89.144999999999996</v>
      </c>
      <c r="C8" s="52">
        <v>88.343000000000004</v>
      </c>
      <c r="D8" s="52">
        <f>+F8/C8</f>
        <v>52.064453323975862</v>
      </c>
      <c r="E8" s="53">
        <f>N7</f>
        <v>438.10500000000002</v>
      </c>
      <c r="F8" s="54">
        <v>4599.53</v>
      </c>
      <c r="G8" s="55">
        <v>25</v>
      </c>
      <c r="H8" s="55">
        <f>SUM(E8:G8)</f>
        <v>5062.6350000000002</v>
      </c>
      <c r="I8" s="41"/>
      <c r="J8" s="54">
        <v>2080</v>
      </c>
      <c r="K8" s="54">
        <f>M8-J8-L8</f>
        <v>127.63500000000022</v>
      </c>
      <c r="L8" s="55">
        <v>1900</v>
      </c>
      <c r="M8" s="55">
        <f>+H8-N8</f>
        <v>4107.6350000000002</v>
      </c>
      <c r="N8" s="55">
        <v>955</v>
      </c>
    </row>
    <row r="9" spans="1:14" ht="14.25" x14ac:dyDescent="0.2">
      <c r="A9" s="44"/>
      <c r="B9" s="44"/>
      <c r="C9" s="44"/>
      <c r="D9" s="44"/>
      <c r="E9" s="57"/>
      <c r="F9" s="57"/>
      <c r="G9" s="58"/>
      <c r="H9" s="57"/>
      <c r="I9" s="57"/>
      <c r="J9" s="58"/>
      <c r="K9" s="58"/>
      <c r="L9" s="58"/>
      <c r="M9" s="58"/>
      <c r="N9" s="59"/>
    </row>
    <row r="10" spans="1:14" ht="14.25" x14ac:dyDescent="0.2">
      <c r="A10" s="44" t="s">
        <v>74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88"/>
    </row>
    <row r="11" spans="1:14" ht="18.75" customHeight="1" x14ac:dyDescent="0.2">
      <c r="A11" s="41" t="s">
        <v>121</v>
      </c>
      <c r="B11" s="44"/>
      <c r="C11" s="44"/>
      <c r="D11" s="44"/>
      <c r="E11" s="59"/>
      <c r="F11" s="61"/>
      <c r="G11" s="62"/>
      <c r="H11" s="63"/>
      <c r="I11" s="63"/>
      <c r="J11" s="63"/>
      <c r="K11" s="64"/>
      <c r="L11" s="62"/>
      <c r="M11" s="62"/>
      <c r="N11" s="65"/>
    </row>
    <row r="12" spans="1:14" ht="18.75" customHeight="1" x14ac:dyDescent="0.2">
      <c r="A12" s="41" t="s">
        <v>104</v>
      </c>
      <c r="B12" s="44"/>
      <c r="C12" s="44"/>
      <c r="D12" s="44"/>
      <c r="E12" s="59"/>
      <c r="F12" s="66"/>
      <c r="G12" s="62">
        <f>(1.397845+28.520061+6.869446)*2.204622/60</f>
        <v>1.3517034256823999</v>
      </c>
      <c r="H12" s="63"/>
      <c r="I12" s="63"/>
      <c r="J12" s="63">
        <f>4.361207*2000/60</f>
        <v>145.37356666666668</v>
      </c>
      <c r="K12" s="67"/>
      <c r="L12" s="62">
        <f>(42.579358+4422.864)*2.204622/60</f>
        <v>164.07691111334458</v>
      </c>
      <c r="M12" s="62"/>
      <c r="N12" s="63"/>
    </row>
    <row r="13" spans="1:14" ht="18.75" customHeight="1" x14ac:dyDescent="0.2">
      <c r="A13" s="44" t="s">
        <v>110</v>
      </c>
      <c r="B13" s="44"/>
      <c r="C13" s="44"/>
      <c r="D13" s="44"/>
      <c r="E13" s="59"/>
      <c r="F13" s="61"/>
      <c r="G13" s="62">
        <f>(4.792131+65.902561+6.64419)*2.204622/60</f>
        <v>2.8417166785434</v>
      </c>
      <c r="H13" s="63"/>
      <c r="I13" s="63"/>
      <c r="J13" s="63">
        <f>5.277397*2000/60</f>
        <v>175.91323333333332</v>
      </c>
      <c r="K13" s="64"/>
      <c r="L13" s="62">
        <f>(65.402074+9580.077)*2.204622/60</f>
        <v>354.41058945133381</v>
      </c>
      <c r="M13" s="61"/>
      <c r="N13" s="65"/>
    </row>
    <row r="14" spans="1:14" ht="18.75" customHeight="1" x14ac:dyDescent="0.2">
      <c r="A14" s="44" t="s">
        <v>112</v>
      </c>
      <c r="B14" s="44"/>
      <c r="C14" s="44"/>
      <c r="D14" s="44"/>
      <c r="E14" s="59"/>
      <c r="F14" s="61"/>
      <c r="G14" s="62">
        <f>(14.834995+18.210518+5.828672)*2.204622/60</f>
        <v>1.4283813913845</v>
      </c>
      <c r="H14" s="63"/>
      <c r="I14" s="63"/>
      <c r="J14" s="63">
        <f>5.200462*2000/60</f>
        <v>173.34873333333331</v>
      </c>
      <c r="K14" s="64"/>
      <c r="L14" s="62">
        <f>(75.780013+9113.39)*2.204622/60</f>
        <v>337.64410620666808</v>
      </c>
      <c r="M14" s="61"/>
      <c r="N14" s="65"/>
    </row>
    <row r="15" spans="1:14" ht="18.75" customHeight="1" x14ac:dyDescent="0.2">
      <c r="A15" s="44" t="s">
        <v>80</v>
      </c>
      <c r="B15" s="44"/>
      <c r="C15" s="44"/>
      <c r="D15" s="44"/>
      <c r="E15" s="59">
        <v>301.59500000000003</v>
      </c>
      <c r="F15" s="61">
        <f>4410.673</f>
        <v>4410.6729999999998</v>
      </c>
      <c r="G15" s="62">
        <f>G12+G13+G14</f>
        <v>5.6218014956103</v>
      </c>
      <c r="H15" s="63">
        <f>SUM(E15:G15)</f>
        <v>4717.8898014956103</v>
      </c>
      <c r="I15" s="63"/>
      <c r="J15" s="63">
        <f>J12+J13+J14</f>
        <v>494.63553333333329</v>
      </c>
      <c r="K15" s="64">
        <f>M15-L15-J15</f>
        <v>206.44366139093046</v>
      </c>
      <c r="L15" s="62">
        <f>L12+L13+L14</f>
        <v>856.13160677134647</v>
      </c>
      <c r="M15" s="62">
        <f>H15-N15</f>
        <v>1557.2108014956102</v>
      </c>
      <c r="N15" s="63">
        <v>3160.6790000000001</v>
      </c>
    </row>
    <row r="16" spans="1:14" ht="18.75" customHeight="1" x14ac:dyDescent="0.2">
      <c r="A16" s="41" t="s">
        <v>113</v>
      </c>
      <c r="B16" s="44"/>
      <c r="C16" s="44"/>
      <c r="D16" s="44"/>
      <c r="E16" s="59"/>
      <c r="F16" s="61"/>
      <c r="G16" s="62">
        <f>(2.700212+43.931585+16.786283)*2.204622/60</f>
        <v>2.3302149060960002</v>
      </c>
      <c r="H16" s="63"/>
      <c r="I16" s="63"/>
      <c r="J16" s="63">
        <f>5.290215*2000/60</f>
        <v>176.34049999999999</v>
      </c>
      <c r="K16" s="64"/>
      <c r="L16" s="62">
        <f>(67.748059+6154.493)*2.204622/60</f>
        <v>228.6281587995783</v>
      </c>
      <c r="M16" s="62"/>
      <c r="N16" s="65"/>
    </row>
    <row r="17" spans="1:15" ht="18.75" customHeight="1" x14ac:dyDescent="0.2">
      <c r="A17" s="41" t="s">
        <v>114</v>
      </c>
      <c r="B17" s="44"/>
      <c r="C17" s="44"/>
      <c r="D17" s="44"/>
      <c r="E17" s="59"/>
      <c r="F17" s="61"/>
      <c r="G17" s="62">
        <f>(1.972522+31.466905+6.367872)*2.204622/60</f>
        <v>1.4626674522662999</v>
      </c>
      <c r="H17" s="63"/>
      <c r="I17" s="63"/>
      <c r="J17" s="63">
        <f>5.239827*2000/60</f>
        <v>174.6609</v>
      </c>
      <c r="K17" s="62"/>
      <c r="L17" s="62">
        <f>(51.851798+5711.005)*2.204622/60</f>
        <v>211.7486813286726</v>
      </c>
      <c r="M17" s="61"/>
      <c r="N17" s="65"/>
    </row>
    <row r="18" spans="1:15" ht="18.75" customHeight="1" x14ac:dyDescent="0.2">
      <c r="A18" s="41" t="s">
        <v>115</v>
      </c>
      <c r="B18" s="44"/>
      <c r="C18" s="44"/>
      <c r="D18" s="44"/>
      <c r="E18" s="59"/>
      <c r="F18" s="61"/>
      <c r="G18" s="62">
        <f>(2.319904+15.767762+14.02578)*2.204622/60</f>
        <v>1.1799668257901998</v>
      </c>
      <c r="H18" s="63"/>
      <c r="I18" s="63"/>
      <c r="J18" s="63">
        <f>4.948772*2000/60</f>
        <v>164.95906666666667</v>
      </c>
      <c r="K18" s="62"/>
      <c r="L18" s="62">
        <f>(68.682966+4144.142)*2.204622/60</f>
        <v>154.79477670321421</v>
      </c>
      <c r="M18" s="61"/>
      <c r="N18" s="65"/>
    </row>
    <row r="19" spans="1:15" ht="18.75" customHeight="1" x14ac:dyDescent="0.2">
      <c r="A19" s="41" t="s">
        <v>81</v>
      </c>
      <c r="B19" s="44"/>
      <c r="C19" s="44"/>
      <c r="D19" s="44"/>
      <c r="E19" s="59">
        <f>N15</f>
        <v>3160.6790000000001</v>
      </c>
      <c r="F19" s="66"/>
      <c r="G19" s="62">
        <f>SUM(G16:G18)</f>
        <v>4.9728491841525004</v>
      </c>
      <c r="H19" s="63">
        <f>E19+F19+G19</f>
        <v>3165.6518491841525</v>
      </c>
      <c r="I19" s="63"/>
      <c r="J19" s="63">
        <f>SUM(J16:J18)</f>
        <v>515.96046666666666</v>
      </c>
      <c r="K19" s="67">
        <f>M19-L19-J19</f>
        <v>-54.783234313979165</v>
      </c>
      <c r="L19" s="62">
        <f>SUM(L16:L18)</f>
        <v>595.17161683146514</v>
      </c>
      <c r="M19" s="62">
        <f>H19-N19</f>
        <v>1056.3488491841526</v>
      </c>
      <c r="N19" s="63">
        <v>2109.3029999999999</v>
      </c>
    </row>
    <row r="20" spans="1:15" ht="18.75" customHeight="1" x14ac:dyDescent="0.2">
      <c r="A20" s="41" t="s">
        <v>116</v>
      </c>
      <c r="B20" s="44"/>
      <c r="C20" s="44"/>
      <c r="D20" s="44"/>
      <c r="E20" s="59"/>
      <c r="F20" s="66"/>
      <c r="G20" s="62">
        <f>(15.718589+36.223498+6.168282)*2.204622/60</f>
        <v>2.1351899654252997</v>
      </c>
      <c r="H20" s="63"/>
      <c r="I20" s="63"/>
      <c r="J20" s="63">
        <f>5.46524*2000/60</f>
        <v>182.17466666666667</v>
      </c>
      <c r="K20" s="67"/>
      <c r="L20" s="62">
        <f>(72.280867+3166.287)*2.204622/60</f>
        <v>118.9969661346879</v>
      </c>
      <c r="M20" s="62"/>
      <c r="N20" s="63"/>
    </row>
    <row r="21" spans="1:15" ht="18.75" customHeight="1" x14ac:dyDescent="0.2">
      <c r="A21" s="41" t="s">
        <v>117</v>
      </c>
      <c r="B21" s="44"/>
      <c r="C21" s="44"/>
      <c r="D21" s="44"/>
      <c r="E21" s="59"/>
      <c r="F21" s="66"/>
      <c r="G21" s="62">
        <f>(9.603402+38.602173+17.683985)*2.204622/60</f>
        <v>2.4210262257720006</v>
      </c>
      <c r="H21" s="63"/>
      <c r="I21" s="63"/>
      <c r="J21" s="63">
        <f>5.149147*2000/60</f>
        <v>171.63823333333332</v>
      </c>
      <c r="K21" s="67"/>
      <c r="L21" s="62">
        <f>(56.404038+2110.962)*2.204622/60</f>
        <v>79.637047490460603</v>
      </c>
      <c r="M21" s="62"/>
      <c r="N21" s="63"/>
    </row>
    <row r="22" spans="1:15" ht="18.75" customHeight="1" x14ac:dyDescent="0.2">
      <c r="A22" s="41" t="s">
        <v>118</v>
      </c>
      <c r="B22" s="44"/>
      <c r="C22" s="44"/>
      <c r="D22" s="44"/>
      <c r="E22" s="59"/>
      <c r="F22" s="66"/>
      <c r="G22" s="62">
        <f>(14.93331+18.49162+17.072273)*2.204622/60</f>
        <v>1.8554540778711002</v>
      </c>
      <c r="H22" s="63"/>
      <c r="I22" s="63"/>
      <c r="J22" s="63">
        <f>5.17404*2000/60</f>
        <v>172.46799999999999</v>
      </c>
      <c r="K22" s="67"/>
      <c r="L22" s="62">
        <f>(50.72778+2940.067)*2.204622/60</f>
        <v>109.892866157886</v>
      </c>
      <c r="M22" s="62"/>
      <c r="N22" s="63"/>
    </row>
    <row r="23" spans="1:15" ht="18.75" customHeight="1" x14ac:dyDescent="0.2">
      <c r="A23" s="41" t="s">
        <v>82</v>
      </c>
      <c r="B23" s="44"/>
      <c r="C23" s="44"/>
      <c r="D23" s="44"/>
      <c r="E23" s="59">
        <f>N19</f>
        <v>2109.3029999999999</v>
      </c>
      <c r="F23" s="66"/>
      <c r="G23" s="62">
        <f>SUM(G20:G22)</f>
        <v>6.4116702690684004</v>
      </c>
      <c r="H23" s="63">
        <f>E23+F23+G23</f>
        <v>2115.7146702690684</v>
      </c>
      <c r="I23" s="63"/>
      <c r="J23" s="63">
        <f>SUM(J20:J22)</f>
        <v>526.28089999999997</v>
      </c>
      <c r="K23" s="67">
        <f>M23-L23-J23</f>
        <v>61.577890486033994</v>
      </c>
      <c r="L23" s="62">
        <f>SUM(L20:L22)</f>
        <v>308.52687978303447</v>
      </c>
      <c r="M23" s="62">
        <f>H23-N23</f>
        <v>896.38567026906844</v>
      </c>
      <c r="N23" s="63">
        <v>1219.329</v>
      </c>
      <c r="O23" s="39"/>
    </row>
    <row r="24" spans="1:15" ht="18.75" customHeight="1" x14ac:dyDescent="0.2">
      <c r="A24" s="41" t="s">
        <v>66</v>
      </c>
      <c r="B24" s="44"/>
      <c r="C24" s="44"/>
      <c r="D24" s="44"/>
      <c r="E24" s="59"/>
      <c r="F24" s="66"/>
      <c r="G24" s="62">
        <f>(15.628801+28.563775+7.569622)*2.204622/60</f>
        <v>1.9019346746526002</v>
      </c>
      <c r="H24" s="63"/>
      <c r="I24" s="63"/>
      <c r="J24" s="63">
        <f>5.086941*2000/60</f>
        <v>169.56470000000002</v>
      </c>
      <c r="K24" s="67"/>
      <c r="L24" s="62">
        <f>(51.253059+3204.53)*2.204622/60</f>
        <v>119.62951598497831</v>
      </c>
      <c r="M24" s="62"/>
      <c r="N24" s="63"/>
    </row>
    <row r="25" spans="1:15" ht="18.75" customHeight="1" x14ac:dyDescent="0.2">
      <c r="A25" s="41" t="s">
        <v>68</v>
      </c>
      <c r="B25" s="44"/>
      <c r="C25" s="44"/>
      <c r="D25" s="44"/>
      <c r="E25" s="59"/>
      <c r="F25" s="66"/>
      <c r="G25" s="62">
        <f>(6.402652+44.065496+8.381982)*2.204622/60</f>
        <v>2.1623715216810004</v>
      </c>
      <c r="H25" s="63"/>
      <c r="I25" s="63"/>
      <c r="J25" s="63">
        <f>5.365828*2000/60</f>
        <v>178.86093333333332</v>
      </c>
      <c r="K25" s="67"/>
      <c r="L25" s="62">
        <f>(68.729166+3357.876)*2.204622/60</f>
        <v>125.90615223795422</v>
      </c>
      <c r="M25" s="62"/>
      <c r="N25" s="63"/>
    </row>
    <row r="26" spans="1:15" ht="18.75" customHeight="1" x14ac:dyDescent="0.2">
      <c r="A26" s="41" t="s">
        <v>69</v>
      </c>
      <c r="B26" s="44"/>
      <c r="C26" s="44"/>
      <c r="D26" s="44"/>
      <c r="E26" s="59"/>
      <c r="F26" s="66"/>
      <c r="G26" s="62">
        <f>(2.00037+12.691678+5.753656)*2.204622/60</f>
        <v>0.75125081406479999</v>
      </c>
      <c r="H26" s="63"/>
      <c r="I26" s="63"/>
      <c r="J26" s="63">
        <f>5.088884*2000/60</f>
        <v>169.62946666666667</v>
      </c>
      <c r="K26" s="67"/>
      <c r="L26" s="62">
        <f>(72.994883+3294.515)*2.204622/60</f>
        <v>123.73477288798709</v>
      </c>
      <c r="M26" s="62"/>
      <c r="N26" s="63"/>
    </row>
    <row r="27" spans="1:15" ht="18.75" customHeight="1" x14ac:dyDescent="0.2">
      <c r="A27" s="68" t="s">
        <v>83</v>
      </c>
      <c r="B27" s="44"/>
      <c r="C27" s="44"/>
      <c r="D27" s="44"/>
      <c r="E27" s="59">
        <f>N23</f>
        <v>1219.329</v>
      </c>
      <c r="F27" s="66"/>
      <c r="G27" s="62">
        <f>SUM(G24:G26)</f>
        <v>4.8155570103984005</v>
      </c>
      <c r="H27" s="63">
        <f>SUM(E27:G27)</f>
        <v>1224.1445570103983</v>
      </c>
      <c r="I27" s="63"/>
      <c r="J27" s="63">
        <f>SUM(J24:J26)</f>
        <v>518.05510000000004</v>
      </c>
      <c r="K27" s="67">
        <f>M27-L27-J27</f>
        <v>-101.28598410052138</v>
      </c>
      <c r="L27" s="62">
        <f>SUM(L24:L26)</f>
        <v>369.27044111091965</v>
      </c>
      <c r="M27" s="62">
        <f>+H27-N27</f>
        <v>786.03955701039831</v>
      </c>
      <c r="N27" s="63">
        <v>438.10500000000002</v>
      </c>
    </row>
    <row r="28" spans="1:15" ht="18.75" customHeight="1" x14ac:dyDescent="0.2">
      <c r="A28" s="41" t="s">
        <v>38</v>
      </c>
      <c r="B28" s="44"/>
      <c r="C28" s="44"/>
      <c r="D28" s="44"/>
      <c r="E28" s="59"/>
      <c r="F28" s="66">
        <f>F15+F19+F23+F27</f>
        <v>4410.6729999999998</v>
      </c>
      <c r="G28" s="62">
        <f>G15+G19+G23+G27</f>
        <v>21.821877959229603</v>
      </c>
      <c r="H28" s="63">
        <f>E15+F28+G28</f>
        <v>4734.0898779592299</v>
      </c>
      <c r="I28" s="63"/>
      <c r="J28" s="63">
        <f>J15+J19+J23+J27</f>
        <v>2054.9319999999998</v>
      </c>
      <c r="K28" s="67">
        <f>K15+K19+K23+K27</f>
        <v>111.95233346246391</v>
      </c>
      <c r="L28" s="62">
        <f>L15+L19+L23+L27</f>
        <v>2129.1005444967659</v>
      </c>
      <c r="M28" s="62">
        <f>M15+M19+M23+M27</f>
        <v>4295.9848779592294</v>
      </c>
      <c r="N28" s="63"/>
    </row>
    <row r="29" spans="1:15" ht="14.25" x14ac:dyDescent="0.2">
      <c r="A29" s="44"/>
      <c r="B29" s="44"/>
      <c r="C29" s="44"/>
      <c r="D29" s="44"/>
      <c r="E29" s="59"/>
      <c r="F29" s="61"/>
      <c r="G29" s="62"/>
      <c r="H29" s="63"/>
      <c r="I29" s="63"/>
      <c r="J29" s="63"/>
      <c r="K29" s="64"/>
      <c r="L29" s="62"/>
      <c r="M29" s="62"/>
      <c r="N29" s="65"/>
    </row>
    <row r="30" spans="1:15" ht="14.25" x14ac:dyDescent="0.2">
      <c r="A30" s="41" t="s">
        <v>173</v>
      </c>
      <c r="B30" s="44"/>
      <c r="C30" s="44"/>
      <c r="D30" s="44"/>
      <c r="E30" s="59"/>
      <c r="F30" s="61"/>
      <c r="G30" s="62"/>
      <c r="H30" s="63"/>
      <c r="I30" s="63"/>
      <c r="J30" s="63"/>
      <c r="K30" s="64"/>
      <c r="L30" s="62"/>
      <c r="M30" s="62"/>
      <c r="N30" s="65"/>
    </row>
    <row r="31" spans="1:15" ht="18.75" customHeight="1" x14ac:dyDescent="0.2">
      <c r="A31" s="41" t="s">
        <v>104</v>
      </c>
      <c r="B31" s="44"/>
      <c r="C31" s="44"/>
      <c r="D31" s="44"/>
      <c r="E31" s="59">
        <f>N27</f>
        <v>438.10500000000002</v>
      </c>
      <c r="F31" s="66">
        <v>4689.6279999999997</v>
      </c>
      <c r="G31" s="62">
        <f>(2.812927+19.605446+5.607091)*2.204622/60</f>
        <v>1.0297592415768002</v>
      </c>
      <c r="H31" s="63">
        <f>SUM(E31:G31)</f>
        <v>5128.7627592415765</v>
      </c>
      <c r="I31" s="63"/>
      <c r="J31" s="63">
        <f>5.077532*2000/60</f>
        <v>169.25106666666667</v>
      </c>
      <c r="K31" s="67"/>
      <c r="L31" s="62">
        <f>(121.841427+3115.468)*2.204622/60</f>
        <v>118.95072639285989</v>
      </c>
      <c r="M31" s="62"/>
      <c r="N31" s="63"/>
    </row>
    <row r="32" spans="1:15" ht="18.75" customHeight="1" x14ac:dyDescent="0.2">
      <c r="A32" s="44" t="s">
        <v>110</v>
      </c>
      <c r="B32" s="44"/>
      <c r="C32" s="44"/>
      <c r="D32" s="44"/>
      <c r="E32" s="59"/>
      <c r="F32" s="66"/>
      <c r="G32" s="62">
        <f>(3.320708+14.646657+3.156093)*2.204622/60</f>
        <v>0.77615400371459997</v>
      </c>
      <c r="H32" s="63"/>
      <c r="I32" s="63"/>
      <c r="J32" s="63">
        <f>5.488907*2000/60</f>
        <v>182.96356666666668</v>
      </c>
      <c r="K32" s="67"/>
      <c r="L32" s="62">
        <f>(126.144882+5454.001)*2.204622/60</f>
        <v>205.0352062444434</v>
      </c>
      <c r="M32" s="62"/>
      <c r="N32" s="63"/>
    </row>
    <row r="33" spans="1:73" ht="14.25" x14ac:dyDescent="0.2">
      <c r="A33" s="40" t="s">
        <v>174</v>
      </c>
      <c r="B33" s="40"/>
      <c r="C33" s="40"/>
      <c r="D33" s="40"/>
      <c r="E33" s="69"/>
      <c r="F33" s="70">
        <f>F31</f>
        <v>4689.6279999999997</v>
      </c>
      <c r="G33" s="71">
        <f>G31+G32</f>
        <v>1.8059132452914002</v>
      </c>
      <c r="H33" s="72">
        <f>E31+F33+G33</f>
        <v>5129.538913245292</v>
      </c>
      <c r="I33" s="72"/>
      <c r="J33" s="72">
        <f>J31+J32</f>
        <v>352.21463333333338</v>
      </c>
      <c r="K33" s="73"/>
      <c r="L33" s="71">
        <f>L31+L32</f>
        <v>323.98593263730328</v>
      </c>
      <c r="M33" s="71"/>
      <c r="N33" s="74"/>
    </row>
    <row r="34" spans="1:73" ht="16.5" x14ac:dyDescent="0.2">
      <c r="A34" s="75" t="s">
        <v>128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76"/>
      <c r="M34" s="44"/>
      <c r="N34" s="44"/>
    </row>
    <row r="35" spans="1:73" ht="14.25" x14ac:dyDescent="0.2">
      <c r="A35" s="41" t="s">
        <v>129</v>
      </c>
      <c r="B35" s="41"/>
      <c r="C35" s="41"/>
      <c r="D35" s="41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73" ht="14.25" x14ac:dyDescent="0.2">
      <c r="A36" s="78" t="s">
        <v>78</v>
      </c>
      <c r="B36" s="41"/>
      <c r="C36" s="41"/>
      <c r="D36" s="41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4.25" x14ac:dyDescent="0.2">
      <c r="A37" s="41" t="s">
        <v>26</v>
      </c>
      <c r="B37" s="79">
        <f ca="1">NOW()</f>
        <v>43447.492243749999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F41" s="15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</sheetData>
  <dataConsolidate/>
  <mergeCells count="5">
    <mergeCell ref="B5:C5"/>
    <mergeCell ref="B2:C2"/>
    <mergeCell ref="E2:H2"/>
    <mergeCell ref="J2:M2"/>
    <mergeCell ref="E5:N5"/>
  </mergeCells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23 K19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3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14.25" x14ac:dyDescent="0.2">
      <c r="A2" s="41"/>
      <c r="B2" s="158" t="s">
        <v>0</v>
      </c>
      <c r="C2" s="158"/>
      <c r="D2" s="158"/>
      <c r="E2" s="158"/>
      <c r="F2" s="44"/>
      <c r="G2" s="158" t="s">
        <v>24</v>
      </c>
      <c r="H2" s="158"/>
      <c r="I2" s="158"/>
      <c r="J2" s="41"/>
    </row>
    <row r="3" spans="1:12" ht="14.25" x14ac:dyDescent="0.2">
      <c r="A3" s="41" t="s">
        <v>84</v>
      </c>
      <c r="B3" s="43" t="s">
        <v>8</v>
      </c>
      <c r="C3" s="45"/>
      <c r="D3" s="45"/>
      <c r="E3" s="45"/>
      <c r="F3" s="45"/>
      <c r="G3" s="45"/>
      <c r="H3" s="45"/>
      <c r="I3" s="45"/>
      <c r="J3" s="43" t="s">
        <v>34</v>
      </c>
    </row>
    <row r="4" spans="1:12" ht="14.25" x14ac:dyDescent="0.2">
      <c r="A4" s="46" t="s">
        <v>85</v>
      </c>
      <c r="B4" s="48" t="s">
        <v>33</v>
      </c>
      <c r="C4" s="48" t="s">
        <v>1</v>
      </c>
      <c r="D4" s="48" t="s">
        <v>2</v>
      </c>
      <c r="E4" s="50" t="s">
        <v>32</v>
      </c>
      <c r="F4" s="49"/>
      <c r="G4" s="48" t="s">
        <v>35</v>
      </c>
      <c r="H4" s="48" t="s">
        <v>31</v>
      </c>
      <c r="I4" s="48" t="s">
        <v>32</v>
      </c>
      <c r="J4" s="48" t="s">
        <v>97</v>
      </c>
    </row>
    <row r="5" spans="1:12" ht="14.25" x14ac:dyDescent="0.2">
      <c r="A5" s="41"/>
      <c r="B5" s="157" t="s">
        <v>105</v>
      </c>
      <c r="C5" s="157"/>
      <c r="D5" s="157"/>
      <c r="E5" s="157"/>
      <c r="F5" s="157"/>
      <c r="G5" s="157"/>
      <c r="H5" s="157"/>
      <c r="I5" s="157"/>
      <c r="J5" s="157"/>
    </row>
    <row r="6" spans="1:12" ht="16.5" x14ac:dyDescent="0.2">
      <c r="A6" s="41" t="s">
        <v>126</v>
      </c>
      <c r="B6" s="80">
        <v>263.88600000000002</v>
      </c>
      <c r="C6" s="81">
        <v>44787.017</v>
      </c>
      <c r="D6" s="81">
        <v>349.553099354697</v>
      </c>
      <c r="E6" s="81">
        <f>+B6+C6+D6</f>
        <v>45400.456099354698</v>
      </c>
      <c r="F6" s="81"/>
      <c r="G6" s="81">
        <f>+I6-H6</f>
        <v>33419.538222414194</v>
      </c>
      <c r="H6" s="81">
        <v>11580.287876940511</v>
      </c>
      <c r="I6" s="81">
        <f>+E6-J6</f>
        <v>44999.826099354701</v>
      </c>
      <c r="J6" s="81">
        <v>400.63</v>
      </c>
    </row>
    <row r="7" spans="1:12" ht="16.5" x14ac:dyDescent="0.2">
      <c r="A7" s="41" t="s">
        <v>145</v>
      </c>
      <c r="B7" s="80">
        <f>J6</f>
        <v>400.63</v>
      </c>
      <c r="C7" s="81">
        <f>C23</f>
        <v>49215.829000000005</v>
      </c>
      <c r="D7" s="81">
        <f>D23</f>
        <v>495.14565941574295</v>
      </c>
      <c r="E7" s="81">
        <f>+B7+C7+D7</f>
        <v>50111.604659415745</v>
      </c>
      <c r="F7" s="81"/>
      <c r="G7" s="81">
        <f>+I7-H7</f>
        <v>34733.11146749364</v>
      </c>
      <c r="H7" s="81">
        <f>H23</f>
        <v>14825.621191922099</v>
      </c>
      <c r="I7" s="81">
        <f>+E7-J7</f>
        <v>49558.732659415742</v>
      </c>
      <c r="J7" s="81">
        <f>J22</f>
        <v>552.87200000000007</v>
      </c>
    </row>
    <row r="8" spans="1:12" ht="16.5" x14ac:dyDescent="0.2">
      <c r="A8" s="41" t="s">
        <v>168</v>
      </c>
      <c r="B8" s="80">
        <f>J7</f>
        <v>552.87200000000007</v>
      </c>
      <c r="C8" s="81">
        <v>49147</v>
      </c>
      <c r="D8" s="81">
        <v>350</v>
      </c>
      <c r="E8" s="81">
        <f>+B8+C8+D8</f>
        <v>50049.872000000003</v>
      </c>
      <c r="F8" s="81"/>
      <c r="G8" s="81">
        <f>+I8-H8</f>
        <v>35849.872000000003</v>
      </c>
      <c r="H8" s="81">
        <v>13750</v>
      </c>
      <c r="I8" s="81">
        <f>+E8-J8</f>
        <v>49599.872000000003</v>
      </c>
      <c r="J8" s="81">
        <v>450</v>
      </c>
    </row>
    <row r="9" spans="1:12" ht="14.25" x14ac:dyDescent="0.2">
      <c r="A9" s="41"/>
      <c r="B9" s="82"/>
      <c r="C9" s="82"/>
      <c r="D9" s="82"/>
      <c r="E9" s="82"/>
      <c r="F9" s="82"/>
      <c r="G9" s="82"/>
      <c r="H9" s="82"/>
      <c r="I9" s="82"/>
      <c r="J9" s="82"/>
    </row>
    <row r="10" spans="1:12" ht="14.25" x14ac:dyDescent="0.2">
      <c r="A10" s="41" t="s">
        <v>121</v>
      </c>
      <c r="B10" s="82"/>
      <c r="C10" s="62"/>
      <c r="D10" s="62"/>
      <c r="E10" s="62"/>
      <c r="F10" s="83"/>
      <c r="G10" s="62"/>
      <c r="H10" s="62"/>
      <c r="I10" s="62"/>
      <c r="J10" s="83"/>
    </row>
    <row r="11" spans="1:12" ht="15.75" x14ac:dyDescent="0.25">
      <c r="A11" s="44" t="s">
        <v>58</v>
      </c>
      <c r="B11" s="84">
        <f>353.758+46.872</f>
        <v>400.63</v>
      </c>
      <c r="C11" s="62">
        <f>3847.77+276.055</f>
        <v>4123.8249999999998</v>
      </c>
      <c r="D11" s="62">
        <f>(22847.236+3613+112.237+227.84)*2.204622/2000</f>
        <v>29.542279823343005</v>
      </c>
      <c r="E11" s="62">
        <f t="shared" ref="E11:E16" si="0">SUM(B11:D11)</f>
        <v>4553.997279823343</v>
      </c>
      <c r="F11" s="83"/>
      <c r="G11" s="85">
        <f t="shared" ref="G11:G16" si="1">I11-H11</f>
        <v>3378.7416613199302</v>
      </c>
      <c r="H11" s="62">
        <f>((600.174309+9.196+100.005374))*(2.204622/2)</f>
        <v>781.95261850341296</v>
      </c>
      <c r="I11" s="83">
        <f t="shared" ref="I11:I17" si="2">E11-J11</f>
        <v>4160.6942798233431</v>
      </c>
      <c r="J11" s="62">
        <f>350.935+42.368</f>
        <v>393.303</v>
      </c>
      <c r="K11" s="23"/>
      <c r="L11" s="23"/>
    </row>
    <row r="12" spans="1:12" ht="15.75" x14ac:dyDescent="0.25">
      <c r="A12" s="44" t="s">
        <v>59</v>
      </c>
      <c r="B12" s="84">
        <f t="shared" ref="B12:B18" si="3">J11</f>
        <v>393.303</v>
      </c>
      <c r="C12" s="62">
        <f>3829.14+272.552</f>
        <v>4101.692</v>
      </c>
      <c r="D12" s="62">
        <f>(24089.253+6879+138.856+88.687)*2.204622/2000</f>
        <v>34.387469084556002</v>
      </c>
      <c r="E12" s="62">
        <f t="shared" si="0"/>
        <v>4529.3824690845559</v>
      </c>
      <c r="F12" s="83"/>
      <c r="G12" s="85">
        <f t="shared" si="1"/>
        <v>3025.7385579029396</v>
      </c>
      <c r="H12" s="62">
        <f>((805.972095+9.59+195.528161))*(2.204622/2)</f>
        <v>1114.535911181616</v>
      </c>
      <c r="I12" s="83">
        <f t="shared" si="2"/>
        <v>4140.2744690845557</v>
      </c>
      <c r="J12" s="62">
        <f>354.998+34.11</f>
        <v>389.108</v>
      </c>
      <c r="K12" s="23"/>
      <c r="L12" s="23"/>
    </row>
    <row r="13" spans="1:12" ht="15.75" x14ac:dyDescent="0.25">
      <c r="A13" s="44" t="s">
        <v>60</v>
      </c>
      <c r="B13" s="84">
        <f t="shared" si="3"/>
        <v>389.108</v>
      </c>
      <c r="C13" s="62">
        <f>3904.161+268.856</f>
        <v>4173.0169999999998</v>
      </c>
      <c r="D13" s="62">
        <f>(24389.331+4562+327.365+22.939)*2.204622/2000</f>
        <v>32.299514578485002</v>
      </c>
      <c r="E13" s="62">
        <f t="shared" si="0"/>
        <v>4594.4245145784853</v>
      </c>
      <c r="F13" s="83"/>
      <c r="G13" s="85">
        <f t="shared" si="1"/>
        <v>2850.6246743459992</v>
      </c>
      <c r="H13" s="62">
        <f>((830.201079+4.499+243.868347))*(2.204622/2)</f>
        <v>1188.917840232486</v>
      </c>
      <c r="I13" s="83">
        <f t="shared" si="2"/>
        <v>4039.5425145784852</v>
      </c>
      <c r="J13" s="62">
        <f>506.203+48.679</f>
        <v>554.88199999999995</v>
      </c>
      <c r="K13" s="23"/>
      <c r="L13" s="23"/>
    </row>
    <row r="14" spans="1:12" ht="15.75" x14ac:dyDescent="0.25">
      <c r="A14" s="44" t="s">
        <v>61</v>
      </c>
      <c r="B14" s="84">
        <f t="shared" si="3"/>
        <v>554.88199999999995</v>
      </c>
      <c r="C14" s="62">
        <f>3859.849+268.466</f>
        <v>4128.3150000000005</v>
      </c>
      <c r="D14" s="62">
        <f>(36971.805+5379+529.766+155.003)*2.204622/2000</f>
        <v>47.438586611514005</v>
      </c>
      <c r="E14" s="62">
        <f t="shared" si="0"/>
        <v>4730.6355866115146</v>
      </c>
      <c r="F14" s="83"/>
      <c r="G14" s="85">
        <f t="shared" si="1"/>
        <v>3137.9027527343933</v>
      </c>
      <c r="H14" s="62">
        <f>((963.675889+8.332+100.939613))*(2.204622/2)</f>
        <v>1182.721833877122</v>
      </c>
      <c r="I14" s="83">
        <f t="shared" si="2"/>
        <v>4320.624586611515</v>
      </c>
      <c r="J14" s="62">
        <f>379.359+30.652</f>
        <v>410.01099999999997</v>
      </c>
      <c r="K14" s="23"/>
      <c r="L14" s="23"/>
    </row>
    <row r="15" spans="1:12" ht="15.75" x14ac:dyDescent="0.25">
      <c r="A15" s="44" t="s">
        <v>62</v>
      </c>
      <c r="B15" s="84">
        <f t="shared" si="3"/>
        <v>410.01099999999997</v>
      </c>
      <c r="C15" s="62">
        <f>3651.786+247.786</f>
        <v>3899.5720000000001</v>
      </c>
      <c r="D15" s="62">
        <f>(38660.509+4701+268.165+52.191)*2.204622/2000</f>
        <v>48.151000290014998</v>
      </c>
      <c r="E15" s="62">
        <f t="shared" si="0"/>
        <v>4357.7340002900155</v>
      </c>
      <c r="F15" s="83"/>
      <c r="G15" s="85">
        <f t="shared" si="1"/>
        <v>2658.6559813247736</v>
      </c>
      <c r="H15" s="62">
        <f>((928.305283+11.173+188.412139))*(2.204622/2)</f>
        <v>1243.286018965242</v>
      </c>
      <c r="I15" s="83">
        <f t="shared" si="2"/>
        <v>3901.9420002900156</v>
      </c>
      <c r="J15" s="62">
        <f>415.077+40.715</f>
        <v>455.79200000000003</v>
      </c>
      <c r="K15" s="23"/>
      <c r="L15" s="23"/>
    </row>
    <row r="16" spans="1:12" ht="15.75" x14ac:dyDescent="0.25">
      <c r="A16" s="44" t="s">
        <v>63</v>
      </c>
      <c r="B16" s="84">
        <f t="shared" si="3"/>
        <v>455.79200000000003</v>
      </c>
      <c r="C16" s="62">
        <f>4029.272+277.277</f>
        <v>4306.549</v>
      </c>
      <c r="D16" s="62">
        <f>(44293.716+6632+552.284+45.659)*2.204622/2000</f>
        <v>56.795096075949004</v>
      </c>
      <c r="E16" s="62">
        <f t="shared" si="0"/>
        <v>4819.1360960759494</v>
      </c>
      <c r="F16" s="83"/>
      <c r="G16" s="85">
        <f t="shared" si="1"/>
        <v>2860.0986151257603</v>
      </c>
      <c r="H16" s="62">
        <f>((1087.910534+8.669+186.947965))*(2.204622/2)</f>
        <v>1414.8464809501893</v>
      </c>
      <c r="I16" s="83">
        <f t="shared" si="2"/>
        <v>4274.9450960759496</v>
      </c>
      <c r="J16" s="62">
        <f>492.224+51.967</f>
        <v>544.19100000000003</v>
      </c>
      <c r="K16" s="23"/>
      <c r="L16" s="23"/>
    </row>
    <row r="17" spans="1:12" ht="15.75" x14ac:dyDescent="0.25">
      <c r="A17" s="44" t="s">
        <v>64</v>
      </c>
      <c r="B17" s="84">
        <f t="shared" si="3"/>
        <v>544.19100000000003</v>
      </c>
      <c r="C17" s="62">
        <f>3822.338+257.585</f>
        <v>4079.9230000000002</v>
      </c>
      <c r="D17" s="62">
        <f>(28045.93+7488+746.07+92.753)*2.204622/2000</f>
        <v>40.094085732182997</v>
      </c>
      <c r="E17" s="62">
        <f t="shared" ref="E17:E22" si="4">SUM(B17:D17)</f>
        <v>4664.2080857321835</v>
      </c>
      <c r="F17" s="83"/>
      <c r="G17" s="85">
        <f t="shared" ref="G17:G22" si="5">I17-H17</f>
        <v>2883.6715361031738</v>
      </c>
      <c r="H17" s="62">
        <f>((939.851833+12.285+252.977286))*(2.204622/2)</f>
        <v>1328.4105496290092</v>
      </c>
      <c r="I17" s="83">
        <f t="shared" si="2"/>
        <v>4212.0820857321833</v>
      </c>
      <c r="J17" s="62">
        <f>404.468+47.658</f>
        <v>452.12600000000003</v>
      </c>
      <c r="K17" s="23"/>
      <c r="L17" s="23"/>
    </row>
    <row r="18" spans="1:12" ht="15.75" x14ac:dyDescent="0.25">
      <c r="A18" s="44" t="s">
        <v>65</v>
      </c>
      <c r="B18" s="84">
        <f t="shared" si="3"/>
        <v>452.12600000000003</v>
      </c>
      <c r="C18" s="62">
        <f>3846.687+262.574</f>
        <v>4109.2609999999995</v>
      </c>
      <c r="D18" s="62">
        <f>(30307.778+8732+999.903+277.738)*2.204622/2000</f>
        <v>44.442334455308995</v>
      </c>
      <c r="E18" s="62">
        <f t="shared" si="4"/>
        <v>4605.8293344553085</v>
      </c>
      <c r="F18" s="83"/>
      <c r="G18" s="85">
        <f t="shared" si="5"/>
        <v>2837.7341102318351</v>
      </c>
      <c r="H18" s="62">
        <f>((931.728038+14.292+265.043105))*(2.204622/2)</f>
        <v>1334.968224223473</v>
      </c>
      <c r="I18" s="83">
        <f>E18-J18</f>
        <v>4172.7023344553081</v>
      </c>
      <c r="J18" s="62">
        <f>391.812+41.315</f>
        <v>433.12700000000001</v>
      </c>
      <c r="K18" s="23"/>
      <c r="L18" s="23"/>
    </row>
    <row r="19" spans="1:12" ht="15.75" x14ac:dyDescent="0.25">
      <c r="A19" s="44" t="s">
        <v>66</v>
      </c>
      <c r="B19" s="84">
        <f>J18</f>
        <v>433.12700000000001</v>
      </c>
      <c r="C19" s="62">
        <f>3778.127+254.192</f>
        <v>4032.319</v>
      </c>
      <c r="D19" s="62">
        <f>(32240.674+5482+601.309+347.659)*2.204622/2000</f>
        <v>42.628176364662004</v>
      </c>
      <c r="E19" s="62">
        <f t="shared" si="4"/>
        <v>4508.074176364662</v>
      </c>
      <c r="F19" s="83"/>
      <c r="G19" s="85">
        <f t="shared" si="5"/>
        <v>2631.8480803154871</v>
      </c>
      <c r="H19" s="62">
        <f>((1029.570683+13.178+297.795951))*(2.204622/2)</f>
        <v>1477.6970960491742</v>
      </c>
      <c r="I19" s="83">
        <f>E19-J19</f>
        <v>4109.5451763646615</v>
      </c>
      <c r="J19" s="62">
        <f>359.823+38.706</f>
        <v>398.529</v>
      </c>
      <c r="K19" s="23"/>
      <c r="L19" s="23"/>
    </row>
    <row r="20" spans="1:12" ht="15.75" x14ac:dyDescent="0.25">
      <c r="A20" s="44" t="s">
        <v>68</v>
      </c>
      <c r="B20" s="84">
        <f>J19</f>
        <v>398.529</v>
      </c>
      <c r="C20" s="62">
        <f>3979.12+265.562</f>
        <v>4244.6819999999998</v>
      </c>
      <c r="D20" s="62">
        <f>(25790.768+9506+404.699+474.826)*2.204622/2000</f>
        <v>39.877525713122992</v>
      </c>
      <c r="E20" s="62">
        <f t="shared" si="4"/>
        <v>4683.0885257131222</v>
      </c>
      <c r="F20" s="83"/>
      <c r="G20" s="85">
        <f t="shared" si="5"/>
        <v>2917.1928897382468</v>
      </c>
      <c r="H20" s="62">
        <f>((871.419645+16.308+249.39848))*(2.204622/2)</f>
        <v>1253.4666359748751</v>
      </c>
      <c r="I20" s="83">
        <f>E20-J20</f>
        <v>4170.6595257131221</v>
      </c>
      <c r="J20" s="62">
        <f>462.35+50.079</f>
        <v>512.42899999999997</v>
      </c>
      <c r="K20" s="23"/>
      <c r="L20" s="23"/>
    </row>
    <row r="21" spans="1:12" ht="15.75" x14ac:dyDescent="0.25">
      <c r="A21" s="44" t="s">
        <v>69</v>
      </c>
      <c r="B21" s="84">
        <f>J20</f>
        <v>512.42899999999997</v>
      </c>
      <c r="C21" s="62">
        <f>3771.727+259.078</f>
        <v>4030.8049999999998</v>
      </c>
      <c r="D21" s="62">
        <f>(30811.776+9784+380.962+375.799)*2.204622/2000</f>
        <v>45.583356413007003</v>
      </c>
      <c r="E21" s="62">
        <f t="shared" si="4"/>
        <v>4588.8173564130066</v>
      </c>
      <c r="F21" s="83"/>
      <c r="G21" s="85">
        <f t="shared" si="5"/>
        <v>2843.5690296272546</v>
      </c>
      <c r="H21" s="62">
        <f>((990.184003+14.522+214.727829))*(2.204622/2)</f>
        <v>1344.1953267857521</v>
      </c>
      <c r="I21" s="83">
        <f>E21-J21</f>
        <v>4187.7643564130067</v>
      </c>
      <c r="J21" s="62">
        <f>359.936+41.117</f>
        <v>401.053</v>
      </c>
      <c r="K21" s="23"/>
      <c r="L21" s="23"/>
    </row>
    <row r="22" spans="1:12" ht="15.75" x14ac:dyDescent="0.25">
      <c r="A22" s="44" t="s">
        <v>71</v>
      </c>
      <c r="B22" s="84">
        <f>J21</f>
        <v>401.053</v>
      </c>
      <c r="C22" s="62">
        <f>3731.6+254.269</f>
        <v>3985.8689999999997</v>
      </c>
      <c r="D22" s="62">
        <f>(21488.826+7910+984.314+376.087)*2.204622/2000</f>
        <v>33.906234273597001</v>
      </c>
      <c r="E22" s="62">
        <f t="shared" si="4"/>
        <v>4420.8282342735965</v>
      </c>
      <c r="F22" s="83"/>
      <c r="G22" s="85">
        <f t="shared" si="5"/>
        <v>2707.3335787238475</v>
      </c>
      <c r="H22" s="62">
        <f>((822.935166+16.362+213.602293))*(2.204622/2)</f>
        <v>1160.622655549749</v>
      </c>
      <c r="I22" s="83">
        <f>E22-J22</f>
        <v>3867.9562342735962</v>
      </c>
      <c r="J22" s="62">
        <f>498.862+54.01</f>
        <v>552.87200000000007</v>
      </c>
      <c r="K22" s="23"/>
      <c r="L22" s="23"/>
    </row>
    <row r="23" spans="1:12" ht="15.75" x14ac:dyDescent="0.25">
      <c r="A23" s="44" t="s">
        <v>3</v>
      </c>
      <c r="B23" s="84"/>
      <c r="C23" s="62">
        <f>SUM(C11:C22)</f>
        <v>49215.829000000005</v>
      </c>
      <c r="D23" s="62">
        <f>SUM(D11:D22)</f>
        <v>495.14565941574295</v>
      </c>
      <c r="E23" s="62">
        <f>B11+C23+D23</f>
        <v>50111.604659415745</v>
      </c>
      <c r="F23" s="83"/>
      <c r="G23" s="85">
        <f>SUM(G11:G22)</f>
        <v>34733.11146749364</v>
      </c>
      <c r="H23" s="62">
        <f>SUM(H11:H22)</f>
        <v>14825.621191922099</v>
      </c>
      <c r="I23" s="83">
        <f>SUM(I11:I22)</f>
        <v>49558.732659415735</v>
      </c>
      <c r="J23" s="62"/>
      <c r="K23" s="23"/>
      <c r="L23" s="23"/>
    </row>
    <row r="24" spans="1:12" ht="14.25" x14ac:dyDescent="0.2">
      <c r="A24" s="44"/>
      <c r="B24" s="84"/>
      <c r="C24" s="62"/>
      <c r="D24" s="62"/>
      <c r="E24" s="62"/>
      <c r="F24" s="62"/>
      <c r="G24" s="62"/>
      <c r="H24" s="62"/>
      <c r="I24" s="62"/>
      <c r="J24" s="62"/>
    </row>
    <row r="25" spans="1:12" ht="14.25" x14ac:dyDescent="0.2">
      <c r="A25" s="41" t="s">
        <v>173</v>
      </c>
      <c r="B25" s="84"/>
      <c r="C25" s="62"/>
      <c r="D25" s="62"/>
      <c r="E25" s="62"/>
      <c r="F25" s="62"/>
      <c r="G25" s="62"/>
      <c r="H25" s="62"/>
      <c r="I25" s="62"/>
      <c r="J25" s="62"/>
    </row>
    <row r="26" spans="1:12" ht="14.25" x14ac:dyDescent="0.2">
      <c r="A26" s="40" t="s">
        <v>58</v>
      </c>
      <c r="B26" s="86">
        <f>J22</f>
        <v>552.87200000000007</v>
      </c>
      <c r="C26" s="71">
        <f>4007.671+270.093</f>
        <v>4277.7640000000001</v>
      </c>
      <c r="D26" s="71">
        <f>(38926.531+8534+588.568+342.761)*2.204622/2000</f>
        <v>53.342879588460001</v>
      </c>
      <c r="E26" s="71">
        <f>SUM(B26:D26)</f>
        <v>4883.9788795884606</v>
      </c>
      <c r="F26" s="71"/>
      <c r="G26" s="71">
        <f>I26-H26</f>
        <v>3333.605814257905</v>
      </c>
      <c r="H26" s="71">
        <f>((777.632699+6.862+220.334306))*(2.204622/2)</f>
        <v>1107.6340653305549</v>
      </c>
      <c r="I26" s="71">
        <f>E26-J26</f>
        <v>4441.2398795884601</v>
      </c>
      <c r="J26" s="71">
        <f>397.413+45.326</f>
        <v>442.73900000000003</v>
      </c>
    </row>
    <row r="27" spans="1:12" ht="16.5" x14ac:dyDescent="0.2">
      <c r="A27" s="87" t="s">
        <v>130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2" ht="14.25" x14ac:dyDescent="0.2">
      <c r="A28" s="41" t="s">
        <v>131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2" ht="14.25" x14ac:dyDescent="0.2">
      <c r="A29" s="41" t="s">
        <v>26</v>
      </c>
      <c r="B29" s="79">
        <f ca="1">NOW()</f>
        <v>43447.492243749999</v>
      </c>
      <c r="C29" s="61"/>
      <c r="D29" s="57"/>
      <c r="E29" s="57"/>
      <c r="F29" s="57"/>
      <c r="G29" s="57"/>
      <c r="H29" s="57"/>
      <c r="I29" s="57"/>
      <c r="J29" s="57"/>
    </row>
    <row r="30" spans="1:12" x14ac:dyDescent="0.2">
      <c r="A30" s="1"/>
      <c r="B30" s="3"/>
      <c r="C30" s="4"/>
      <c r="D30" s="3"/>
      <c r="E30" s="3"/>
      <c r="F30" s="3"/>
      <c r="G30" s="3"/>
      <c r="H30" s="5"/>
      <c r="I30" s="3"/>
      <c r="J30" s="3"/>
    </row>
    <row r="31" spans="1:12" x14ac:dyDescent="0.2">
      <c r="A31" s="1"/>
      <c r="B31" s="3"/>
      <c r="C31" s="3"/>
      <c r="D31" s="3"/>
      <c r="E31" s="3"/>
      <c r="F31" s="3"/>
      <c r="G31" s="3"/>
      <c r="H31" s="3"/>
      <c r="I31" s="3"/>
      <c r="J31" s="3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0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9.5703125" bestFit="1" customWidth="1"/>
    <col min="14" max="14" width="9.28515625" bestFit="1" customWidth="1"/>
  </cols>
  <sheetData>
    <row r="1" spans="1:13" ht="14.25" x14ac:dyDescent="0.2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4.25" x14ac:dyDescent="0.2">
      <c r="A2" s="41"/>
      <c r="B2" s="158" t="s">
        <v>0</v>
      </c>
      <c r="C2" s="158"/>
      <c r="D2" s="158"/>
      <c r="E2" s="158"/>
      <c r="F2" s="44"/>
      <c r="G2" s="158" t="s">
        <v>24</v>
      </c>
      <c r="H2" s="158"/>
      <c r="I2" s="158"/>
      <c r="J2" s="42"/>
      <c r="K2" s="42"/>
      <c r="L2" s="41"/>
    </row>
    <row r="3" spans="1:13" ht="14.25" x14ac:dyDescent="0.2">
      <c r="A3" s="41" t="s">
        <v>84</v>
      </c>
      <c r="B3" s="43" t="s">
        <v>36</v>
      </c>
      <c r="C3" s="88" t="s">
        <v>1</v>
      </c>
      <c r="D3" s="88" t="s">
        <v>37</v>
      </c>
      <c r="E3" s="88" t="s">
        <v>32</v>
      </c>
      <c r="F3" s="88"/>
      <c r="G3" s="42" t="s">
        <v>35</v>
      </c>
      <c r="H3" s="42"/>
      <c r="I3" s="42"/>
      <c r="J3" s="88" t="s">
        <v>39</v>
      </c>
      <c r="K3" s="88" t="s">
        <v>32</v>
      </c>
      <c r="L3" s="88" t="s">
        <v>34</v>
      </c>
    </row>
    <row r="4" spans="1:13" ht="14.25" x14ac:dyDescent="0.2">
      <c r="A4" s="46" t="s">
        <v>85</v>
      </c>
      <c r="B4" s="48" t="s">
        <v>33</v>
      </c>
      <c r="C4" s="49"/>
      <c r="D4" s="49"/>
      <c r="E4" s="49"/>
      <c r="F4" s="49"/>
      <c r="G4" s="48" t="s">
        <v>3</v>
      </c>
      <c r="H4" s="48" t="s">
        <v>98</v>
      </c>
      <c r="I4" s="48" t="s">
        <v>120</v>
      </c>
      <c r="J4" s="49"/>
      <c r="K4" s="49"/>
      <c r="L4" s="88" t="s">
        <v>97</v>
      </c>
    </row>
    <row r="5" spans="1:13" ht="14.25" x14ac:dyDescent="0.2">
      <c r="A5" s="41"/>
      <c r="B5" s="156" t="s">
        <v>111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3" ht="14.2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3" ht="16.5" x14ac:dyDescent="0.2">
      <c r="A7" s="41" t="s">
        <v>126</v>
      </c>
      <c r="B7" s="82">
        <v>1686.8130000000001</v>
      </c>
      <c r="C7" s="82">
        <v>22123.409</v>
      </c>
      <c r="D7" s="82">
        <v>318.70876757353199</v>
      </c>
      <c r="E7" s="82">
        <f>+B7+C7+D7</f>
        <v>24128.930767573533</v>
      </c>
      <c r="F7" s="82"/>
      <c r="G7" s="82">
        <f>+K7-J7</f>
        <v>19862.314534937181</v>
      </c>
      <c r="H7" s="82">
        <v>6200.2999999999993</v>
      </c>
      <c r="I7" s="82">
        <f>G7-H7</f>
        <v>13662.014534937181</v>
      </c>
      <c r="J7" s="82">
        <v>2555.6622326363517</v>
      </c>
      <c r="K7" s="82">
        <f>+E7-L7</f>
        <v>22417.976767573531</v>
      </c>
      <c r="L7" s="82">
        <v>1710.954</v>
      </c>
      <c r="M7" s="17"/>
    </row>
    <row r="8" spans="1:13" ht="16.5" x14ac:dyDescent="0.2">
      <c r="A8" s="41" t="s">
        <v>145</v>
      </c>
      <c r="B8" s="82">
        <f>+L7</f>
        <v>1710.954</v>
      </c>
      <c r="C8" s="82">
        <f>C24</f>
        <v>23767.204000000002</v>
      </c>
      <c r="D8" s="82">
        <f>D24</f>
        <v>335.42550569064605</v>
      </c>
      <c r="E8" s="82">
        <f>+B8+C8+D8</f>
        <v>25813.583505690651</v>
      </c>
      <c r="F8" s="82"/>
      <c r="G8" s="82">
        <f>+K8-J8</f>
        <v>21376.433166286213</v>
      </c>
      <c r="H8" s="82">
        <f>H24</f>
        <v>7133.6900000000005</v>
      </c>
      <c r="I8" s="82">
        <f>G8-H8</f>
        <v>14242.743166286213</v>
      </c>
      <c r="J8" s="82">
        <f>J24</f>
        <v>2447.109339404436</v>
      </c>
      <c r="K8" s="82">
        <f>+E8-L8</f>
        <v>23823.54250569065</v>
      </c>
      <c r="L8" s="82">
        <f>L23</f>
        <v>1990.0409999999999</v>
      </c>
      <c r="M8" s="17"/>
    </row>
    <row r="9" spans="1:13" ht="16.5" x14ac:dyDescent="0.2">
      <c r="A9" s="41" t="s">
        <v>168</v>
      </c>
      <c r="B9" s="82">
        <f>+L8</f>
        <v>1990.0409999999999</v>
      </c>
      <c r="C9" s="82">
        <v>24025</v>
      </c>
      <c r="D9" s="82">
        <v>300</v>
      </c>
      <c r="E9" s="82">
        <f>+B9+C9+D9</f>
        <v>26315.041000000001</v>
      </c>
      <c r="F9" s="82"/>
      <c r="G9" s="82">
        <f>+K9-J9</f>
        <v>22200.041000000001</v>
      </c>
      <c r="H9" s="82">
        <v>7800</v>
      </c>
      <c r="I9" s="82">
        <f>G9-H9</f>
        <v>14400.041000000001</v>
      </c>
      <c r="J9" s="82">
        <v>2200</v>
      </c>
      <c r="K9" s="82">
        <f>+E9-L9</f>
        <v>24400.041000000001</v>
      </c>
      <c r="L9" s="82">
        <v>1915</v>
      </c>
      <c r="M9" s="17"/>
    </row>
    <row r="10" spans="1:13" ht="14.25" x14ac:dyDescent="0.2">
      <c r="A10" s="4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7"/>
    </row>
    <row r="11" spans="1:13" ht="14.25" x14ac:dyDescent="0.2">
      <c r="A11" s="41" t="s">
        <v>121</v>
      </c>
      <c r="B11" s="82"/>
      <c r="C11" s="62"/>
      <c r="D11" s="62"/>
      <c r="E11" s="62"/>
      <c r="F11" s="83"/>
      <c r="G11" s="62"/>
      <c r="H11" s="62"/>
      <c r="I11" s="62"/>
      <c r="J11" s="62"/>
      <c r="K11" s="62"/>
      <c r="L11" s="83"/>
    </row>
    <row r="12" spans="1:13" ht="14.25" x14ac:dyDescent="0.2">
      <c r="A12" s="44" t="s">
        <v>58</v>
      </c>
      <c r="B12" s="83">
        <f>1400.918+310.036</f>
        <v>1710.954</v>
      </c>
      <c r="C12" s="89">
        <v>2016.8879999999999</v>
      </c>
      <c r="D12" s="83">
        <f>(0.663115+0+13.936652+0)*2.204622</f>
        <v>32.186967523074003</v>
      </c>
      <c r="E12" s="83">
        <f t="shared" ref="E12:E18" si="0">SUM(B12:D12)</f>
        <v>3760.0289675230738</v>
      </c>
      <c r="F12" s="83"/>
      <c r="G12" s="83">
        <f t="shared" ref="G12:G18" si="1">K12-J12</f>
        <v>1921.1646905235377</v>
      </c>
      <c r="H12" s="83">
        <v>577.42999999999995</v>
      </c>
      <c r="I12" s="83">
        <f t="shared" ref="I12:I22" si="2">G12-H12</f>
        <v>1343.7346905235377</v>
      </c>
      <c r="J12" s="83">
        <f>(80.225792+0.085525+15.875468+0.265703)*2.204622</f>
        <v>212.64127699953602</v>
      </c>
      <c r="K12" s="83">
        <f t="shared" ref="K12:K18" si="3">E12-L12</f>
        <v>2133.8059675230738</v>
      </c>
      <c r="L12" s="83">
        <f>1300.36+325.863</f>
        <v>1626.223</v>
      </c>
    </row>
    <row r="13" spans="1:13" ht="14.25" x14ac:dyDescent="0.2">
      <c r="A13" s="44" t="s">
        <v>59</v>
      </c>
      <c r="B13" s="83">
        <f t="shared" ref="B13:B18" si="4">L12</f>
        <v>1626.223</v>
      </c>
      <c r="C13" s="62">
        <v>1977.0050000000001</v>
      </c>
      <c r="D13" s="83">
        <f>(0.66927+0+9.3206+0.0008)*2.204622</f>
        <v>22.025650876739999</v>
      </c>
      <c r="E13" s="83">
        <f t="shared" si="0"/>
        <v>3625.2536508767403</v>
      </c>
      <c r="F13" s="83"/>
      <c r="G13" s="83">
        <f t="shared" si="1"/>
        <v>1802.5259723672164</v>
      </c>
      <c r="H13" s="83">
        <v>590.79999999999995</v>
      </c>
      <c r="I13" s="83">
        <f t="shared" si="2"/>
        <v>1211.7259723672164</v>
      </c>
      <c r="J13" s="83">
        <f>(41.937459+0.208519+17.592609+0.202155)*2.204622</f>
        <v>132.14667850952398</v>
      </c>
      <c r="K13" s="83">
        <f t="shared" si="3"/>
        <v>1934.6726508767404</v>
      </c>
      <c r="L13" s="83">
        <f>1379.223+311.358</f>
        <v>1690.5809999999999</v>
      </c>
    </row>
    <row r="14" spans="1:13" ht="14.25" x14ac:dyDescent="0.2">
      <c r="A14" s="44" t="s">
        <v>60</v>
      </c>
      <c r="B14" s="83">
        <f t="shared" si="4"/>
        <v>1690.5809999999999</v>
      </c>
      <c r="C14" s="62">
        <v>2015.2560000000001</v>
      </c>
      <c r="D14" s="83">
        <f>(0.611691+0+13.538281+0.0008)*2.204622</f>
        <v>31.197103268184001</v>
      </c>
      <c r="E14" s="83">
        <f t="shared" si="0"/>
        <v>3737.034103268184</v>
      </c>
      <c r="F14" s="83"/>
      <c r="G14" s="83">
        <f t="shared" si="1"/>
        <v>1613.4431539013021</v>
      </c>
      <c r="H14" s="83">
        <v>593.99</v>
      </c>
      <c r="I14" s="83">
        <f t="shared" si="2"/>
        <v>1019.4531539013021</v>
      </c>
      <c r="J14" s="83">
        <f>(60.89152+0.230156+17.166633+0.145522)*2.204622</f>
        <v>172.91694936688199</v>
      </c>
      <c r="K14" s="83">
        <f t="shared" si="3"/>
        <v>1786.360103268184</v>
      </c>
      <c r="L14" s="83">
        <f>1583.544+367.13</f>
        <v>1950.674</v>
      </c>
    </row>
    <row r="15" spans="1:13" ht="14.25" x14ac:dyDescent="0.2">
      <c r="A15" s="44" t="s">
        <v>61</v>
      </c>
      <c r="B15" s="83">
        <f t="shared" si="4"/>
        <v>1950.674</v>
      </c>
      <c r="C15" s="62">
        <v>1995.5889999999999</v>
      </c>
      <c r="D15" s="83">
        <f>(0.671011+0.001728+9.360229+0)*2.204622</f>
        <v>22.118901978096002</v>
      </c>
      <c r="E15" s="83">
        <f t="shared" si="0"/>
        <v>3968.3819019780958</v>
      </c>
      <c r="F15" s="83"/>
      <c r="G15" s="83">
        <f t="shared" si="1"/>
        <v>1547.9299381743697</v>
      </c>
      <c r="H15" s="83">
        <v>462.12</v>
      </c>
      <c r="I15" s="83">
        <f t="shared" si="2"/>
        <v>1085.8099381743696</v>
      </c>
      <c r="J15" s="83">
        <f>(67.939406+0.153133+13.644+0.213094)*2.204622</f>
        <v>180.66796380372602</v>
      </c>
      <c r="K15" s="83">
        <f t="shared" si="3"/>
        <v>1728.5979019780957</v>
      </c>
      <c r="L15" s="83">
        <f>1886.728+353.056</f>
        <v>2239.7840000000001</v>
      </c>
    </row>
    <row r="16" spans="1:13" ht="14.25" x14ac:dyDescent="0.2">
      <c r="A16" s="44" t="s">
        <v>62</v>
      </c>
      <c r="B16" s="83">
        <f t="shared" si="4"/>
        <v>2239.7840000000001</v>
      </c>
      <c r="C16" s="62">
        <v>1889.8409999999999</v>
      </c>
      <c r="D16" s="83">
        <f>(10.974745+0+7.681166+0.0008)*2.204622</f>
        <v>41.130995518242003</v>
      </c>
      <c r="E16" s="83">
        <f t="shared" si="0"/>
        <v>4170.7559955182423</v>
      </c>
      <c r="F16" s="83"/>
      <c r="G16" s="83">
        <f t="shared" si="1"/>
        <v>1564.2792080768288</v>
      </c>
      <c r="H16" s="83">
        <v>495.59</v>
      </c>
      <c r="I16" s="83">
        <f t="shared" si="2"/>
        <v>1068.6892080768289</v>
      </c>
      <c r="J16" s="83">
        <f>(68.827952+0.142344+12.955662+0.217279)*2.204622</f>
        <v>181.09478744141401</v>
      </c>
      <c r="K16" s="83">
        <f t="shared" si="3"/>
        <v>1745.3739955182427</v>
      </c>
      <c r="L16" s="83">
        <f>2049.644+375.738</f>
        <v>2425.3819999999996</v>
      </c>
    </row>
    <row r="17" spans="1:12" ht="14.25" x14ac:dyDescent="0.2">
      <c r="A17" s="44" t="s">
        <v>63</v>
      </c>
      <c r="B17" s="83">
        <f t="shared" si="4"/>
        <v>2425.3819999999996</v>
      </c>
      <c r="C17" s="62">
        <v>2079.123</v>
      </c>
      <c r="D17" s="83">
        <f>(1.613442+0+7.947498+0.0008)*2.204622</f>
        <v>21.080022362280001</v>
      </c>
      <c r="E17" s="83">
        <f t="shared" si="0"/>
        <v>4525.5850223622792</v>
      </c>
      <c r="F17" s="83"/>
      <c r="G17" s="83">
        <f t="shared" si="1"/>
        <v>1879.5722664204213</v>
      </c>
      <c r="H17" s="83">
        <v>624.15</v>
      </c>
      <c r="I17" s="83">
        <f t="shared" si="2"/>
        <v>1255.4222664204212</v>
      </c>
      <c r="J17" s="83">
        <f>(62.563038+0.255788+28.340078+0.253935)*2.204622</f>
        <v>201.53075594185802</v>
      </c>
      <c r="K17" s="83">
        <f t="shared" si="3"/>
        <v>2081.1030223622793</v>
      </c>
      <c r="L17" s="83">
        <f>2080.138+364.344</f>
        <v>2444.482</v>
      </c>
    </row>
    <row r="18" spans="1:12" ht="14.25" x14ac:dyDescent="0.2">
      <c r="A18" s="44" t="s">
        <v>64</v>
      </c>
      <c r="B18" s="83">
        <f t="shared" si="4"/>
        <v>2444.482</v>
      </c>
      <c r="C18" s="62">
        <v>1964.922</v>
      </c>
      <c r="D18" s="83">
        <f>(0.567115+0.103249+12.3464+0)*2.204622</f>
        <v>28.697044283207997</v>
      </c>
      <c r="E18" s="83">
        <f t="shared" si="0"/>
        <v>4438.1010442832085</v>
      </c>
      <c r="F18" s="83"/>
      <c r="G18" s="83">
        <f t="shared" si="1"/>
        <v>1537.0046059233325</v>
      </c>
      <c r="H18" s="83">
        <v>519.55999999999995</v>
      </c>
      <c r="I18" s="83">
        <f t="shared" si="2"/>
        <v>1017.4446059233326</v>
      </c>
      <c r="J18" s="83">
        <f>(74.547873+0.133339+21.342471+0.283275)*2.204622</f>
        <v>212.32043835987602</v>
      </c>
      <c r="K18" s="83">
        <f t="shared" si="3"/>
        <v>1749.3250442832086</v>
      </c>
      <c r="L18" s="83">
        <f>2316.192+372.584</f>
        <v>2688.7759999999998</v>
      </c>
    </row>
    <row r="19" spans="1:12" ht="14.25" x14ac:dyDescent="0.2">
      <c r="A19" s="44" t="s">
        <v>65</v>
      </c>
      <c r="B19" s="83">
        <f>L18</f>
        <v>2688.7759999999998</v>
      </c>
      <c r="C19" s="62">
        <v>1966.511</v>
      </c>
      <c r="D19" s="83">
        <f>(0.754842+0+14.709869+0.00128)*2.204622</f>
        <v>34.096664010402002</v>
      </c>
      <c r="E19" s="83">
        <f>SUM(B19:D19)</f>
        <v>4689.3836640104018</v>
      </c>
      <c r="F19" s="83"/>
      <c r="G19" s="83">
        <f>K19-J19</f>
        <v>1883.9005750484957</v>
      </c>
      <c r="H19" s="83">
        <v>581.33000000000004</v>
      </c>
      <c r="I19" s="83">
        <f t="shared" si="2"/>
        <v>1302.5705750484958</v>
      </c>
      <c r="J19" s="83">
        <f>(171.049084+0.572188+23.792737+0.275814)*2.204622</f>
        <v>431.42208896190601</v>
      </c>
      <c r="K19" s="83">
        <f>E19-L19</f>
        <v>2315.3226640104017</v>
      </c>
      <c r="L19" s="83">
        <f>2002.934+371.127</f>
        <v>2374.0610000000001</v>
      </c>
    </row>
    <row r="20" spans="1:12" ht="14.25" x14ac:dyDescent="0.2">
      <c r="A20" s="44" t="s">
        <v>66</v>
      </c>
      <c r="B20" s="83">
        <f>L19</f>
        <v>2374.0610000000001</v>
      </c>
      <c r="C20" s="62">
        <v>1936.9069999999999</v>
      </c>
      <c r="D20" s="83">
        <f>(2.305083+0+12.102798+0.0008)*2.204622</f>
        <v>31.765695123581999</v>
      </c>
      <c r="E20" s="83">
        <f>SUM(B20:D20)</f>
        <v>4342.733695123582</v>
      </c>
      <c r="F20" s="83"/>
      <c r="G20" s="83">
        <f>K20-J20</f>
        <v>1809.597328870434</v>
      </c>
      <c r="H20" s="83">
        <v>623.61</v>
      </c>
      <c r="I20" s="83">
        <f t="shared" si="2"/>
        <v>1185.9873288704339</v>
      </c>
      <c r="J20" s="83">
        <f>(86.703348+0.094936+16.432424+0.337326)*2.204622</f>
        <v>228.32836625314803</v>
      </c>
      <c r="K20" s="83">
        <f>E20-L20</f>
        <v>2037.925695123582</v>
      </c>
      <c r="L20" s="83">
        <f>1933.152+371.656</f>
        <v>2304.808</v>
      </c>
    </row>
    <row r="21" spans="1:12" ht="14.25" x14ac:dyDescent="0.2">
      <c r="A21" s="44" t="s">
        <v>68</v>
      </c>
      <c r="B21" s="83">
        <f>L20</f>
        <v>2304.808</v>
      </c>
      <c r="C21" s="62">
        <v>2043.3230000000001</v>
      </c>
      <c r="D21" s="83">
        <f>(2.90045+0+11.937917+0.0018)*2.204622</f>
        <v>32.716958651874002</v>
      </c>
      <c r="E21" s="83">
        <f>SUM(B21:D21)</f>
        <v>4380.8479586518743</v>
      </c>
      <c r="F21" s="83"/>
      <c r="G21" s="83">
        <f>K21-J21</f>
        <v>1822.4687116086945</v>
      </c>
      <c r="H21" s="83">
        <v>671.27</v>
      </c>
      <c r="I21" s="83">
        <f t="shared" si="2"/>
        <v>1151.1987116086946</v>
      </c>
      <c r="J21" s="83">
        <f>(61.380449+0.164409+17.366248+0.346584)*2.204622</f>
        <v>174.73324704318</v>
      </c>
      <c r="K21" s="83">
        <f>E21-L21</f>
        <v>1997.2019586518745</v>
      </c>
      <c r="L21" s="83">
        <f>1983.666+399.98</f>
        <v>2383.6459999999997</v>
      </c>
    </row>
    <row r="22" spans="1:12" ht="14.25" x14ac:dyDescent="0.2">
      <c r="A22" s="44" t="s">
        <v>69</v>
      </c>
      <c r="B22" s="83">
        <f>L21</f>
        <v>2383.6459999999997</v>
      </c>
      <c r="C22" s="62">
        <v>1944.9659999999999</v>
      </c>
      <c r="D22" s="83">
        <f>(1.713977+0+9.048481+0.0008)*2.204622</f>
        <v>23.728915378476003</v>
      </c>
      <c r="E22" s="83">
        <f>SUM(B22:D22)</f>
        <v>4352.3409153784751</v>
      </c>
      <c r="F22" s="83"/>
      <c r="G22" s="83">
        <f>K22-J22</f>
        <v>1939.9040015978251</v>
      </c>
      <c r="H22" s="83">
        <v>705.13</v>
      </c>
      <c r="I22" s="83">
        <f t="shared" si="2"/>
        <v>1234.7740015978252</v>
      </c>
      <c r="J22" s="83">
        <f>(73.253711+0.073925+16.111003+0.208436)*2.204622</f>
        <v>197.63791378065</v>
      </c>
      <c r="K22" s="83">
        <f>E22-L22</f>
        <v>2137.5419153784751</v>
      </c>
      <c r="L22" s="83">
        <f>1843.912+370.887</f>
        <v>2214.799</v>
      </c>
    </row>
    <row r="23" spans="1:12" ht="14.25" x14ac:dyDescent="0.2">
      <c r="A23" s="44" t="s">
        <v>71</v>
      </c>
      <c r="B23" s="83">
        <f>L22</f>
        <v>2214.799</v>
      </c>
      <c r="C23" s="62">
        <v>1936.873</v>
      </c>
      <c r="D23" s="83">
        <f>(2.178466+0.0007+4.471838+0.008)*2.204622</f>
        <v>14.680586716488001</v>
      </c>
      <c r="E23" s="83">
        <f>SUM(B23:D23)</f>
        <v>4166.3525867164881</v>
      </c>
      <c r="F23" s="83"/>
      <c r="G23" s="83">
        <f>K23-J23</f>
        <v>2054.6427137737519</v>
      </c>
      <c r="H23" s="83">
        <v>688.71</v>
      </c>
      <c r="I23" s="83">
        <f t="shared" ref="I23" si="5">G23-H23</f>
        <v>1365.9327137737519</v>
      </c>
      <c r="J23" s="83">
        <f>(41.653346+0.082871+13.184233+0.267638)*2.204622</f>
        <v>121.66887294273599</v>
      </c>
      <c r="K23" s="83">
        <f>E23-L23</f>
        <v>2176.3115867164879</v>
      </c>
      <c r="L23" s="83">
        <f>1642.954+347.087</f>
        <v>1990.0409999999999</v>
      </c>
    </row>
    <row r="24" spans="1:12" ht="14.25" x14ac:dyDescent="0.2">
      <c r="A24" s="44" t="s">
        <v>3</v>
      </c>
      <c r="B24" s="83"/>
      <c r="C24" s="62">
        <f>SUM(C12:C23)</f>
        <v>23767.204000000002</v>
      </c>
      <c r="D24" s="83">
        <f>SUM(D12:D23)</f>
        <v>335.42550569064605</v>
      </c>
      <c r="E24" s="83">
        <f>B12+C24+D24</f>
        <v>25813.583505690651</v>
      </c>
      <c r="F24" s="83"/>
      <c r="G24" s="83">
        <f>SUM(G12:G23)</f>
        <v>21376.43316628621</v>
      </c>
      <c r="H24" s="83">
        <f>SUM(H12:H23)</f>
        <v>7133.6900000000005</v>
      </c>
      <c r="I24" s="83">
        <f>SUM(I12:I23)</f>
        <v>14242.743166286211</v>
      </c>
      <c r="J24" s="83">
        <f>SUM(J12:J23)</f>
        <v>2447.109339404436</v>
      </c>
      <c r="K24" s="83">
        <f>SUM(K12:K23)</f>
        <v>23823.542505690646</v>
      </c>
      <c r="L24" s="83"/>
    </row>
    <row r="25" spans="1:12" ht="14.25" x14ac:dyDescent="0.2">
      <c r="A25" s="44"/>
      <c r="B25" s="83"/>
      <c r="C25" s="62"/>
      <c r="D25" s="62"/>
      <c r="E25" s="62"/>
      <c r="F25" s="83"/>
      <c r="G25" s="62"/>
      <c r="H25" s="62"/>
      <c r="I25" s="62"/>
      <c r="J25" s="62"/>
      <c r="K25" s="62"/>
      <c r="L25" s="83"/>
    </row>
    <row r="26" spans="1:12" ht="14.25" x14ac:dyDescent="0.2">
      <c r="A26" s="41" t="s">
        <v>173</v>
      </c>
      <c r="B26" s="82"/>
      <c r="C26" s="62"/>
      <c r="D26" s="62"/>
      <c r="E26" s="62"/>
      <c r="F26" s="83"/>
      <c r="G26" s="62"/>
      <c r="H26" s="62"/>
      <c r="I26" s="62"/>
      <c r="J26" s="62"/>
      <c r="K26" s="62"/>
      <c r="L26" s="83"/>
    </row>
    <row r="27" spans="1:12" ht="14.25" x14ac:dyDescent="0.2">
      <c r="A27" s="40" t="s">
        <v>58</v>
      </c>
      <c r="B27" s="90">
        <f>1400.918+310.036</f>
        <v>1710.954</v>
      </c>
      <c r="C27" s="71">
        <v>2127.91</v>
      </c>
      <c r="D27" s="71">
        <f>(1.737942+0+14.319564+0)*2.204622</f>
        <v>35.400730992732001</v>
      </c>
      <c r="E27" s="71">
        <f t="shared" ref="E27" si="6">SUM(B27:D27)</f>
        <v>3874.2647309927315</v>
      </c>
      <c r="F27" s="90"/>
      <c r="G27" s="71">
        <f t="shared" ref="G27" si="7">K27-J27</f>
        <v>1686.7243887570676</v>
      </c>
      <c r="H27" s="71" t="s">
        <v>10</v>
      </c>
      <c r="I27" s="71" t="s">
        <v>10</v>
      </c>
      <c r="J27" s="71">
        <f>(55.756858+0.092113+10.188836+0.231305)*2.204622</f>
        <v>146.09834223566403</v>
      </c>
      <c r="K27" s="71">
        <f t="shared" ref="K27" si="8">E27-L27</f>
        <v>1832.8227309927315</v>
      </c>
      <c r="L27" s="90">
        <f>1694.722+346.72</f>
        <v>2041.442</v>
      </c>
    </row>
    <row r="28" spans="1:12" ht="16.5" x14ac:dyDescent="0.2">
      <c r="A28" s="87" t="s">
        <v>132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x14ac:dyDescent="0.2">
      <c r="A29" s="41" t="s">
        <v>131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 x14ac:dyDescent="0.2">
      <c r="A30" s="41" t="s">
        <v>26</v>
      </c>
      <c r="B30" s="79">
        <f ca="1">NOW()</f>
        <v>43447.492243749999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</row>
    <row r="2" spans="1:15" ht="14.25" x14ac:dyDescent="0.2">
      <c r="A2" s="41"/>
      <c r="B2" s="158" t="s">
        <v>0</v>
      </c>
      <c r="C2" s="158"/>
      <c r="D2" s="158"/>
      <c r="E2" s="158"/>
      <c r="F2" s="91"/>
      <c r="G2" s="158" t="s">
        <v>24</v>
      </c>
      <c r="H2" s="158"/>
      <c r="I2" s="158"/>
      <c r="J2" s="158"/>
      <c r="K2" s="91"/>
      <c r="L2" s="41"/>
      <c r="M2" s="41"/>
      <c r="N2" s="41"/>
      <c r="O2" s="41"/>
    </row>
    <row r="3" spans="1:15" ht="14.25" x14ac:dyDescent="0.2">
      <c r="A3" s="41" t="s">
        <v>84</v>
      </c>
      <c r="B3" s="45" t="s">
        <v>36</v>
      </c>
      <c r="C3" s="45"/>
      <c r="D3" s="45"/>
      <c r="E3" s="45"/>
      <c r="F3" s="92"/>
      <c r="G3" s="45"/>
      <c r="H3" s="45"/>
      <c r="I3" s="45"/>
      <c r="J3" s="45"/>
      <c r="K3" s="43" t="s">
        <v>34</v>
      </c>
      <c r="L3" s="41"/>
      <c r="M3" s="41"/>
      <c r="N3" s="41"/>
      <c r="O3" s="41"/>
    </row>
    <row r="4" spans="1:15" ht="14.25" x14ac:dyDescent="0.2">
      <c r="A4" s="46" t="s">
        <v>86</v>
      </c>
      <c r="B4" s="48" t="s">
        <v>54</v>
      </c>
      <c r="C4" s="93" t="s">
        <v>1</v>
      </c>
      <c r="D4" s="50" t="s">
        <v>37</v>
      </c>
      <c r="E4" s="48" t="s">
        <v>96</v>
      </c>
      <c r="F4" s="49"/>
      <c r="G4" s="48" t="s">
        <v>40</v>
      </c>
      <c r="H4" s="48" t="s">
        <v>4</v>
      </c>
      <c r="I4" s="48" t="s">
        <v>41</v>
      </c>
      <c r="J4" s="48" t="s">
        <v>38</v>
      </c>
      <c r="K4" s="48" t="s">
        <v>33</v>
      </c>
      <c r="L4" s="41"/>
      <c r="M4" s="41"/>
      <c r="N4" s="41"/>
      <c r="O4" s="41"/>
    </row>
    <row r="5" spans="1:15" ht="14.25" x14ac:dyDescent="0.2">
      <c r="A5" s="41"/>
      <c r="B5" s="157" t="s">
        <v>18</v>
      </c>
      <c r="C5" s="157"/>
      <c r="D5" s="157"/>
      <c r="E5" s="157"/>
      <c r="F5" s="157"/>
      <c r="G5" s="157"/>
      <c r="H5" s="157"/>
      <c r="I5" s="157"/>
      <c r="J5" s="157"/>
      <c r="K5" s="157"/>
      <c r="L5" s="41"/>
      <c r="M5" s="41"/>
      <c r="N5" s="41"/>
      <c r="O5" s="41"/>
    </row>
    <row r="6" spans="1:15" ht="14.25" x14ac:dyDescent="0.2">
      <c r="A6" s="41"/>
      <c r="B6" s="41"/>
      <c r="C6" s="41"/>
      <c r="D6" s="41"/>
      <c r="E6" s="41"/>
      <c r="F6" s="41"/>
      <c r="G6" s="88"/>
      <c r="H6" s="94"/>
      <c r="I6" s="88"/>
      <c r="J6" s="88"/>
      <c r="K6" s="41"/>
      <c r="L6" s="41"/>
      <c r="M6" s="41"/>
      <c r="N6" s="41"/>
      <c r="O6" s="41"/>
    </row>
    <row r="7" spans="1:15" ht="16.5" x14ac:dyDescent="0.2">
      <c r="A7" s="41" t="s">
        <v>126</v>
      </c>
      <c r="B7" s="95">
        <v>391</v>
      </c>
      <c r="C7" s="95">
        <v>5369</v>
      </c>
      <c r="D7" s="96">
        <v>51.079000000000001</v>
      </c>
      <c r="E7" s="95">
        <f>+B7+C7+D7</f>
        <v>5811.0789999999997</v>
      </c>
      <c r="F7" s="56"/>
      <c r="G7" s="95">
        <v>1769.4399999999998</v>
      </c>
      <c r="H7" s="97">
        <v>341.65499999999997</v>
      </c>
      <c r="I7" s="95">
        <f>J7-G7-H7</f>
        <v>3299.9840000000004</v>
      </c>
      <c r="J7" s="95">
        <f>E7-K7</f>
        <v>5411.0789999999997</v>
      </c>
      <c r="K7" s="95">
        <v>400</v>
      </c>
      <c r="L7" s="41"/>
      <c r="M7" s="41"/>
      <c r="N7" s="41"/>
      <c r="O7" s="41"/>
    </row>
    <row r="8" spans="1:15" ht="16.5" x14ac:dyDescent="0.2">
      <c r="A8" s="41" t="s">
        <v>127</v>
      </c>
      <c r="B8" s="95">
        <f>+K7</f>
        <v>400</v>
      </c>
      <c r="C8" s="95">
        <v>6422</v>
      </c>
      <c r="D8" s="96">
        <v>0</v>
      </c>
      <c r="E8" s="95">
        <f>+B8+C8+D8</f>
        <v>6822</v>
      </c>
      <c r="F8" s="56"/>
      <c r="G8" s="95">
        <v>1853.576</v>
      </c>
      <c r="H8" s="97">
        <v>478.38499999999999</v>
      </c>
      <c r="I8" s="95">
        <f>J8-G8-H8</f>
        <v>4040.0389999999998</v>
      </c>
      <c r="J8" s="95">
        <f>E8-K8</f>
        <v>6372</v>
      </c>
      <c r="K8" s="95">
        <v>450</v>
      </c>
      <c r="L8" s="41"/>
      <c r="M8" s="41"/>
      <c r="N8" s="41"/>
      <c r="O8" s="41"/>
    </row>
    <row r="9" spans="1:15" ht="16.5" x14ac:dyDescent="0.2">
      <c r="A9" s="40" t="s">
        <v>168</v>
      </c>
      <c r="B9" s="98">
        <f>+K8</f>
        <v>450</v>
      </c>
      <c r="C9" s="98">
        <v>5858</v>
      </c>
      <c r="D9" s="99">
        <v>0</v>
      </c>
      <c r="E9" s="98">
        <f>+B9+C9+D9</f>
        <v>6308</v>
      </c>
      <c r="F9" s="100"/>
      <c r="G9" s="98">
        <v>1800</v>
      </c>
      <c r="H9" s="101">
        <v>425</v>
      </c>
      <c r="I9" s="98">
        <f>J9-G9-H9</f>
        <v>3683</v>
      </c>
      <c r="J9" s="98">
        <f>E9-K9</f>
        <v>5908</v>
      </c>
      <c r="K9" s="98">
        <v>400</v>
      </c>
      <c r="L9" s="41"/>
      <c r="M9" s="41"/>
      <c r="N9" s="41"/>
      <c r="O9" s="41"/>
    </row>
    <row r="10" spans="1:15" ht="16.5" x14ac:dyDescent="0.2">
      <c r="A10" s="87" t="s">
        <v>133</v>
      </c>
      <c r="B10" s="41"/>
      <c r="C10" s="56"/>
      <c r="D10" s="56"/>
      <c r="E10" s="56"/>
      <c r="F10" s="56"/>
      <c r="G10" s="56"/>
      <c r="H10" s="56"/>
      <c r="I10" s="56"/>
      <c r="J10" s="56"/>
      <c r="K10" s="41"/>
      <c r="L10" s="41"/>
      <c r="M10" s="41"/>
      <c r="N10" s="41"/>
      <c r="O10" s="41"/>
    </row>
    <row r="11" spans="1:15" ht="14.25" x14ac:dyDescent="0.2">
      <c r="A11" s="41" t="s">
        <v>134</v>
      </c>
      <c r="B11" s="57"/>
      <c r="C11" s="61"/>
      <c r="D11" s="41"/>
      <c r="E11" s="57"/>
      <c r="F11" s="57"/>
      <c r="G11" s="57"/>
      <c r="H11" s="57"/>
      <c r="I11" s="57"/>
      <c r="J11" s="57"/>
      <c r="K11" s="41"/>
      <c r="L11" s="41"/>
      <c r="M11" s="41"/>
      <c r="N11" s="41"/>
      <c r="O11" s="41"/>
    </row>
    <row r="12" spans="1:15" ht="14.25" x14ac:dyDescent="0.2">
      <c r="A12" s="41" t="s">
        <v>135</v>
      </c>
      <c r="B12" s="57"/>
      <c r="C12" s="61"/>
      <c r="D12" s="41"/>
      <c r="E12" s="57"/>
      <c r="F12" s="57"/>
      <c r="G12" s="57"/>
      <c r="H12" s="57"/>
      <c r="I12" s="57"/>
      <c r="J12" s="57"/>
      <c r="K12" s="41"/>
      <c r="L12" s="41"/>
      <c r="M12" s="41"/>
      <c r="N12" s="41"/>
      <c r="O12" s="41"/>
    </row>
    <row r="13" spans="1:15" ht="14.25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4.25" x14ac:dyDescent="0.2">
      <c r="A14" s="40" t="s">
        <v>12</v>
      </c>
      <c r="B14" s="40"/>
      <c r="C14" s="40"/>
      <c r="D14" s="40"/>
      <c r="E14" s="40"/>
      <c r="F14" s="40"/>
      <c r="G14" s="40"/>
      <c r="H14" s="40"/>
      <c r="I14" s="41"/>
      <c r="J14" s="40"/>
      <c r="K14" s="41"/>
      <c r="L14" s="41"/>
      <c r="M14" s="41"/>
      <c r="N14" s="41"/>
      <c r="O14" s="41"/>
    </row>
    <row r="15" spans="1:15" ht="14.25" x14ac:dyDescent="0.2">
      <c r="A15" s="41"/>
      <c r="B15" s="158" t="s">
        <v>0</v>
      </c>
      <c r="C15" s="158"/>
      <c r="D15" s="158"/>
      <c r="E15" s="158"/>
      <c r="F15" s="41"/>
      <c r="G15" s="158" t="s">
        <v>24</v>
      </c>
      <c r="H15" s="158"/>
      <c r="I15" s="158"/>
      <c r="J15" s="41"/>
      <c r="K15" s="41"/>
      <c r="L15" s="41"/>
      <c r="M15" s="41"/>
      <c r="N15" s="41"/>
      <c r="O15" s="41"/>
    </row>
    <row r="16" spans="1:15" ht="14.25" x14ac:dyDescent="0.2">
      <c r="A16" s="41" t="s">
        <v>84</v>
      </c>
      <c r="B16" s="43" t="s">
        <v>36</v>
      </c>
      <c r="C16" s="45"/>
      <c r="D16" s="45"/>
      <c r="E16" s="45"/>
      <c r="F16" s="45"/>
      <c r="G16" s="45"/>
      <c r="H16" s="45"/>
      <c r="I16" s="45"/>
      <c r="J16" s="43" t="s">
        <v>34</v>
      </c>
      <c r="K16" s="41"/>
      <c r="L16" s="41"/>
      <c r="M16" s="41"/>
      <c r="N16" s="41"/>
      <c r="O16" s="41"/>
    </row>
    <row r="17" spans="1:15" ht="14.25" x14ac:dyDescent="0.2">
      <c r="A17" s="46" t="s">
        <v>85</v>
      </c>
      <c r="B17" s="48" t="s">
        <v>33</v>
      </c>
      <c r="C17" s="93" t="s">
        <v>1</v>
      </c>
      <c r="D17" s="50" t="s">
        <v>37</v>
      </c>
      <c r="E17" s="48" t="s">
        <v>38</v>
      </c>
      <c r="F17" s="49"/>
      <c r="G17" s="102" t="s">
        <v>9</v>
      </c>
      <c r="H17" s="48" t="s">
        <v>4</v>
      </c>
      <c r="I17" s="50" t="s">
        <v>32</v>
      </c>
      <c r="J17" s="48" t="s">
        <v>33</v>
      </c>
      <c r="K17" s="41"/>
      <c r="L17" s="41"/>
      <c r="M17" s="41"/>
      <c r="N17" s="41"/>
      <c r="O17" s="41"/>
    </row>
    <row r="18" spans="1:15" ht="14.25" x14ac:dyDescent="0.2">
      <c r="A18" s="41"/>
      <c r="B18" s="157" t="s">
        <v>19</v>
      </c>
      <c r="C18" s="157"/>
      <c r="D18" s="157"/>
      <c r="E18" s="157"/>
      <c r="F18" s="157"/>
      <c r="G18" s="157"/>
      <c r="H18" s="157"/>
      <c r="I18" s="157"/>
      <c r="J18" s="157"/>
      <c r="K18" s="41"/>
      <c r="L18" s="41"/>
      <c r="M18" s="41"/>
      <c r="N18" s="41"/>
      <c r="O18" s="41"/>
    </row>
    <row r="19" spans="1:15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6.5" x14ac:dyDescent="0.2">
      <c r="A20" s="41" t="s">
        <v>126</v>
      </c>
      <c r="B20" s="95">
        <v>19.675999999999998</v>
      </c>
      <c r="C20" s="97">
        <v>805.29299999999989</v>
      </c>
      <c r="D20" s="96">
        <v>0</v>
      </c>
      <c r="E20" s="97">
        <f>+B20+D20+C20</f>
        <v>824.96899999999994</v>
      </c>
      <c r="F20" s="41"/>
      <c r="G20" s="97">
        <f>+I20-H20</f>
        <v>687.01285035747389</v>
      </c>
      <c r="H20" s="97">
        <v>110.22014964252601</v>
      </c>
      <c r="I20" s="97">
        <f>+E20-J20</f>
        <v>797.23299999999995</v>
      </c>
      <c r="J20" s="95">
        <v>27.736000000000001</v>
      </c>
      <c r="K20" s="41"/>
      <c r="L20" s="41"/>
      <c r="M20" s="41"/>
      <c r="N20" s="41"/>
      <c r="O20" s="41"/>
    </row>
    <row r="21" spans="1:15" ht="16.5" x14ac:dyDescent="0.2">
      <c r="A21" s="41" t="s">
        <v>127</v>
      </c>
      <c r="B21" s="95">
        <f>+J20</f>
        <v>27.736000000000001</v>
      </c>
      <c r="C21" s="97">
        <v>845</v>
      </c>
      <c r="D21" s="96">
        <v>0</v>
      </c>
      <c r="E21" s="97">
        <f>+B21+D21+C21</f>
        <v>872.73599999999999</v>
      </c>
      <c r="F21" s="41"/>
      <c r="G21" s="97">
        <f>+I21-H21</f>
        <v>713.27932965001094</v>
      </c>
      <c r="H21" s="97">
        <v>119.45667034998903</v>
      </c>
      <c r="I21" s="97">
        <f>+E21-J21</f>
        <v>832.73599999999999</v>
      </c>
      <c r="J21" s="95">
        <v>40</v>
      </c>
      <c r="K21" s="41"/>
      <c r="L21" s="41"/>
      <c r="M21" s="41"/>
      <c r="N21" s="41"/>
      <c r="O21" s="41"/>
    </row>
    <row r="22" spans="1:15" ht="16.5" x14ac:dyDescent="0.2">
      <c r="A22" s="40" t="s">
        <v>168</v>
      </c>
      <c r="B22" s="98">
        <f>+J21</f>
        <v>40</v>
      </c>
      <c r="C22" s="101">
        <v>810</v>
      </c>
      <c r="D22" s="99">
        <v>0</v>
      </c>
      <c r="E22" s="101">
        <f>+B22+D22+C22</f>
        <v>850</v>
      </c>
      <c r="F22" s="100"/>
      <c r="G22" s="101">
        <f>+I22-H22</f>
        <v>700</v>
      </c>
      <c r="H22" s="101">
        <v>110</v>
      </c>
      <c r="I22" s="101">
        <f>+E22-J22</f>
        <v>810</v>
      </c>
      <c r="J22" s="98">
        <v>40</v>
      </c>
      <c r="K22" s="41"/>
      <c r="L22" s="41"/>
      <c r="M22" s="41"/>
      <c r="N22" s="41"/>
      <c r="O22" s="41"/>
    </row>
    <row r="23" spans="1:15" ht="16.5" x14ac:dyDescent="0.2">
      <c r="A23" s="87" t="s">
        <v>133</v>
      </c>
      <c r="B23" s="41"/>
      <c r="C23" s="56"/>
      <c r="D23" s="56"/>
      <c r="E23" s="56"/>
      <c r="F23" s="56"/>
      <c r="G23" s="56"/>
      <c r="H23" s="56"/>
      <c r="I23" s="41"/>
      <c r="J23" s="41"/>
      <c r="K23" s="41"/>
      <c r="L23" s="41"/>
      <c r="M23" s="41"/>
      <c r="N23" s="41"/>
      <c r="O23" s="41"/>
    </row>
    <row r="24" spans="1:15" ht="14.25" x14ac:dyDescent="0.2">
      <c r="A24" s="41" t="s">
        <v>136</v>
      </c>
      <c r="B24" s="103"/>
      <c r="C24" s="103"/>
      <c r="D24" s="103"/>
      <c r="E24" s="103"/>
      <c r="F24" s="103"/>
      <c r="G24" s="103"/>
      <c r="H24" s="103"/>
      <c r="I24" s="41"/>
      <c r="J24" s="41"/>
      <c r="K24" s="41"/>
      <c r="L24" s="41"/>
      <c r="M24" s="41"/>
      <c r="N24" s="41"/>
      <c r="O24" s="41"/>
    </row>
    <row r="25" spans="1:15" ht="14.25" x14ac:dyDescent="0.2">
      <c r="A25" s="44"/>
      <c r="B25" s="57"/>
      <c r="C25" s="57"/>
      <c r="D25" s="57"/>
      <c r="E25" s="57"/>
      <c r="F25" s="57"/>
      <c r="G25" s="57"/>
      <c r="H25" s="57"/>
      <c r="I25" s="41"/>
      <c r="J25" s="41"/>
      <c r="K25" s="41"/>
      <c r="L25" s="41"/>
      <c r="M25" s="41"/>
      <c r="N25" s="41"/>
      <c r="O25" s="41"/>
    </row>
    <row r="26" spans="1:15" ht="14.25" x14ac:dyDescent="0.2">
      <c r="A26" s="44"/>
      <c r="B26" s="57"/>
      <c r="C26" s="61"/>
      <c r="D26" s="57"/>
      <c r="E26" s="57"/>
      <c r="F26" s="57"/>
      <c r="G26" s="57"/>
      <c r="H26" s="57"/>
      <c r="I26" s="41"/>
      <c r="J26" s="41"/>
      <c r="K26" s="41"/>
      <c r="L26" s="41"/>
      <c r="M26" s="41"/>
      <c r="N26" s="41"/>
      <c r="O26" s="41"/>
    </row>
    <row r="27" spans="1:15" ht="14.25" x14ac:dyDescent="0.2">
      <c r="A27" s="40" t="s">
        <v>13</v>
      </c>
      <c r="B27" s="40"/>
      <c r="C27" s="40"/>
      <c r="D27" s="40"/>
      <c r="E27" s="40"/>
      <c r="F27" s="40"/>
      <c r="G27" s="40"/>
      <c r="H27" s="40"/>
      <c r="I27" s="41"/>
      <c r="J27" s="40"/>
      <c r="K27" s="41"/>
      <c r="L27" s="41"/>
      <c r="M27" s="41"/>
      <c r="N27" s="41"/>
      <c r="O27" s="41"/>
    </row>
    <row r="28" spans="1:15" ht="14.25" x14ac:dyDescent="0.2">
      <c r="A28" s="41"/>
      <c r="B28" s="158" t="s">
        <v>0</v>
      </c>
      <c r="C28" s="158"/>
      <c r="D28" s="158"/>
      <c r="E28" s="158"/>
      <c r="F28" s="41"/>
      <c r="G28" s="158" t="s">
        <v>24</v>
      </c>
      <c r="H28" s="158"/>
      <c r="I28" s="158"/>
      <c r="J28" s="41"/>
      <c r="K28" s="41"/>
      <c r="L28" s="41"/>
      <c r="M28" s="41"/>
      <c r="N28" s="41"/>
      <c r="O28" s="41"/>
    </row>
    <row r="29" spans="1:15" ht="14.25" x14ac:dyDescent="0.2">
      <c r="A29" s="41" t="s">
        <v>84</v>
      </c>
      <c r="B29" s="43" t="s">
        <v>36</v>
      </c>
      <c r="C29" s="45"/>
      <c r="D29" s="45"/>
      <c r="E29" s="45"/>
      <c r="F29" s="45"/>
      <c r="G29" s="45"/>
      <c r="H29" s="45"/>
      <c r="I29" s="45"/>
      <c r="J29" s="43" t="s">
        <v>34</v>
      </c>
      <c r="K29" s="41"/>
      <c r="L29" s="41"/>
      <c r="M29" s="41"/>
      <c r="N29" s="41"/>
      <c r="O29" s="41"/>
    </row>
    <row r="30" spans="1:15" ht="14.25" x14ac:dyDescent="0.2">
      <c r="A30" s="46" t="s">
        <v>85</v>
      </c>
      <c r="B30" s="48" t="s">
        <v>33</v>
      </c>
      <c r="C30" s="48" t="s">
        <v>1</v>
      </c>
      <c r="D30" s="50" t="s">
        <v>37</v>
      </c>
      <c r="E30" s="48" t="s">
        <v>38</v>
      </c>
      <c r="F30" s="49"/>
      <c r="G30" s="48" t="s">
        <v>35</v>
      </c>
      <c r="H30" s="48" t="s">
        <v>4</v>
      </c>
      <c r="I30" s="48" t="s">
        <v>32</v>
      </c>
      <c r="J30" s="48" t="s">
        <v>97</v>
      </c>
      <c r="K30" s="41"/>
      <c r="L30" s="41"/>
      <c r="M30" s="41"/>
      <c r="N30" s="41"/>
      <c r="O30" s="41"/>
    </row>
    <row r="31" spans="1:15" ht="14.25" x14ac:dyDescent="0.2">
      <c r="A31" s="41"/>
      <c r="B31" s="157" t="s">
        <v>20</v>
      </c>
      <c r="C31" s="157"/>
      <c r="D31" s="157"/>
      <c r="E31" s="157"/>
      <c r="F31" s="157"/>
      <c r="G31" s="157"/>
      <c r="H31" s="157"/>
      <c r="I31" s="157"/>
      <c r="J31" s="157"/>
      <c r="K31" s="41"/>
      <c r="L31" s="41"/>
      <c r="M31" s="41"/>
      <c r="N31" s="41"/>
      <c r="O31" s="41"/>
    </row>
    <row r="32" spans="1:15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6.5" x14ac:dyDescent="0.2">
      <c r="A33" s="41" t="s">
        <v>126</v>
      </c>
      <c r="B33" s="96">
        <v>41.546999999999997</v>
      </c>
      <c r="C33" s="97">
        <v>541.625</v>
      </c>
      <c r="D33" s="96">
        <v>0.121953075174</v>
      </c>
      <c r="E33" s="104">
        <f>+B33+D33+C33</f>
        <v>583.29395307517404</v>
      </c>
      <c r="F33" s="41"/>
      <c r="G33" s="97">
        <f>+I33-H33</f>
        <v>435.17942153772003</v>
      </c>
      <c r="H33" s="97">
        <v>103.98553153745401</v>
      </c>
      <c r="I33" s="97">
        <f>+E33-J33</f>
        <v>539.16495307517403</v>
      </c>
      <c r="J33" s="105">
        <v>44.128999999999998</v>
      </c>
      <c r="K33" s="41"/>
      <c r="L33" s="41"/>
      <c r="M33" s="41"/>
      <c r="N33" s="41"/>
      <c r="O33" s="41"/>
    </row>
    <row r="34" spans="1:15" ht="16.5" x14ac:dyDescent="0.2">
      <c r="A34" s="41" t="s">
        <v>127</v>
      </c>
      <c r="B34" s="96">
        <f>+J33</f>
        <v>44.128999999999998</v>
      </c>
      <c r="C34" s="97">
        <v>561.30100000000004</v>
      </c>
      <c r="D34" s="96">
        <v>0.16071698899799999</v>
      </c>
      <c r="E34" s="104">
        <f>+B34+D34+C34</f>
        <v>605.590716988998</v>
      </c>
      <c r="F34" s="41"/>
      <c r="G34" s="97">
        <f>+I34-H34</f>
        <v>462.60811273133004</v>
      </c>
      <c r="H34" s="97">
        <v>110.895604257668</v>
      </c>
      <c r="I34" s="97">
        <f>+E34-J34</f>
        <v>573.50371698899801</v>
      </c>
      <c r="J34" s="105">
        <v>32.087000000000003</v>
      </c>
      <c r="K34" s="41"/>
      <c r="L34" s="41"/>
      <c r="M34" s="41"/>
      <c r="N34" s="41"/>
      <c r="O34" s="41"/>
    </row>
    <row r="35" spans="1:15" ht="16.5" x14ac:dyDescent="0.2">
      <c r="A35" s="40" t="s">
        <v>168</v>
      </c>
      <c r="B35" s="99">
        <f>+J34</f>
        <v>32.087000000000003</v>
      </c>
      <c r="C35" s="101">
        <v>560</v>
      </c>
      <c r="D35" s="99">
        <v>1</v>
      </c>
      <c r="E35" s="106">
        <f>+B35+D35+C35</f>
        <v>593.08699999999999</v>
      </c>
      <c r="F35" s="100"/>
      <c r="G35" s="101">
        <f>+I35-H35</f>
        <v>461.08699999999999</v>
      </c>
      <c r="H35" s="101">
        <v>100</v>
      </c>
      <c r="I35" s="101">
        <f>+E35-J35</f>
        <v>561.08699999999999</v>
      </c>
      <c r="J35" s="101">
        <v>32</v>
      </c>
      <c r="K35" s="41"/>
      <c r="L35" s="41"/>
      <c r="M35" s="41"/>
      <c r="N35" s="41"/>
      <c r="O35" s="41"/>
    </row>
    <row r="36" spans="1:15" ht="16.5" x14ac:dyDescent="0.2">
      <c r="A36" s="87" t="s">
        <v>133</v>
      </c>
      <c r="B36" s="41"/>
      <c r="C36" s="56"/>
      <c r="D36" s="56"/>
      <c r="E36" s="56"/>
      <c r="F36" s="56"/>
      <c r="G36" s="56"/>
      <c r="H36" s="56"/>
      <c r="I36" s="41"/>
      <c r="J36" s="41"/>
      <c r="K36" s="41"/>
      <c r="L36" s="41"/>
      <c r="M36" s="41"/>
      <c r="N36" s="41"/>
      <c r="O36" s="41"/>
    </row>
    <row r="37" spans="1:15" ht="14.25" x14ac:dyDescent="0.2">
      <c r="A37" s="41" t="s">
        <v>137</v>
      </c>
      <c r="B37" s="57"/>
      <c r="C37" s="61"/>
      <c r="D37" s="57"/>
      <c r="E37" s="57"/>
      <c r="F37" s="57"/>
      <c r="G37" s="57"/>
      <c r="H37" s="57"/>
      <c r="I37" s="41"/>
      <c r="J37" s="41"/>
      <c r="K37" s="41"/>
      <c r="L37" s="41"/>
      <c r="M37" s="41"/>
      <c r="N37" s="41"/>
      <c r="O37" s="41"/>
    </row>
    <row r="38" spans="1:15" ht="14.25" x14ac:dyDescent="0.2">
      <c r="A38" s="44"/>
      <c r="B38" s="44"/>
      <c r="C38" s="44"/>
      <c r="D38" s="44"/>
      <c r="E38" s="44"/>
      <c r="F38" s="44"/>
      <c r="G38" s="44"/>
      <c r="H38" s="44"/>
      <c r="I38" s="41"/>
      <c r="J38" s="41"/>
      <c r="K38" s="41"/>
      <c r="L38" s="41"/>
      <c r="M38" s="41"/>
      <c r="N38" s="41"/>
      <c r="O38" s="41"/>
    </row>
    <row r="39" spans="1:15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4.25" x14ac:dyDescent="0.2">
      <c r="A40" s="40" t="s">
        <v>14</v>
      </c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0"/>
    </row>
    <row r="41" spans="1:15" ht="14.25" x14ac:dyDescent="0.2">
      <c r="A41" s="41"/>
      <c r="B41" s="158" t="s">
        <v>27</v>
      </c>
      <c r="C41" s="158"/>
      <c r="D41" s="43" t="s">
        <v>30</v>
      </c>
      <c r="E41" s="158" t="s">
        <v>92</v>
      </c>
      <c r="F41" s="158"/>
      <c r="G41" s="158"/>
      <c r="H41" s="158"/>
      <c r="I41" s="41"/>
      <c r="J41" s="158" t="s">
        <v>24</v>
      </c>
      <c r="K41" s="158"/>
      <c r="L41" s="158"/>
      <c r="M41" s="158"/>
      <c r="N41" s="158"/>
      <c r="O41" s="41"/>
    </row>
    <row r="42" spans="1:15" ht="14.25" x14ac:dyDescent="0.2">
      <c r="A42" s="41" t="s">
        <v>84</v>
      </c>
      <c r="B42" s="43" t="s">
        <v>28</v>
      </c>
      <c r="C42" s="43" t="s">
        <v>29</v>
      </c>
      <c r="D42" s="41"/>
      <c r="E42" s="43" t="s">
        <v>36</v>
      </c>
      <c r="F42" s="43"/>
      <c r="G42" s="43"/>
      <c r="H42" s="43"/>
      <c r="I42" s="41"/>
      <c r="J42" s="43" t="s">
        <v>9</v>
      </c>
      <c r="K42" s="43"/>
      <c r="L42" s="43" t="s">
        <v>100</v>
      </c>
      <c r="M42" s="43"/>
      <c r="N42" s="43"/>
      <c r="O42" s="43" t="s">
        <v>34</v>
      </c>
    </row>
    <row r="43" spans="1:15" ht="14.25" x14ac:dyDescent="0.2">
      <c r="A43" s="46" t="s">
        <v>86</v>
      </c>
      <c r="B43" s="47"/>
      <c r="C43" s="47"/>
      <c r="D43" s="47"/>
      <c r="E43" s="48" t="s">
        <v>33</v>
      </c>
      <c r="F43" s="48" t="s">
        <v>1</v>
      </c>
      <c r="G43" s="48" t="s">
        <v>37</v>
      </c>
      <c r="H43" s="48" t="s">
        <v>38</v>
      </c>
      <c r="I43" s="48"/>
      <c r="J43" s="48" t="s">
        <v>42</v>
      </c>
      <c r="K43" s="48" t="s">
        <v>40</v>
      </c>
      <c r="L43" s="48" t="s">
        <v>5</v>
      </c>
      <c r="M43" s="50" t="s">
        <v>4</v>
      </c>
      <c r="N43" s="48" t="s">
        <v>32</v>
      </c>
      <c r="O43" s="48" t="s">
        <v>97</v>
      </c>
    </row>
    <row r="44" spans="1:15" ht="14.25" x14ac:dyDescent="0.2">
      <c r="A44" s="41"/>
      <c r="B44" s="156" t="s">
        <v>94</v>
      </c>
      <c r="C44" s="157"/>
      <c r="D44" s="107" t="s">
        <v>79</v>
      </c>
      <c r="E44" s="157" t="s">
        <v>21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4.25" x14ac:dyDescent="0.2">
      <c r="A45" s="41"/>
      <c r="B45" s="43"/>
      <c r="C45" s="4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6.5" x14ac:dyDescent="0.2">
      <c r="A46" s="41" t="s">
        <v>126</v>
      </c>
      <c r="B46" s="95">
        <v>1671</v>
      </c>
      <c r="C46" s="95">
        <v>1536</v>
      </c>
      <c r="D46" s="95">
        <f>F46*1000/C46</f>
        <v>3633.8346354166665</v>
      </c>
      <c r="E46" s="95">
        <v>1790.905</v>
      </c>
      <c r="F46" s="95">
        <v>5581.57</v>
      </c>
      <c r="G46" s="105">
        <f>1.333*2.204622*55.0974</f>
        <v>161.91809726367242</v>
      </c>
      <c r="H46" s="95">
        <f>+E46+G46+F46</f>
        <v>7534.3930972636717</v>
      </c>
      <c r="I46" s="95"/>
      <c r="J46" s="95">
        <v>3086</v>
      </c>
      <c r="K46" s="95">
        <f>1.333*659.966</f>
        <v>879.73467800000003</v>
      </c>
      <c r="L46" s="97">
        <f>+N46-J46-K46-M46</f>
        <v>799.41848498118748</v>
      </c>
      <c r="M46" s="105">
        <f>1.333*2.204622*451.7713</f>
        <v>1327.6479342824839</v>
      </c>
      <c r="N46" s="95">
        <f>+H46-O46</f>
        <v>6092.8010972636712</v>
      </c>
      <c r="O46" s="95">
        <v>1441.5920000000001</v>
      </c>
    </row>
    <row r="47" spans="1:15" ht="16.5" x14ac:dyDescent="0.2">
      <c r="A47" s="41" t="s">
        <v>145</v>
      </c>
      <c r="B47" s="95">
        <v>1871.6</v>
      </c>
      <c r="C47" s="95">
        <v>1775.6</v>
      </c>
      <c r="D47" s="95">
        <f>F47*1000/C47</f>
        <v>4007.3271006983555</v>
      </c>
      <c r="E47" s="95">
        <f>O46</f>
        <v>1441.5920000000001</v>
      </c>
      <c r="F47" s="95">
        <v>7115.41</v>
      </c>
      <c r="G47" s="105">
        <v>171.48</v>
      </c>
      <c r="H47" s="95">
        <f>+E47+G47+F47</f>
        <v>8728.482</v>
      </c>
      <c r="I47" s="95"/>
      <c r="J47" s="95">
        <v>3142.09855417996</v>
      </c>
      <c r="K47" s="95">
        <f>1.333*528.75</f>
        <v>704.82375000000002</v>
      </c>
      <c r="L47" s="97">
        <f>+N47-J47-K47-M47</f>
        <v>891.76869582003997</v>
      </c>
      <c r="M47" s="97">
        <v>1272.711</v>
      </c>
      <c r="N47" s="95">
        <f>+H47-O47</f>
        <v>6011.402</v>
      </c>
      <c r="O47" s="95">
        <v>2717.08</v>
      </c>
    </row>
    <row r="48" spans="1:15" ht="16.5" x14ac:dyDescent="0.2">
      <c r="A48" s="40" t="s">
        <v>168</v>
      </c>
      <c r="B48" s="98">
        <v>1426.5</v>
      </c>
      <c r="C48" s="98">
        <v>1345.5</v>
      </c>
      <c r="D48" s="98">
        <f>F48*1000/C48</f>
        <v>4066.3322185061315</v>
      </c>
      <c r="E48" s="98">
        <f>O47</f>
        <v>2717.08</v>
      </c>
      <c r="F48" s="98">
        <v>5471.25</v>
      </c>
      <c r="G48" s="101">
        <v>75</v>
      </c>
      <c r="H48" s="98">
        <f>+E48+G48+F48</f>
        <v>8263.33</v>
      </c>
      <c r="I48" s="98"/>
      <c r="J48" s="98">
        <v>3233</v>
      </c>
      <c r="K48" s="98">
        <v>766</v>
      </c>
      <c r="L48" s="101">
        <f>+N48-J48-K48-M48</f>
        <v>719.32999999999993</v>
      </c>
      <c r="M48" s="101">
        <v>1200</v>
      </c>
      <c r="N48" s="98">
        <f>+H48-O48</f>
        <v>5918.33</v>
      </c>
      <c r="O48" s="98">
        <v>2345</v>
      </c>
    </row>
    <row r="49" spans="1:15" ht="16.5" x14ac:dyDescent="0.2">
      <c r="A49" s="87" t="s">
        <v>133</v>
      </c>
      <c r="B49" s="41"/>
      <c r="C49" s="56"/>
      <c r="D49" s="56"/>
      <c r="E49" s="56"/>
      <c r="F49" s="56"/>
      <c r="G49" s="56"/>
      <c r="H49" s="56"/>
      <c r="I49" s="41"/>
      <c r="J49" s="41"/>
      <c r="K49" s="41"/>
      <c r="L49" s="41"/>
      <c r="M49" s="41"/>
      <c r="N49" s="41"/>
      <c r="O49" s="41"/>
    </row>
    <row r="50" spans="1:15" ht="14.25" x14ac:dyDescent="0.2">
      <c r="A50" s="41" t="s">
        <v>138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4.25" x14ac:dyDescent="0.2">
      <c r="A51" s="41" t="s">
        <v>135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4.25" x14ac:dyDescent="0.2">
      <c r="A52" s="41" t="s">
        <v>26</v>
      </c>
      <c r="B52" s="108">
        <f ca="1">NOW()</f>
        <v>43447.492243749999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8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40" t="s">
        <v>51</v>
      </c>
      <c r="B1" s="40"/>
      <c r="C1" s="40"/>
      <c r="D1" s="40"/>
      <c r="E1" s="40"/>
      <c r="F1" s="40"/>
      <c r="G1" s="40"/>
      <c r="H1" s="1"/>
      <c r="I1" s="1"/>
      <c r="J1" s="1"/>
      <c r="K1" s="1"/>
    </row>
    <row r="2" spans="1:11" ht="15.6" customHeight="1" x14ac:dyDescent="0.2">
      <c r="A2" s="44" t="s">
        <v>15</v>
      </c>
      <c r="B2" s="88" t="s">
        <v>139</v>
      </c>
      <c r="C2" s="88" t="s">
        <v>140</v>
      </c>
      <c r="D2" s="88" t="s">
        <v>141</v>
      </c>
      <c r="E2" s="88" t="s">
        <v>142</v>
      </c>
      <c r="F2" s="88" t="s">
        <v>143</v>
      </c>
      <c r="G2" s="88" t="s">
        <v>144</v>
      </c>
      <c r="H2" s="1"/>
      <c r="I2" s="1"/>
      <c r="J2" s="1"/>
      <c r="K2" s="1"/>
    </row>
    <row r="3" spans="1:11" ht="15.6" customHeight="1" x14ac:dyDescent="0.2">
      <c r="A3" s="40" t="s">
        <v>16</v>
      </c>
      <c r="B3" s="49"/>
      <c r="C3" s="109"/>
      <c r="D3" s="109"/>
      <c r="E3" s="109"/>
      <c r="F3" s="109"/>
      <c r="G3" s="109"/>
      <c r="H3" s="1"/>
      <c r="I3" s="1"/>
      <c r="J3" s="1"/>
      <c r="K3" s="2"/>
    </row>
    <row r="4" spans="1:11" ht="14.25" x14ac:dyDescent="0.2">
      <c r="A4" s="110"/>
      <c r="B4" s="111" t="s">
        <v>77</v>
      </c>
      <c r="C4" s="111" t="s">
        <v>87</v>
      </c>
      <c r="D4" s="111" t="s">
        <v>106</v>
      </c>
      <c r="E4" s="111" t="s">
        <v>50</v>
      </c>
      <c r="F4" s="111" t="s">
        <v>76</v>
      </c>
      <c r="G4" s="111" t="s">
        <v>77</v>
      </c>
      <c r="H4" s="1"/>
      <c r="I4" s="2"/>
      <c r="J4" s="2"/>
      <c r="K4" s="2"/>
    </row>
    <row r="5" spans="1:11" ht="14.25" x14ac:dyDescent="0.2">
      <c r="A5" s="41"/>
      <c r="B5" s="41"/>
      <c r="C5" s="41"/>
      <c r="D5" s="43"/>
      <c r="E5" s="41"/>
      <c r="F5" s="41"/>
      <c r="G5" s="41"/>
      <c r="H5" s="1"/>
      <c r="I5" s="1"/>
      <c r="J5" s="1"/>
      <c r="K5" s="1"/>
    </row>
    <row r="6" spans="1:11" ht="14.25" x14ac:dyDescent="0.2">
      <c r="A6" s="41" t="s">
        <v>53</v>
      </c>
      <c r="B6" s="112">
        <v>9.9700000000000006</v>
      </c>
      <c r="C6" s="112">
        <v>223</v>
      </c>
      <c r="D6" s="112">
        <v>21.8</v>
      </c>
      <c r="E6" s="112">
        <v>18.7</v>
      </c>
      <c r="F6" s="112">
        <v>23</v>
      </c>
      <c r="G6" s="112">
        <v>12.7</v>
      </c>
      <c r="H6" s="1"/>
      <c r="I6" s="3"/>
      <c r="J6" s="3"/>
      <c r="K6" s="3"/>
    </row>
    <row r="7" spans="1:11" ht="14.25" x14ac:dyDescent="0.2">
      <c r="A7" s="41" t="s">
        <v>55</v>
      </c>
      <c r="B7" s="112">
        <v>9.59</v>
      </c>
      <c r="C7" s="112">
        <v>158</v>
      </c>
      <c r="D7" s="112">
        <v>15.1</v>
      </c>
      <c r="E7" s="112">
        <v>16.2</v>
      </c>
      <c r="F7" s="112">
        <v>21.7</v>
      </c>
      <c r="G7" s="112">
        <v>8.15</v>
      </c>
      <c r="H7" s="1"/>
      <c r="I7" s="3"/>
      <c r="J7" s="3"/>
      <c r="K7" s="3"/>
    </row>
    <row r="8" spans="1:11" ht="14.25" x14ac:dyDescent="0.2">
      <c r="A8" s="41" t="s">
        <v>56</v>
      </c>
      <c r="B8" s="112">
        <v>11.3</v>
      </c>
      <c r="C8" s="112">
        <v>161</v>
      </c>
      <c r="D8" s="112">
        <v>23.3</v>
      </c>
      <c r="E8" s="112">
        <v>19.3</v>
      </c>
      <c r="F8" s="112">
        <v>22.5</v>
      </c>
      <c r="G8" s="112">
        <v>12.2</v>
      </c>
      <c r="H8" s="1"/>
      <c r="I8" s="3"/>
      <c r="J8" s="3"/>
      <c r="K8" s="3"/>
    </row>
    <row r="9" spans="1:11" ht="14.25" x14ac:dyDescent="0.2">
      <c r="A9" s="41" t="s">
        <v>67</v>
      </c>
      <c r="B9" s="112">
        <v>12.5</v>
      </c>
      <c r="C9" s="112">
        <v>260</v>
      </c>
      <c r="D9" s="112">
        <v>29.1</v>
      </c>
      <c r="E9" s="112">
        <v>24</v>
      </c>
      <c r="F9" s="112">
        <v>31.8</v>
      </c>
      <c r="G9" s="112">
        <v>13.9</v>
      </c>
      <c r="H9" s="1"/>
      <c r="I9" s="3"/>
      <c r="J9" s="3"/>
      <c r="K9" s="3"/>
    </row>
    <row r="10" spans="1:11" ht="14.25" x14ac:dyDescent="0.2">
      <c r="A10" s="41" t="s">
        <v>91</v>
      </c>
      <c r="B10" s="112">
        <v>14.4</v>
      </c>
      <c r="C10" s="112">
        <v>252</v>
      </c>
      <c r="D10" s="112">
        <v>25.4</v>
      </c>
      <c r="E10" s="112">
        <v>26.5</v>
      </c>
      <c r="F10" s="112">
        <v>30.1</v>
      </c>
      <c r="G10" s="112">
        <v>13.8</v>
      </c>
      <c r="H10" s="1"/>
      <c r="I10" s="3"/>
      <c r="J10" s="3"/>
      <c r="K10" s="3"/>
    </row>
    <row r="11" spans="1:11" ht="14.25" x14ac:dyDescent="0.2">
      <c r="A11" s="41" t="s">
        <v>99</v>
      </c>
      <c r="B11" s="112">
        <v>13</v>
      </c>
      <c r="C11" s="112">
        <v>246</v>
      </c>
      <c r="D11" s="112">
        <v>21.4</v>
      </c>
      <c r="E11" s="112">
        <v>20.6</v>
      </c>
      <c r="F11" s="112">
        <v>24.9</v>
      </c>
      <c r="G11" s="112">
        <v>13.8</v>
      </c>
      <c r="H11" s="1"/>
      <c r="I11" s="3"/>
      <c r="J11" s="3"/>
      <c r="K11" s="3"/>
    </row>
    <row r="12" spans="1:11" ht="14.25" x14ac:dyDescent="0.2">
      <c r="A12" s="41" t="s">
        <v>102</v>
      </c>
      <c r="B12" s="112">
        <v>10.1</v>
      </c>
      <c r="C12" s="112">
        <v>194</v>
      </c>
      <c r="D12" s="112">
        <v>21.7</v>
      </c>
      <c r="E12" s="112">
        <v>16.899999999999999</v>
      </c>
      <c r="F12" s="112">
        <v>22</v>
      </c>
      <c r="G12" s="112">
        <v>11.8</v>
      </c>
      <c r="H12" s="1"/>
      <c r="I12" s="3"/>
      <c r="J12" s="3"/>
      <c r="K12" s="3"/>
    </row>
    <row r="13" spans="1:11" ht="14.25" x14ac:dyDescent="0.2">
      <c r="A13" s="41" t="s">
        <v>103</v>
      </c>
      <c r="B13" s="112">
        <v>8.9499999999999993</v>
      </c>
      <c r="C13" s="112">
        <v>227</v>
      </c>
      <c r="D13" s="112">
        <v>19.600000000000001</v>
      </c>
      <c r="E13" s="112">
        <v>15.6</v>
      </c>
      <c r="F13" s="112">
        <v>19.3</v>
      </c>
      <c r="G13" s="112">
        <v>8.9499999999999993</v>
      </c>
      <c r="H13" s="1"/>
      <c r="I13" s="3"/>
      <c r="J13" s="3"/>
      <c r="K13" s="3"/>
    </row>
    <row r="14" spans="1:11" ht="14.25" x14ac:dyDescent="0.2">
      <c r="A14" s="41" t="s">
        <v>119</v>
      </c>
      <c r="B14" s="112">
        <v>9.4700000000000006</v>
      </c>
      <c r="C14" s="112">
        <v>195</v>
      </c>
      <c r="D14" s="112">
        <v>17.399999999999999</v>
      </c>
      <c r="E14" s="112">
        <v>16.600000000000001</v>
      </c>
      <c r="F14" s="112">
        <v>19.7</v>
      </c>
      <c r="G14" s="112">
        <v>8</v>
      </c>
      <c r="H14" s="1"/>
      <c r="I14" s="3"/>
      <c r="J14" s="3"/>
      <c r="K14" s="3"/>
    </row>
    <row r="15" spans="1:11" ht="14.25" x14ac:dyDescent="0.2">
      <c r="A15" s="41" t="s">
        <v>121</v>
      </c>
      <c r="B15" s="112">
        <v>9.33</v>
      </c>
      <c r="C15" s="112">
        <v>142</v>
      </c>
      <c r="D15" s="112">
        <v>17.2</v>
      </c>
      <c r="E15" s="112">
        <v>17.5</v>
      </c>
      <c r="F15" s="112">
        <v>22.9</v>
      </c>
      <c r="G15" s="112">
        <v>9.5299999999999994</v>
      </c>
      <c r="H15" s="1"/>
      <c r="I15" s="3"/>
      <c r="J15" s="3"/>
      <c r="K15" s="3"/>
    </row>
    <row r="16" spans="1:11" ht="16.5" x14ac:dyDescent="0.2">
      <c r="A16" s="41" t="s">
        <v>167</v>
      </c>
      <c r="B16" s="113" t="s">
        <v>198</v>
      </c>
      <c r="C16" s="112" t="s">
        <v>185</v>
      </c>
      <c r="D16" s="113" t="s">
        <v>187</v>
      </c>
      <c r="E16" s="113" t="s">
        <v>188</v>
      </c>
      <c r="F16" s="113" t="s">
        <v>186</v>
      </c>
      <c r="G16" s="113" t="s">
        <v>199</v>
      </c>
      <c r="H16" s="1"/>
      <c r="I16" s="3"/>
      <c r="J16" s="3"/>
      <c r="K16" s="3"/>
    </row>
    <row r="17" spans="1:11" ht="14.25" x14ac:dyDescent="0.2">
      <c r="A17" s="44"/>
      <c r="B17" s="114"/>
      <c r="C17" s="115"/>
      <c r="D17" s="113"/>
      <c r="E17" s="113"/>
      <c r="F17" s="113"/>
      <c r="G17" s="116"/>
      <c r="H17" s="3"/>
      <c r="I17" s="3"/>
      <c r="J17" s="3"/>
      <c r="K17" s="3"/>
    </row>
    <row r="18" spans="1:11" ht="14.25" x14ac:dyDescent="0.2">
      <c r="A18" s="68" t="s">
        <v>121</v>
      </c>
      <c r="B18" s="112"/>
      <c r="C18" s="112"/>
      <c r="D18" s="112"/>
      <c r="E18" s="112"/>
      <c r="F18" s="112"/>
      <c r="G18" s="112"/>
      <c r="H18" s="1"/>
    </row>
    <row r="19" spans="1:11" ht="14.25" x14ac:dyDescent="0.2">
      <c r="A19" s="41" t="s">
        <v>71</v>
      </c>
      <c r="B19" s="112">
        <v>9.35</v>
      </c>
      <c r="C19" s="112">
        <v>127</v>
      </c>
      <c r="D19" s="112">
        <v>17.399999999999999</v>
      </c>
      <c r="E19" s="112">
        <v>17.3</v>
      </c>
      <c r="F19" s="112">
        <v>23</v>
      </c>
      <c r="G19" s="112">
        <v>9.56</v>
      </c>
      <c r="H19" s="1"/>
    </row>
    <row r="20" spans="1:11" ht="14.25" x14ac:dyDescent="0.2">
      <c r="A20" s="41" t="s">
        <v>58</v>
      </c>
      <c r="B20" s="112">
        <v>9.18</v>
      </c>
      <c r="C20" s="112">
        <v>141</v>
      </c>
      <c r="D20" s="112">
        <v>16.8</v>
      </c>
      <c r="E20" s="112">
        <v>16.600000000000001</v>
      </c>
      <c r="F20" s="112">
        <v>23.2</v>
      </c>
      <c r="G20" s="112">
        <v>9.23</v>
      </c>
      <c r="H20" s="1"/>
    </row>
    <row r="21" spans="1:11" ht="14.25" x14ac:dyDescent="0.2">
      <c r="A21" s="41" t="s">
        <v>59</v>
      </c>
      <c r="B21" s="112">
        <v>9.2200000000000006</v>
      </c>
      <c r="C21" s="112">
        <v>144</v>
      </c>
      <c r="D21" s="112">
        <v>16.600000000000001</v>
      </c>
      <c r="E21" s="112">
        <v>17.2</v>
      </c>
      <c r="F21" s="112">
        <v>22.7</v>
      </c>
      <c r="G21" s="112">
        <v>9.2100000000000009</v>
      </c>
      <c r="H21" s="1"/>
    </row>
    <row r="22" spans="1:11" ht="14.25" x14ac:dyDescent="0.2">
      <c r="A22" s="41" t="s">
        <v>60</v>
      </c>
      <c r="B22" s="112">
        <v>9.3000000000000007</v>
      </c>
      <c r="C22" s="112">
        <v>143</v>
      </c>
      <c r="D22" s="112">
        <v>17</v>
      </c>
      <c r="E22" s="112">
        <v>16.7</v>
      </c>
      <c r="F22" s="112">
        <v>23</v>
      </c>
      <c r="G22" s="112">
        <v>9.34</v>
      </c>
      <c r="H22" s="1"/>
    </row>
    <row r="23" spans="1:11" ht="14.25" x14ac:dyDescent="0.2">
      <c r="A23" s="41" t="s">
        <v>61</v>
      </c>
      <c r="B23" s="112">
        <v>9.3000000000000007</v>
      </c>
      <c r="C23" s="112">
        <v>139</v>
      </c>
      <c r="D23" s="112">
        <v>17.600000000000001</v>
      </c>
      <c r="E23" s="112">
        <v>17.7</v>
      </c>
      <c r="F23" s="112">
        <v>22.9</v>
      </c>
      <c r="G23" s="112">
        <v>9.4</v>
      </c>
      <c r="H23" s="1"/>
    </row>
    <row r="24" spans="1:11" ht="14.25" x14ac:dyDescent="0.2">
      <c r="A24" s="41" t="s">
        <v>62</v>
      </c>
      <c r="B24" s="112">
        <v>9.5</v>
      </c>
      <c r="C24" s="112">
        <v>156</v>
      </c>
      <c r="D24" s="112">
        <v>17.7</v>
      </c>
      <c r="E24" s="112">
        <v>18.3</v>
      </c>
      <c r="F24" s="112">
        <v>22.7</v>
      </c>
      <c r="G24" s="112">
        <v>10</v>
      </c>
      <c r="H24" s="1"/>
    </row>
    <row r="25" spans="1:11" ht="14.25" x14ac:dyDescent="0.2">
      <c r="A25" s="41" t="s">
        <v>63</v>
      </c>
      <c r="B25" s="112">
        <v>9.81</v>
      </c>
      <c r="C25" s="112" t="s">
        <v>10</v>
      </c>
      <c r="D25" s="112">
        <v>17.3</v>
      </c>
      <c r="E25" s="112">
        <v>18.2</v>
      </c>
      <c r="F25" s="112">
        <v>24.4</v>
      </c>
      <c r="G25" s="112">
        <v>9.76</v>
      </c>
      <c r="H25" s="1"/>
    </row>
    <row r="26" spans="1:11" ht="14.25" x14ac:dyDescent="0.2">
      <c r="A26" s="41" t="s">
        <v>64</v>
      </c>
      <c r="B26" s="112">
        <v>9.85</v>
      </c>
      <c r="C26" s="112" t="s">
        <v>10</v>
      </c>
      <c r="D26" s="112">
        <v>18</v>
      </c>
      <c r="E26" s="112">
        <v>17.5</v>
      </c>
      <c r="F26" s="112">
        <v>23.3</v>
      </c>
      <c r="G26" s="112">
        <v>9.92</v>
      </c>
      <c r="H26" s="1"/>
    </row>
    <row r="27" spans="1:11" ht="14.25" x14ac:dyDescent="0.2">
      <c r="A27" s="41" t="s">
        <v>65</v>
      </c>
      <c r="B27" s="112">
        <v>9.84</v>
      </c>
      <c r="C27" s="112" t="s">
        <v>10</v>
      </c>
      <c r="D27" s="112">
        <v>17.899999999999999</v>
      </c>
      <c r="E27" s="112">
        <v>18.5</v>
      </c>
      <c r="F27" s="112">
        <v>22.7</v>
      </c>
      <c r="G27" s="112">
        <v>10.1</v>
      </c>
      <c r="H27" s="1"/>
    </row>
    <row r="28" spans="1:11" ht="14.25" x14ac:dyDescent="0.2">
      <c r="A28" s="41" t="s">
        <v>66</v>
      </c>
      <c r="B28" s="112">
        <v>9.5500000000000007</v>
      </c>
      <c r="C28" s="112" t="s">
        <v>10</v>
      </c>
      <c r="D28" s="112">
        <v>17.7</v>
      </c>
      <c r="E28" s="112">
        <v>17.2</v>
      </c>
      <c r="F28" s="112">
        <v>22.7</v>
      </c>
      <c r="G28" s="112">
        <v>10</v>
      </c>
      <c r="H28" s="1"/>
    </row>
    <row r="29" spans="1:11" ht="14.25" x14ac:dyDescent="0.2">
      <c r="A29" s="41" t="s">
        <v>68</v>
      </c>
      <c r="B29" s="112">
        <v>9.08</v>
      </c>
      <c r="C29" s="112" t="s">
        <v>10</v>
      </c>
      <c r="D29" s="112">
        <v>17.399999999999999</v>
      </c>
      <c r="E29" s="112">
        <v>17.100000000000001</v>
      </c>
      <c r="F29" s="112">
        <v>22.4</v>
      </c>
      <c r="G29" s="112">
        <v>9.9600000000000009</v>
      </c>
      <c r="H29" s="1"/>
    </row>
    <row r="30" spans="1:11" ht="14.25" x14ac:dyDescent="0.2">
      <c r="A30" s="41" t="s">
        <v>69</v>
      </c>
      <c r="B30" s="112">
        <v>8.59</v>
      </c>
      <c r="C30" s="112">
        <v>134</v>
      </c>
      <c r="D30" s="112">
        <v>16.899999999999999</v>
      </c>
      <c r="E30" s="112">
        <v>15.3</v>
      </c>
      <c r="F30" s="112">
        <v>22</v>
      </c>
      <c r="G30" s="112">
        <v>10.199999999999999</v>
      </c>
      <c r="H30" s="1"/>
    </row>
    <row r="31" spans="1:11" ht="14.25" x14ac:dyDescent="0.2">
      <c r="A31" s="44"/>
      <c r="B31" s="112"/>
      <c r="C31" s="112"/>
      <c r="D31" s="112"/>
      <c r="E31" s="112"/>
      <c r="F31" s="112"/>
      <c r="G31" s="112"/>
    </row>
    <row r="32" spans="1:11" ht="14.25" x14ac:dyDescent="0.2">
      <c r="A32" s="68" t="s">
        <v>173</v>
      </c>
      <c r="B32" s="112"/>
      <c r="C32" s="112"/>
      <c r="D32" s="112"/>
      <c r="E32" s="112"/>
      <c r="F32" s="112"/>
      <c r="G32" s="112"/>
    </row>
    <row r="33" spans="1:8" ht="14.25" x14ac:dyDescent="0.2">
      <c r="A33" s="41" t="s">
        <v>71</v>
      </c>
      <c r="B33" s="112">
        <v>8.77</v>
      </c>
      <c r="C33" s="112">
        <v>141</v>
      </c>
      <c r="D33" s="112">
        <v>16.7</v>
      </c>
      <c r="E33" s="112">
        <v>15.2</v>
      </c>
      <c r="F33" s="112">
        <v>22.2</v>
      </c>
      <c r="G33" s="112">
        <v>9.7899999999999991</v>
      </c>
      <c r="H33" s="1"/>
    </row>
    <row r="34" spans="1:8" ht="14.25" x14ac:dyDescent="0.2">
      <c r="A34" s="40" t="s">
        <v>58</v>
      </c>
      <c r="B34" s="117">
        <v>8.58</v>
      </c>
      <c r="C34" s="117">
        <v>146</v>
      </c>
      <c r="D34" s="117">
        <v>16.7</v>
      </c>
      <c r="E34" s="117">
        <v>15.6</v>
      </c>
      <c r="F34" s="117">
        <v>22.1</v>
      </c>
      <c r="G34" s="117">
        <v>9.7899999999999991</v>
      </c>
    </row>
    <row r="35" spans="1:8" ht="16.5" x14ac:dyDescent="0.2">
      <c r="A35" s="41" t="s">
        <v>146</v>
      </c>
      <c r="B35" s="41"/>
      <c r="C35" s="41"/>
      <c r="D35" s="41"/>
      <c r="E35" s="41"/>
      <c r="F35" s="41"/>
      <c r="G35" s="41"/>
    </row>
    <row r="36" spans="1:8" ht="14.25" x14ac:dyDescent="0.2">
      <c r="A36" s="41" t="s">
        <v>57</v>
      </c>
      <c r="B36" s="118"/>
      <c r="C36" s="118" t="s">
        <v>107</v>
      </c>
      <c r="D36" s="118"/>
      <c r="E36" s="118"/>
      <c r="F36" s="118"/>
      <c r="G36" s="118"/>
    </row>
    <row r="37" spans="1:8" ht="14.25" x14ac:dyDescent="0.2">
      <c r="A37" s="41" t="s">
        <v>147</v>
      </c>
      <c r="B37" s="41"/>
      <c r="C37" s="41"/>
      <c r="D37" s="41"/>
      <c r="E37" s="41"/>
      <c r="F37" s="41"/>
      <c r="G37" s="41"/>
    </row>
    <row r="38" spans="1:8" ht="14.25" x14ac:dyDescent="0.2">
      <c r="A38" s="41" t="s">
        <v>26</v>
      </c>
      <c r="B38" s="79">
        <f ca="1">NOW()</f>
        <v>43447.492243749999</v>
      </c>
      <c r="C38" s="41"/>
      <c r="D38" s="41"/>
      <c r="E38" s="41"/>
      <c r="F38" s="41"/>
      <c r="G38" s="41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8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40" t="s">
        <v>22</v>
      </c>
      <c r="B1" s="40"/>
      <c r="C1" s="40"/>
      <c r="D1" s="40"/>
      <c r="E1" s="40"/>
      <c r="F1" s="40"/>
      <c r="G1" s="40"/>
      <c r="H1" s="40"/>
      <c r="I1" s="41"/>
    </row>
    <row r="2" spans="1:9" ht="15.6" customHeight="1" x14ac:dyDescent="0.2">
      <c r="A2" s="119" t="s">
        <v>15</v>
      </c>
      <c r="B2" s="88" t="s">
        <v>44</v>
      </c>
      <c r="C2" s="88" t="s">
        <v>17</v>
      </c>
      <c r="D2" s="88" t="s">
        <v>89</v>
      </c>
      <c r="E2" s="120" t="s">
        <v>52</v>
      </c>
      <c r="F2" s="120" t="s">
        <v>45</v>
      </c>
      <c r="G2" s="88" t="s">
        <v>49</v>
      </c>
      <c r="H2" s="88" t="s">
        <v>148</v>
      </c>
      <c r="I2" s="121" t="s">
        <v>48</v>
      </c>
    </row>
    <row r="3" spans="1:9" ht="15.6" customHeight="1" x14ac:dyDescent="0.2">
      <c r="A3" s="93" t="s">
        <v>16</v>
      </c>
      <c r="B3" s="48" t="s">
        <v>149</v>
      </c>
      <c r="C3" s="48" t="s">
        <v>150</v>
      </c>
      <c r="D3" s="48" t="s">
        <v>151</v>
      </c>
      <c r="E3" s="48" t="s">
        <v>151</v>
      </c>
      <c r="F3" s="48" t="s">
        <v>152</v>
      </c>
      <c r="G3" s="48" t="s">
        <v>153</v>
      </c>
      <c r="H3" s="48"/>
      <c r="I3" s="48" t="s">
        <v>154</v>
      </c>
    </row>
    <row r="4" spans="1:9" ht="14.25" x14ac:dyDescent="0.2">
      <c r="A4" s="41"/>
      <c r="B4" s="60" t="s">
        <v>108</v>
      </c>
      <c r="C4" s="122"/>
      <c r="D4" s="122"/>
      <c r="E4" s="122"/>
      <c r="F4" s="122"/>
      <c r="G4" s="122"/>
      <c r="H4" s="122"/>
      <c r="I4" s="122"/>
    </row>
    <row r="5" spans="1:9" ht="14.25" x14ac:dyDescent="0.2">
      <c r="A5" s="41"/>
      <c r="B5" s="41"/>
      <c r="C5" s="41"/>
      <c r="D5" s="41"/>
      <c r="E5" s="41"/>
      <c r="F5" s="41"/>
      <c r="G5" s="41"/>
      <c r="H5" s="41"/>
      <c r="I5" s="41"/>
    </row>
    <row r="6" spans="1:9" ht="14.25" x14ac:dyDescent="0.2">
      <c r="A6" s="41" t="s">
        <v>53</v>
      </c>
      <c r="B6" s="112">
        <v>32.159999999999997</v>
      </c>
      <c r="C6" s="112">
        <v>37.1</v>
      </c>
      <c r="D6" s="112">
        <v>50.24</v>
      </c>
      <c r="E6" s="112">
        <v>39.54</v>
      </c>
      <c r="F6" s="112">
        <v>78.489999999999995</v>
      </c>
      <c r="G6" s="112">
        <v>32.75</v>
      </c>
      <c r="H6" s="112">
        <v>26.72</v>
      </c>
      <c r="I6" s="112">
        <v>25.47</v>
      </c>
    </row>
    <row r="7" spans="1:9" ht="14.25" x14ac:dyDescent="0.2">
      <c r="A7" s="41" t="s">
        <v>55</v>
      </c>
      <c r="B7" s="112">
        <v>35.950000000000003</v>
      </c>
      <c r="C7" s="112">
        <v>40.270000000000003</v>
      </c>
      <c r="D7" s="112">
        <v>52.8</v>
      </c>
      <c r="E7" s="112">
        <v>42.88</v>
      </c>
      <c r="F7" s="112">
        <v>59.62</v>
      </c>
      <c r="G7" s="112">
        <v>39.29</v>
      </c>
      <c r="H7" s="112">
        <v>31.99</v>
      </c>
      <c r="I7" s="112">
        <v>32.26</v>
      </c>
    </row>
    <row r="8" spans="1:9" ht="14.25" x14ac:dyDescent="0.2">
      <c r="A8" s="41" t="s">
        <v>56</v>
      </c>
      <c r="B8" s="112">
        <v>53.2</v>
      </c>
      <c r="C8" s="112">
        <v>54.5</v>
      </c>
      <c r="D8" s="112">
        <v>86.12</v>
      </c>
      <c r="E8" s="112">
        <v>58.68</v>
      </c>
      <c r="F8" s="112">
        <v>77.239999999999995</v>
      </c>
      <c r="G8" s="112">
        <v>60.76</v>
      </c>
      <c r="H8" s="112">
        <v>51.52</v>
      </c>
      <c r="I8" s="112">
        <v>51.34</v>
      </c>
    </row>
    <row r="9" spans="1:9" ht="14.25" x14ac:dyDescent="0.2">
      <c r="A9" s="41" t="s">
        <v>67</v>
      </c>
      <c r="B9" s="112">
        <v>51.9</v>
      </c>
      <c r="C9" s="112">
        <v>53.22</v>
      </c>
      <c r="D9" s="112">
        <v>83.2</v>
      </c>
      <c r="E9" s="112">
        <v>57.19</v>
      </c>
      <c r="F9" s="112">
        <v>100.15</v>
      </c>
      <c r="G9" s="112">
        <v>56.09</v>
      </c>
      <c r="H9" s="112">
        <v>48.11</v>
      </c>
      <c r="I9" s="112">
        <v>50.33</v>
      </c>
    </row>
    <row r="10" spans="1:9" ht="14.25" x14ac:dyDescent="0.2">
      <c r="A10" s="41" t="s">
        <v>91</v>
      </c>
      <c r="B10" s="112">
        <v>47.13</v>
      </c>
      <c r="C10" s="112">
        <v>48.6</v>
      </c>
      <c r="D10" s="112">
        <v>65.87</v>
      </c>
      <c r="E10" s="112">
        <v>56.17</v>
      </c>
      <c r="F10" s="112">
        <v>91.83</v>
      </c>
      <c r="G10" s="112">
        <v>46.66</v>
      </c>
      <c r="H10" s="112">
        <v>51.8</v>
      </c>
      <c r="I10" s="112">
        <v>43.24</v>
      </c>
    </row>
    <row r="11" spans="1:9" ht="14.25" x14ac:dyDescent="0.2">
      <c r="A11" s="41" t="s">
        <v>99</v>
      </c>
      <c r="B11" s="112">
        <v>38.229999999999997</v>
      </c>
      <c r="C11" s="112">
        <v>60.66</v>
      </c>
      <c r="D11" s="112">
        <v>59.12</v>
      </c>
      <c r="E11" s="112">
        <v>43.7</v>
      </c>
      <c r="F11" s="112">
        <v>68.23</v>
      </c>
      <c r="G11" s="112">
        <v>39.43</v>
      </c>
      <c r="H11" s="112">
        <v>43.93</v>
      </c>
      <c r="I11" s="112">
        <v>39.76</v>
      </c>
    </row>
    <row r="12" spans="1:9" ht="14.25" x14ac:dyDescent="0.2">
      <c r="A12" s="41" t="s">
        <v>102</v>
      </c>
      <c r="B12" s="112">
        <v>31.6</v>
      </c>
      <c r="C12" s="112">
        <v>45.74</v>
      </c>
      <c r="D12" s="112">
        <v>66.72</v>
      </c>
      <c r="E12" s="112">
        <v>37.81</v>
      </c>
      <c r="F12" s="112">
        <v>57.96</v>
      </c>
      <c r="G12" s="112">
        <v>37.479999999999997</v>
      </c>
      <c r="H12" s="112">
        <v>33.43</v>
      </c>
      <c r="I12" s="112">
        <v>31.36</v>
      </c>
    </row>
    <row r="13" spans="1:9" ht="14.25" x14ac:dyDescent="0.2">
      <c r="A13" s="41" t="s">
        <v>103</v>
      </c>
      <c r="B13" s="112">
        <v>29.86</v>
      </c>
      <c r="C13" s="112">
        <v>45.87</v>
      </c>
      <c r="D13" s="112">
        <v>57.81</v>
      </c>
      <c r="E13" s="112">
        <v>35.270000000000003</v>
      </c>
      <c r="F13" s="112">
        <v>58.26</v>
      </c>
      <c r="G13" s="112">
        <v>39.25</v>
      </c>
      <c r="H13" s="112">
        <v>32.229999999999997</v>
      </c>
      <c r="I13" s="112">
        <v>30.07</v>
      </c>
    </row>
    <row r="14" spans="1:9" ht="14.25" x14ac:dyDescent="0.2">
      <c r="A14" s="41" t="s">
        <v>119</v>
      </c>
      <c r="B14" s="112">
        <v>32.549999999999997</v>
      </c>
      <c r="C14" s="112">
        <v>40.92</v>
      </c>
      <c r="D14" s="112">
        <v>53.54</v>
      </c>
      <c r="E14" s="112">
        <v>38.729999999999997</v>
      </c>
      <c r="F14" s="112">
        <v>66.73</v>
      </c>
      <c r="G14" s="112">
        <v>37.43</v>
      </c>
      <c r="H14" s="112">
        <v>33.07</v>
      </c>
      <c r="I14" s="112">
        <v>34.75</v>
      </c>
    </row>
    <row r="15" spans="1:9" ht="16.5" x14ac:dyDescent="0.2">
      <c r="A15" s="41" t="s">
        <v>145</v>
      </c>
      <c r="B15" s="112">
        <v>30.04</v>
      </c>
      <c r="C15" s="112">
        <v>31.87</v>
      </c>
      <c r="D15" s="112">
        <v>54.57</v>
      </c>
      <c r="E15" s="112">
        <v>38.270000000000003</v>
      </c>
      <c r="F15" s="112">
        <v>66.72</v>
      </c>
      <c r="G15" s="112">
        <v>30.35</v>
      </c>
      <c r="H15" s="112">
        <v>34.159999999999997</v>
      </c>
      <c r="I15" s="112">
        <v>31.21</v>
      </c>
    </row>
    <row r="16" spans="1:9" ht="16.5" x14ac:dyDescent="0.2">
      <c r="A16" s="41" t="s">
        <v>167</v>
      </c>
      <c r="B16" s="113" t="s">
        <v>169</v>
      </c>
      <c r="C16" s="113" t="s">
        <v>170</v>
      </c>
      <c r="D16" s="113" t="s">
        <v>189</v>
      </c>
      <c r="E16" s="113" t="s">
        <v>192</v>
      </c>
      <c r="F16" s="113" t="s">
        <v>197</v>
      </c>
      <c r="G16" s="113" t="s">
        <v>194</v>
      </c>
      <c r="H16" s="113" t="s">
        <v>195</v>
      </c>
      <c r="I16" s="113" t="s">
        <v>196</v>
      </c>
    </row>
    <row r="17" spans="1:15" ht="14.25" x14ac:dyDescent="0.2">
      <c r="A17" s="41"/>
      <c r="B17" s="57"/>
      <c r="C17" s="115"/>
      <c r="D17" s="123"/>
      <c r="E17" s="123"/>
      <c r="F17" s="123"/>
      <c r="G17" s="123"/>
      <c r="H17" s="41"/>
      <c r="I17" s="41"/>
    </row>
    <row r="18" spans="1:15" ht="14.25" x14ac:dyDescent="0.2">
      <c r="A18" s="41" t="s">
        <v>121</v>
      </c>
      <c r="B18" s="112"/>
      <c r="C18" s="112"/>
      <c r="D18" s="112"/>
      <c r="E18" s="112"/>
      <c r="F18" s="112"/>
      <c r="G18" s="112"/>
      <c r="H18" s="112"/>
      <c r="I18" s="112"/>
    </row>
    <row r="19" spans="1:15" ht="14.25" x14ac:dyDescent="0.2">
      <c r="A19" s="41" t="s">
        <v>58</v>
      </c>
      <c r="B19" s="112">
        <v>32.35</v>
      </c>
      <c r="C19" s="112">
        <v>37.06</v>
      </c>
      <c r="D19" s="112">
        <v>56</v>
      </c>
      <c r="E19" s="112">
        <v>39.06</v>
      </c>
      <c r="F19" s="112">
        <v>65.44</v>
      </c>
      <c r="G19" s="112">
        <v>34.96</v>
      </c>
      <c r="H19" s="112">
        <v>36</v>
      </c>
      <c r="I19" s="112">
        <v>32.06</v>
      </c>
      <c r="K19" s="7"/>
      <c r="L19" s="7"/>
      <c r="M19" s="7"/>
      <c r="N19" s="7"/>
      <c r="O19" s="7"/>
    </row>
    <row r="20" spans="1:15" ht="14.25" x14ac:dyDescent="0.2">
      <c r="A20" s="41" t="s">
        <v>59</v>
      </c>
      <c r="B20" s="112">
        <v>33.43</v>
      </c>
      <c r="C20" s="112">
        <v>37</v>
      </c>
      <c r="D20" s="112">
        <v>55.5</v>
      </c>
      <c r="E20" s="112">
        <v>39.69</v>
      </c>
      <c r="F20" s="112">
        <v>65</v>
      </c>
      <c r="G20" s="112">
        <v>34.46</v>
      </c>
      <c r="H20" s="112">
        <v>38.17</v>
      </c>
      <c r="I20" s="112">
        <v>33.44</v>
      </c>
      <c r="K20" s="7"/>
      <c r="L20" s="7"/>
      <c r="M20" s="7"/>
      <c r="N20" s="7"/>
      <c r="O20" s="7"/>
    </row>
    <row r="21" spans="1:15" ht="14.25" x14ac:dyDescent="0.2">
      <c r="A21" s="41" t="s">
        <v>60</v>
      </c>
      <c r="B21" s="112">
        <v>32.270000000000003</v>
      </c>
      <c r="C21" s="112">
        <v>34.25</v>
      </c>
      <c r="D21" s="112">
        <v>54.8</v>
      </c>
      <c r="E21" s="112">
        <v>38.65</v>
      </c>
      <c r="F21" s="112">
        <v>65.2</v>
      </c>
      <c r="G21" s="112">
        <v>33.96</v>
      </c>
      <c r="H21" s="112">
        <v>37</v>
      </c>
      <c r="I21" s="112">
        <v>31.63</v>
      </c>
    </row>
    <row r="22" spans="1:15" ht="14.25" x14ac:dyDescent="0.2">
      <c r="A22" s="41" t="s">
        <v>61</v>
      </c>
      <c r="B22" s="112">
        <v>31.61</v>
      </c>
      <c r="C22" s="112">
        <v>32.75</v>
      </c>
      <c r="D22" s="112">
        <v>55.5</v>
      </c>
      <c r="E22" s="112">
        <v>38.31</v>
      </c>
      <c r="F22" s="112">
        <v>66.13</v>
      </c>
      <c r="G22" s="112">
        <v>30.68</v>
      </c>
      <c r="H22" s="112">
        <v>32.08</v>
      </c>
      <c r="I22" s="112" t="s">
        <v>10</v>
      </c>
    </row>
    <row r="23" spans="1:15" ht="14.25" x14ac:dyDescent="0.2">
      <c r="A23" s="41" t="s">
        <v>62</v>
      </c>
      <c r="B23" s="112">
        <v>30.63</v>
      </c>
      <c r="C23" s="112">
        <v>31.44</v>
      </c>
      <c r="D23" s="112">
        <v>55</v>
      </c>
      <c r="E23" s="112">
        <v>37.44</v>
      </c>
      <c r="F23" s="112">
        <v>66.63</v>
      </c>
      <c r="G23" s="112">
        <v>29.72</v>
      </c>
      <c r="H23" s="112">
        <v>32.200000000000003</v>
      </c>
      <c r="I23" s="112">
        <v>31</v>
      </c>
    </row>
    <row r="24" spans="1:15" ht="14.25" x14ac:dyDescent="0.2">
      <c r="A24" s="41" t="s">
        <v>63</v>
      </c>
      <c r="B24" s="112">
        <v>30.28</v>
      </c>
      <c r="C24" s="112">
        <v>31.35</v>
      </c>
      <c r="D24" s="112">
        <v>54</v>
      </c>
      <c r="E24" s="112">
        <v>37.1</v>
      </c>
      <c r="F24" s="112">
        <v>67</v>
      </c>
      <c r="G24" s="112">
        <v>29.66</v>
      </c>
      <c r="H24" s="112" t="s">
        <v>10</v>
      </c>
      <c r="I24" s="112" t="s">
        <v>10</v>
      </c>
    </row>
    <row r="25" spans="1:15" ht="14.25" x14ac:dyDescent="0.2">
      <c r="A25" s="41" t="s">
        <v>64</v>
      </c>
      <c r="B25" s="112">
        <v>29.7</v>
      </c>
      <c r="C25" s="112">
        <v>31.19</v>
      </c>
      <c r="D25" s="112">
        <v>54</v>
      </c>
      <c r="E25" s="112">
        <v>37.31</v>
      </c>
      <c r="F25" s="112">
        <v>66.88</v>
      </c>
      <c r="G25" s="112">
        <v>29.5</v>
      </c>
      <c r="H25" s="112" t="s">
        <v>10</v>
      </c>
      <c r="I25" s="112">
        <v>29.5</v>
      </c>
    </row>
    <row r="26" spans="1:15" ht="14.25" x14ac:dyDescent="0.2">
      <c r="A26" s="41" t="s">
        <v>65</v>
      </c>
      <c r="B26" s="112">
        <v>29.4</v>
      </c>
      <c r="C26" s="112">
        <v>31.25</v>
      </c>
      <c r="D26" s="112">
        <v>54</v>
      </c>
      <c r="E26" s="112">
        <v>38.25</v>
      </c>
      <c r="F26" s="112">
        <v>66.5</v>
      </c>
      <c r="G26" s="112">
        <v>29.65</v>
      </c>
      <c r="H26" s="112" t="s">
        <v>10</v>
      </c>
      <c r="I26" s="112">
        <v>29</v>
      </c>
    </row>
    <row r="27" spans="1:15" ht="14.25" x14ac:dyDescent="0.2">
      <c r="A27" s="41" t="s">
        <v>66</v>
      </c>
      <c r="B27" s="112">
        <v>28.3</v>
      </c>
      <c r="C27" s="112">
        <v>29.9</v>
      </c>
      <c r="D27" s="112">
        <v>54</v>
      </c>
      <c r="E27" s="112">
        <v>37.75</v>
      </c>
      <c r="F27" s="112">
        <v>67.7</v>
      </c>
      <c r="G27" s="112">
        <v>29.54</v>
      </c>
      <c r="H27" s="112">
        <v>32.5</v>
      </c>
      <c r="I27" s="112">
        <v>30</v>
      </c>
    </row>
    <row r="28" spans="1:15" ht="14.25" x14ac:dyDescent="0.2">
      <c r="A28" s="41" t="s">
        <v>68</v>
      </c>
      <c r="B28" s="112">
        <v>27.21</v>
      </c>
      <c r="C28" s="112">
        <v>28.75</v>
      </c>
      <c r="D28" s="112">
        <v>54</v>
      </c>
      <c r="E28" s="112">
        <v>38.69</v>
      </c>
      <c r="F28" s="112">
        <v>68</v>
      </c>
      <c r="G28" s="112">
        <v>28.76</v>
      </c>
      <c r="H28" s="112" t="s">
        <v>10</v>
      </c>
      <c r="I28" s="112">
        <v>32.47</v>
      </c>
    </row>
    <row r="29" spans="1:15" ht="14.25" x14ac:dyDescent="0.2">
      <c r="A29" s="41" t="s">
        <v>69</v>
      </c>
      <c r="B29" s="112">
        <v>27.6</v>
      </c>
      <c r="C29" s="112">
        <v>28.6</v>
      </c>
      <c r="D29" s="112">
        <v>54</v>
      </c>
      <c r="E29" s="112">
        <v>38.75</v>
      </c>
      <c r="F29" s="112">
        <v>68</v>
      </c>
      <c r="G29" s="112">
        <v>26.8</v>
      </c>
      <c r="H29" s="112">
        <v>32.380000000000003</v>
      </c>
      <c r="I29" s="112">
        <v>32</v>
      </c>
    </row>
    <row r="30" spans="1:15" ht="14.25" x14ac:dyDescent="0.2">
      <c r="A30" s="41" t="s">
        <v>71</v>
      </c>
      <c r="B30" s="112">
        <v>27.73</v>
      </c>
      <c r="C30" s="112">
        <v>28.88</v>
      </c>
      <c r="D30" s="112">
        <v>54</v>
      </c>
      <c r="E30" s="112">
        <v>38.19</v>
      </c>
      <c r="F30" s="112">
        <v>67.63</v>
      </c>
      <c r="G30" s="112">
        <v>26.46</v>
      </c>
      <c r="H30" s="112">
        <v>32.93</v>
      </c>
      <c r="I30" s="112">
        <v>31</v>
      </c>
    </row>
    <row r="31" spans="1:15" ht="14.25" x14ac:dyDescent="0.2">
      <c r="A31" s="44"/>
      <c r="B31" s="112"/>
      <c r="C31" s="112"/>
      <c r="D31" s="112"/>
      <c r="E31" s="112"/>
      <c r="F31" s="112"/>
      <c r="G31" s="112"/>
      <c r="H31" s="112"/>
      <c r="I31" s="112"/>
    </row>
    <row r="32" spans="1:15" ht="14.25" x14ac:dyDescent="0.2">
      <c r="A32" s="41" t="s">
        <v>173</v>
      </c>
      <c r="B32" s="112"/>
      <c r="C32" s="112"/>
      <c r="D32" s="112"/>
      <c r="E32" s="112"/>
      <c r="F32" s="112"/>
      <c r="G32" s="112"/>
      <c r="H32" s="112"/>
      <c r="I32" s="112"/>
    </row>
    <row r="33" spans="1:9" ht="14.25" x14ac:dyDescent="0.2">
      <c r="A33" s="41" t="s">
        <v>58</v>
      </c>
      <c r="B33" s="112">
        <v>28.89</v>
      </c>
      <c r="C33" s="112">
        <v>30.56</v>
      </c>
      <c r="D33" s="112">
        <v>54</v>
      </c>
      <c r="E33" s="112">
        <v>38.94</v>
      </c>
      <c r="F33" s="112">
        <v>66.63</v>
      </c>
      <c r="G33" s="112">
        <v>27.18</v>
      </c>
      <c r="H33" s="112">
        <v>33</v>
      </c>
      <c r="I33" s="112">
        <v>31.29</v>
      </c>
    </row>
    <row r="34" spans="1:9" ht="14.25" x14ac:dyDescent="0.2">
      <c r="A34" s="40" t="s">
        <v>59</v>
      </c>
      <c r="B34" s="117">
        <v>27.49</v>
      </c>
      <c r="C34" s="117">
        <v>31.45</v>
      </c>
      <c r="D34" s="117">
        <v>52.8</v>
      </c>
      <c r="E34" s="117">
        <v>37.450000000000003</v>
      </c>
      <c r="F34" s="117">
        <v>64.8</v>
      </c>
      <c r="G34" s="117">
        <v>26.37</v>
      </c>
      <c r="H34" s="117">
        <v>34.33</v>
      </c>
      <c r="I34" s="117">
        <v>33.56</v>
      </c>
    </row>
    <row r="35" spans="1:9" ht="16.5" x14ac:dyDescent="0.2">
      <c r="A35" s="87" t="s">
        <v>164</v>
      </c>
      <c r="B35" s="124"/>
      <c r="C35" s="124"/>
      <c r="D35" s="124"/>
      <c r="E35" s="124"/>
      <c r="F35" s="124"/>
      <c r="G35" s="124"/>
      <c r="H35" s="124"/>
      <c r="I35" s="124"/>
    </row>
    <row r="36" spans="1:9" ht="16.5" x14ac:dyDescent="0.2">
      <c r="A36" s="41" t="s">
        <v>165</v>
      </c>
      <c r="B36" s="124"/>
      <c r="C36" s="124"/>
      <c r="D36" s="124"/>
      <c r="E36" s="124"/>
      <c r="F36" s="124"/>
      <c r="G36" s="124"/>
      <c r="H36" s="124"/>
      <c r="I36" s="124"/>
    </row>
    <row r="37" spans="1:9" ht="14.25" x14ac:dyDescent="0.2">
      <c r="A37" s="41" t="s">
        <v>155</v>
      </c>
      <c r="B37" s="41"/>
      <c r="C37" s="41"/>
      <c r="D37" s="41"/>
      <c r="E37" s="41"/>
      <c r="F37" s="124"/>
      <c r="G37" s="41"/>
      <c r="H37" s="41"/>
      <c r="I37" s="41"/>
    </row>
    <row r="38" spans="1:9" ht="14.25" x14ac:dyDescent="0.2">
      <c r="A38" s="41" t="s">
        <v>26</v>
      </c>
      <c r="B38" s="79">
        <f ca="1">NOW()</f>
        <v>43447.492243749999</v>
      </c>
      <c r="C38" s="41"/>
      <c r="D38" s="41"/>
      <c r="E38" s="41"/>
      <c r="F38" s="41"/>
      <c r="G38" s="41"/>
      <c r="H38" s="41"/>
      <c r="I38" s="41"/>
    </row>
    <row r="39" spans="1:9" ht="15.75" x14ac:dyDescent="0.25">
      <c r="C39" s="14"/>
      <c r="G39" s="14"/>
      <c r="H39" s="14"/>
      <c r="I39" s="14"/>
    </row>
    <row r="40" spans="1:9" ht="15.75" x14ac:dyDescent="0.25">
      <c r="C40" s="14"/>
      <c r="G40" s="14"/>
      <c r="H40" s="14"/>
      <c r="I40" s="14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H55" s="14"/>
      <c r="I55" s="14"/>
    </row>
    <row r="56" spans="3:9" ht="15.75" x14ac:dyDescent="0.25">
      <c r="C56" s="14"/>
      <c r="H56" s="14"/>
      <c r="I56" s="14"/>
    </row>
    <row r="57" spans="3:9" ht="15.75" x14ac:dyDescent="0.25">
      <c r="C57" s="14"/>
      <c r="F57" s="16"/>
      <c r="H57" s="14"/>
      <c r="I57" s="14"/>
    </row>
    <row r="58" spans="3:9" ht="15.75" x14ac:dyDescent="0.25">
      <c r="F58" s="16"/>
      <c r="H58" s="14"/>
      <c r="I58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0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40" t="s">
        <v>43</v>
      </c>
      <c r="B1" s="40"/>
      <c r="C1" s="40"/>
      <c r="D1" s="40"/>
      <c r="E1" s="40"/>
      <c r="F1" s="40"/>
      <c r="G1" s="40"/>
    </row>
    <row r="2" spans="1:8" ht="15.6" customHeight="1" x14ac:dyDescent="0.2">
      <c r="A2" s="44" t="s">
        <v>15</v>
      </c>
      <c r="B2" s="88" t="s">
        <v>44</v>
      </c>
      <c r="C2" s="125" t="s">
        <v>17</v>
      </c>
      <c r="D2" s="125" t="s">
        <v>89</v>
      </c>
      <c r="E2" s="125" t="s">
        <v>45</v>
      </c>
      <c r="F2" s="88" t="s">
        <v>46</v>
      </c>
      <c r="G2" s="43" t="s">
        <v>47</v>
      </c>
    </row>
    <row r="3" spans="1:8" ht="15.6" customHeight="1" x14ac:dyDescent="0.2">
      <c r="A3" s="40" t="s">
        <v>16</v>
      </c>
      <c r="B3" s="48" t="s">
        <v>156</v>
      </c>
      <c r="C3" s="48" t="s">
        <v>157</v>
      </c>
      <c r="D3" s="48" t="s">
        <v>158</v>
      </c>
      <c r="E3" s="48" t="s">
        <v>159</v>
      </c>
      <c r="F3" s="48" t="s">
        <v>160</v>
      </c>
      <c r="G3" s="48" t="s">
        <v>161</v>
      </c>
    </row>
    <row r="4" spans="1:8" ht="14.25" x14ac:dyDescent="0.2">
      <c r="A4" s="41"/>
      <c r="B4" s="60" t="s">
        <v>109</v>
      </c>
      <c r="C4" s="122"/>
      <c r="D4" s="122"/>
      <c r="E4" s="122"/>
      <c r="F4" s="122"/>
      <c r="G4" s="122"/>
    </row>
    <row r="5" spans="1:8" ht="14.25" x14ac:dyDescent="0.2">
      <c r="A5" s="41"/>
      <c r="B5" s="41"/>
      <c r="C5" s="41"/>
      <c r="D5" s="41"/>
      <c r="E5" s="41"/>
      <c r="F5" s="41"/>
      <c r="G5" s="41"/>
    </row>
    <row r="6" spans="1:8" ht="14.25" x14ac:dyDescent="0.2">
      <c r="A6" s="41" t="s">
        <v>53</v>
      </c>
      <c r="B6" s="112">
        <v>331.17</v>
      </c>
      <c r="C6" s="112">
        <v>255.23</v>
      </c>
      <c r="D6" s="112">
        <v>152.46</v>
      </c>
      <c r="E6" s="126" t="s">
        <v>10</v>
      </c>
      <c r="F6" s="112">
        <v>248.82</v>
      </c>
      <c r="G6" s="112">
        <v>220.89</v>
      </c>
      <c r="H6" s="16"/>
    </row>
    <row r="7" spans="1:8" ht="14.25" x14ac:dyDescent="0.2">
      <c r="A7" s="41" t="s">
        <v>55</v>
      </c>
      <c r="B7" s="112">
        <v>311.27</v>
      </c>
      <c r="C7" s="112">
        <v>220.9</v>
      </c>
      <c r="D7" s="112">
        <v>151.04</v>
      </c>
      <c r="E7" s="126" t="s">
        <v>10</v>
      </c>
      <c r="F7" s="112">
        <v>224.92</v>
      </c>
      <c r="G7" s="112">
        <v>209.23</v>
      </c>
      <c r="H7" s="16"/>
    </row>
    <row r="8" spans="1:8" ht="14.25" x14ac:dyDescent="0.2">
      <c r="A8" s="41" t="s">
        <v>56</v>
      </c>
      <c r="B8" s="112">
        <v>345.52</v>
      </c>
      <c r="C8" s="112">
        <v>273.83999999999997</v>
      </c>
      <c r="D8" s="112">
        <v>219.72</v>
      </c>
      <c r="E8" s="126" t="s">
        <v>10</v>
      </c>
      <c r="F8" s="112">
        <v>263.63</v>
      </c>
      <c r="G8" s="112">
        <v>240.65</v>
      </c>
      <c r="H8" s="16"/>
    </row>
    <row r="9" spans="1:8" ht="14.25" x14ac:dyDescent="0.2">
      <c r="A9" s="41" t="s">
        <v>67</v>
      </c>
      <c r="B9" s="112">
        <v>393.53</v>
      </c>
      <c r="C9" s="112">
        <v>275.13</v>
      </c>
      <c r="D9" s="112">
        <v>246.75</v>
      </c>
      <c r="E9" s="126" t="s">
        <v>10</v>
      </c>
      <c r="F9" s="112">
        <v>307.58999999999997</v>
      </c>
      <c r="G9" s="112">
        <v>265.68</v>
      </c>
      <c r="H9" s="16"/>
    </row>
    <row r="10" spans="1:8" ht="14.25" x14ac:dyDescent="0.2">
      <c r="A10" s="41" t="s">
        <v>91</v>
      </c>
      <c r="B10" s="112">
        <v>468.11</v>
      </c>
      <c r="C10" s="112">
        <v>331.52</v>
      </c>
      <c r="D10" s="112">
        <v>241.57</v>
      </c>
      <c r="E10" s="126" t="s">
        <v>10</v>
      </c>
      <c r="F10" s="112">
        <v>354.22</v>
      </c>
      <c r="G10" s="112">
        <v>329.31</v>
      </c>
      <c r="H10" s="16"/>
    </row>
    <row r="11" spans="1:8" ht="14.25" x14ac:dyDescent="0.2">
      <c r="A11" s="41" t="s">
        <v>99</v>
      </c>
      <c r="B11" s="112">
        <v>489.94</v>
      </c>
      <c r="C11" s="112">
        <v>377.71</v>
      </c>
      <c r="D11" s="112">
        <v>238.87</v>
      </c>
      <c r="E11" s="126" t="s">
        <v>10</v>
      </c>
      <c r="F11" s="112">
        <v>359.7</v>
      </c>
      <c r="G11" s="112">
        <v>337.23</v>
      </c>
      <c r="H11" s="16"/>
    </row>
    <row r="12" spans="1:8" ht="14.25" x14ac:dyDescent="0.2">
      <c r="A12" s="41" t="s">
        <v>102</v>
      </c>
      <c r="B12" s="112">
        <v>368.49</v>
      </c>
      <c r="C12" s="112">
        <v>304.27</v>
      </c>
      <c r="D12" s="112">
        <v>209.97</v>
      </c>
      <c r="E12" s="126" t="s">
        <v>10</v>
      </c>
      <c r="F12" s="112">
        <v>301.2</v>
      </c>
      <c r="G12" s="112">
        <v>256.58</v>
      </c>
      <c r="H12" s="16"/>
    </row>
    <row r="13" spans="1:8" ht="14.25" x14ac:dyDescent="0.2">
      <c r="A13" s="41" t="s">
        <v>103</v>
      </c>
      <c r="B13" s="112">
        <v>324.56</v>
      </c>
      <c r="C13" s="112">
        <v>261.19</v>
      </c>
      <c r="D13" s="112">
        <v>153.16999999999999</v>
      </c>
      <c r="E13" s="126" t="s">
        <v>10</v>
      </c>
      <c r="F13" s="112">
        <v>262.2</v>
      </c>
      <c r="G13" s="112">
        <v>260.23</v>
      </c>
    </row>
    <row r="14" spans="1:8" ht="14.25" x14ac:dyDescent="0.2">
      <c r="A14" s="41" t="s">
        <v>119</v>
      </c>
      <c r="B14" s="112">
        <v>316.88</v>
      </c>
      <c r="C14" s="112">
        <v>208.61</v>
      </c>
      <c r="D14" s="112">
        <v>145.1</v>
      </c>
      <c r="E14" s="126" t="s">
        <v>10</v>
      </c>
      <c r="F14" s="112">
        <v>267.94</v>
      </c>
      <c r="G14" s="112">
        <v>282.49</v>
      </c>
    </row>
    <row r="15" spans="1:8" ht="16.5" x14ac:dyDescent="0.2">
      <c r="A15" s="41" t="s">
        <v>145</v>
      </c>
      <c r="B15" s="112">
        <v>345.02</v>
      </c>
      <c r="C15" s="112">
        <v>260.88</v>
      </c>
      <c r="D15" s="112">
        <v>173.53</v>
      </c>
      <c r="E15" s="126" t="s">
        <v>10</v>
      </c>
      <c r="F15" s="112">
        <v>291.14999999999998</v>
      </c>
      <c r="G15" s="112">
        <v>239.15</v>
      </c>
    </row>
    <row r="16" spans="1:8" ht="16.5" x14ac:dyDescent="0.2">
      <c r="A16" s="41" t="s">
        <v>167</v>
      </c>
      <c r="B16" s="112" t="s">
        <v>171</v>
      </c>
      <c r="C16" s="112" t="s">
        <v>193</v>
      </c>
      <c r="D16" s="136" t="s">
        <v>190</v>
      </c>
      <c r="E16" s="126" t="s">
        <v>10</v>
      </c>
      <c r="F16" s="112" t="s">
        <v>191</v>
      </c>
      <c r="G16" s="112" t="s">
        <v>172</v>
      </c>
    </row>
    <row r="17" spans="1:13" ht="14.25" x14ac:dyDescent="0.2">
      <c r="A17" s="127"/>
      <c r="B17" s="112"/>
      <c r="C17" s="112"/>
      <c r="D17" s="112"/>
      <c r="E17" s="126"/>
      <c r="F17" s="112"/>
      <c r="G17" s="112"/>
      <c r="H17" s="13"/>
    </row>
    <row r="18" spans="1:13" ht="14.25" x14ac:dyDescent="0.2">
      <c r="A18" s="41" t="s">
        <v>121</v>
      </c>
      <c r="B18" s="112"/>
      <c r="C18" s="112"/>
      <c r="D18" s="112"/>
      <c r="E18" s="126"/>
      <c r="F18" s="112"/>
      <c r="G18" s="112"/>
      <c r="H18" s="13"/>
    </row>
    <row r="19" spans="1:13" ht="14.25" x14ac:dyDescent="0.2">
      <c r="A19" s="41" t="s">
        <v>58</v>
      </c>
      <c r="B19" s="112">
        <v>315.23</v>
      </c>
      <c r="C19" s="112">
        <v>229</v>
      </c>
      <c r="D19" s="112">
        <v>153</v>
      </c>
      <c r="E19" s="126" t="s">
        <v>10</v>
      </c>
      <c r="F19" s="112">
        <v>257.73</v>
      </c>
      <c r="G19" s="112">
        <v>214</v>
      </c>
      <c r="H19" s="13"/>
      <c r="I19" s="7"/>
      <c r="J19" s="7"/>
      <c r="K19" s="7"/>
      <c r="L19" s="7"/>
      <c r="M19" s="7"/>
    </row>
    <row r="20" spans="1:13" ht="14.25" x14ac:dyDescent="0.2">
      <c r="A20" s="41" t="s">
        <v>59</v>
      </c>
      <c r="B20" s="112">
        <v>313.52</v>
      </c>
      <c r="C20" s="112">
        <v>228.75</v>
      </c>
      <c r="D20" s="112">
        <v>165</v>
      </c>
      <c r="E20" s="126" t="s">
        <v>10</v>
      </c>
      <c r="F20" s="112">
        <v>255.74</v>
      </c>
      <c r="G20" s="112">
        <v>205</v>
      </c>
      <c r="H20" s="13"/>
      <c r="I20" s="7"/>
      <c r="J20" s="7"/>
      <c r="K20" s="7"/>
      <c r="L20" s="7"/>
      <c r="M20" s="7"/>
    </row>
    <row r="21" spans="1:13" ht="14.25" x14ac:dyDescent="0.2">
      <c r="A21" s="41" t="s">
        <v>60</v>
      </c>
      <c r="B21" s="112">
        <v>319.22000000000003</v>
      </c>
      <c r="C21" s="112">
        <v>232.5</v>
      </c>
      <c r="D21" s="112">
        <v>185</v>
      </c>
      <c r="E21" s="126" t="s">
        <v>10</v>
      </c>
      <c r="F21" s="112">
        <v>266.52999999999997</v>
      </c>
      <c r="G21" s="112">
        <v>209.17</v>
      </c>
      <c r="H21" s="13"/>
    </row>
    <row r="22" spans="1:13" ht="14.25" x14ac:dyDescent="0.2">
      <c r="A22" s="41" t="s">
        <v>61</v>
      </c>
      <c r="B22" s="112">
        <v>322.60000000000002</v>
      </c>
      <c r="C22" s="112">
        <v>259</v>
      </c>
      <c r="D22" s="112">
        <v>178</v>
      </c>
      <c r="E22" s="126" t="s">
        <v>10</v>
      </c>
      <c r="F22" s="112">
        <v>270.2</v>
      </c>
      <c r="G22" s="112">
        <v>215.5</v>
      </c>
      <c r="H22" s="13"/>
    </row>
    <row r="23" spans="1:13" ht="14.25" x14ac:dyDescent="0.2">
      <c r="A23" s="41" t="s">
        <v>62</v>
      </c>
      <c r="B23" s="112">
        <v>362.85</v>
      </c>
      <c r="C23" s="112">
        <v>303.13</v>
      </c>
      <c r="D23" s="112">
        <v>185.63</v>
      </c>
      <c r="E23" s="126" t="s">
        <v>10</v>
      </c>
      <c r="F23" s="112">
        <v>315.95</v>
      </c>
      <c r="G23" s="112">
        <v>233.13</v>
      </c>
      <c r="H23" s="13"/>
    </row>
    <row r="24" spans="1:13" ht="14.25" x14ac:dyDescent="0.2">
      <c r="A24" s="41" t="s">
        <v>63</v>
      </c>
      <c r="B24" s="112">
        <v>379.85</v>
      </c>
      <c r="C24" s="112">
        <v>323.13</v>
      </c>
      <c r="D24" s="112">
        <v>187.5</v>
      </c>
      <c r="E24" s="126" t="s">
        <v>10</v>
      </c>
      <c r="F24" s="112">
        <v>334.58</v>
      </c>
      <c r="G24" s="112">
        <v>237.5</v>
      </c>
      <c r="H24" s="13"/>
    </row>
    <row r="25" spans="1:13" ht="14.25" x14ac:dyDescent="0.2">
      <c r="A25" s="41" t="s">
        <v>64</v>
      </c>
      <c r="B25" s="112">
        <v>385.84</v>
      </c>
      <c r="C25" s="112">
        <v>263.13</v>
      </c>
      <c r="D25" s="112">
        <v>191.88</v>
      </c>
      <c r="E25" s="126" t="s">
        <v>10</v>
      </c>
      <c r="F25" s="112">
        <v>332.16</v>
      </c>
      <c r="G25" s="112">
        <v>238.13</v>
      </c>
      <c r="H25" s="13"/>
    </row>
    <row r="26" spans="1:13" ht="14.25" x14ac:dyDescent="0.2">
      <c r="A26" s="41" t="s">
        <v>65</v>
      </c>
      <c r="B26" s="112">
        <v>393.55</v>
      </c>
      <c r="C26" s="112">
        <v>262.5</v>
      </c>
      <c r="D26" s="112">
        <v>201.5</v>
      </c>
      <c r="E26" s="126" t="s">
        <v>10</v>
      </c>
      <c r="F26" s="112">
        <v>336.93</v>
      </c>
      <c r="G26" s="112">
        <v>267.5</v>
      </c>
      <c r="H26" s="13"/>
    </row>
    <row r="27" spans="1:13" ht="14.25" x14ac:dyDescent="0.2">
      <c r="A27" s="41" t="s">
        <v>66</v>
      </c>
      <c r="B27" s="112">
        <v>355.71</v>
      </c>
      <c r="C27" s="112">
        <v>257.5</v>
      </c>
      <c r="D27" s="112">
        <v>175.63</v>
      </c>
      <c r="E27" s="126" t="s">
        <v>10</v>
      </c>
      <c r="F27" s="112">
        <v>302.75</v>
      </c>
      <c r="G27" s="112">
        <v>271.25</v>
      </c>
      <c r="H27" s="13"/>
    </row>
    <row r="28" spans="1:13" ht="14.25" x14ac:dyDescent="0.2">
      <c r="A28" s="41" t="s">
        <v>68</v>
      </c>
      <c r="B28" s="112">
        <v>341.08</v>
      </c>
      <c r="C28" s="112">
        <v>253.13</v>
      </c>
      <c r="D28" s="112">
        <v>155.5</v>
      </c>
      <c r="E28" s="126" t="s">
        <v>10</v>
      </c>
      <c r="F28" s="112">
        <v>279.83999999999997</v>
      </c>
      <c r="G28" s="112">
        <v>278</v>
      </c>
      <c r="H28" s="13"/>
    </row>
    <row r="29" spans="1:13" ht="14.25" x14ac:dyDescent="0.2">
      <c r="A29" s="41" t="s">
        <v>69</v>
      </c>
      <c r="B29" s="112">
        <v>332.5</v>
      </c>
      <c r="C29" s="112">
        <v>260</v>
      </c>
      <c r="D29" s="112">
        <v>153.13</v>
      </c>
      <c r="E29" s="126" t="s">
        <v>10</v>
      </c>
      <c r="F29" s="112">
        <v>274.55</v>
      </c>
      <c r="G29" s="112">
        <v>265.63</v>
      </c>
      <c r="H29" s="13"/>
    </row>
    <row r="30" spans="1:13" ht="14.25" x14ac:dyDescent="0.2">
      <c r="A30" s="41" t="s">
        <v>71</v>
      </c>
      <c r="B30" s="112">
        <v>318.32</v>
      </c>
      <c r="C30" s="112">
        <v>258.75</v>
      </c>
      <c r="D30" s="112">
        <v>150.63</v>
      </c>
      <c r="E30" s="126" t="s">
        <v>10</v>
      </c>
      <c r="F30" s="112">
        <v>266.86</v>
      </c>
      <c r="G30" s="112">
        <v>235</v>
      </c>
      <c r="H30" s="13"/>
    </row>
    <row r="31" spans="1:13" ht="14.25" x14ac:dyDescent="0.2">
      <c r="A31" s="127"/>
      <c r="B31" s="112"/>
      <c r="C31" s="112"/>
      <c r="D31" s="112"/>
      <c r="E31" s="126"/>
      <c r="F31" s="112"/>
      <c r="G31" s="112"/>
      <c r="I31" s="6"/>
      <c r="J31" s="6"/>
      <c r="K31" s="6"/>
      <c r="L31" s="6"/>
      <c r="M31" s="6"/>
    </row>
    <row r="32" spans="1:13" ht="14.25" x14ac:dyDescent="0.2">
      <c r="A32" s="41" t="s">
        <v>173</v>
      </c>
      <c r="B32" s="112"/>
      <c r="C32" s="112"/>
      <c r="D32" s="112"/>
      <c r="E32" s="126"/>
      <c r="F32" s="112"/>
      <c r="G32" s="112"/>
      <c r="I32" s="6"/>
      <c r="J32" s="6"/>
      <c r="K32" s="6"/>
      <c r="L32" s="6"/>
      <c r="M32" s="6"/>
    </row>
    <row r="33" spans="1:13" ht="14.25" x14ac:dyDescent="0.2">
      <c r="A33" s="41" t="s">
        <v>58</v>
      </c>
      <c r="B33" s="112">
        <v>319.14999999999998</v>
      </c>
      <c r="C33" s="112">
        <v>249</v>
      </c>
      <c r="D33" s="112">
        <v>164</v>
      </c>
      <c r="E33" s="126" t="s">
        <v>10</v>
      </c>
      <c r="F33" s="112">
        <v>279.39999999999998</v>
      </c>
      <c r="G33" s="112">
        <v>196.5</v>
      </c>
      <c r="H33" s="13"/>
    </row>
    <row r="34" spans="1:13" ht="14.25" x14ac:dyDescent="0.2">
      <c r="A34" s="128" t="s">
        <v>59</v>
      </c>
      <c r="B34" s="117">
        <v>310.62</v>
      </c>
      <c r="C34" s="117">
        <v>240</v>
      </c>
      <c r="D34" s="117">
        <v>171.25</v>
      </c>
      <c r="E34" s="129" t="s">
        <v>10</v>
      </c>
      <c r="F34" s="117">
        <v>279.05</v>
      </c>
      <c r="G34" s="117">
        <v>209.38</v>
      </c>
      <c r="I34" s="6"/>
      <c r="J34" s="6"/>
      <c r="K34" s="6"/>
      <c r="L34" s="6"/>
      <c r="M34" s="6"/>
    </row>
    <row r="35" spans="1:13" ht="16.5" x14ac:dyDescent="0.2">
      <c r="A35" s="87" t="s">
        <v>166</v>
      </c>
      <c r="B35" s="130"/>
      <c r="C35" s="130"/>
      <c r="D35" s="130"/>
      <c r="E35" s="130"/>
      <c r="F35" s="130"/>
      <c r="G35" s="130"/>
      <c r="I35" s="11"/>
      <c r="J35" s="6"/>
      <c r="K35" s="6"/>
      <c r="L35" s="6"/>
      <c r="M35" s="6"/>
    </row>
    <row r="36" spans="1:13" ht="16.5" x14ac:dyDescent="0.2">
      <c r="A36" s="87" t="s">
        <v>162</v>
      </c>
      <c r="B36" s="131"/>
      <c r="C36" s="131"/>
      <c r="D36" s="131"/>
      <c r="E36" s="131"/>
      <c r="F36" s="131"/>
      <c r="G36" s="131"/>
      <c r="I36" s="11"/>
      <c r="J36" s="6"/>
      <c r="K36" s="6"/>
      <c r="L36" s="6"/>
      <c r="M36" s="6"/>
    </row>
    <row r="37" spans="1:13" ht="14.25" x14ac:dyDescent="0.2">
      <c r="A37" s="41" t="s">
        <v>90</v>
      </c>
      <c r="B37" s="131"/>
      <c r="C37" s="131"/>
      <c r="D37" s="131"/>
      <c r="E37" s="131"/>
      <c r="F37" s="131"/>
      <c r="G37" s="131"/>
      <c r="H37" s="1"/>
      <c r="I37" s="11"/>
      <c r="J37" s="6"/>
      <c r="K37" s="6"/>
      <c r="L37" s="6"/>
      <c r="M37" s="6"/>
    </row>
    <row r="38" spans="1:13" ht="14.25" x14ac:dyDescent="0.2">
      <c r="A38" s="41" t="s">
        <v>163</v>
      </c>
      <c r="B38" s="41"/>
      <c r="C38" s="41"/>
      <c r="D38" s="41"/>
      <c r="E38" s="41"/>
      <c r="F38" s="41"/>
      <c r="G38" s="41"/>
      <c r="I38" s="11"/>
      <c r="J38" s="6"/>
      <c r="K38" s="6"/>
      <c r="L38" s="6"/>
      <c r="M38" s="6"/>
    </row>
    <row r="39" spans="1:13" ht="14.25" x14ac:dyDescent="0.2">
      <c r="A39" s="41" t="s">
        <v>26</v>
      </c>
      <c r="B39" s="79">
        <f ca="1">NOW()</f>
        <v>43447.492243749999</v>
      </c>
      <c r="C39" s="41"/>
      <c r="D39" s="41"/>
      <c r="E39" s="41"/>
      <c r="F39" s="41"/>
      <c r="G39" s="41"/>
      <c r="I39" s="12"/>
      <c r="J39" s="8"/>
      <c r="K39" s="8"/>
      <c r="L39" s="8"/>
      <c r="M39" s="8"/>
    </row>
    <row r="40" spans="1:13" ht="15.75" x14ac:dyDescent="0.25">
      <c r="F40" s="14"/>
      <c r="I40" s="12"/>
      <c r="J40" s="8"/>
      <c r="K40" s="8"/>
      <c r="L40" s="8"/>
      <c r="M40" s="8"/>
    </row>
    <row r="41" spans="1:13" x14ac:dyDescent="0.2">
      <c r="I41" s="11"/>
      <c r="J41" s="11"/>
      <c r="K41" s="6"/>
      <c r="L41" s="6"/>
      <c r="M41" s="6"/>
    </row>
    <row r="42" spans="1:13" x14ac:dyDescent="0.2">
      <c r="I42" s="11"/>
      <c r="J42" s="11"/>
      <c r="K42" s="6"/>
      <c r="L42" s="6"/>
      <c r="M42" s="6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8" spans="1:13" x14ac:dyDescent="0.2">
      <c r="I48" s="9"/>
      <c r="J48" s="9"/>
      <c r="K48" s="9"/>
      <c r="L48" s="9"/>
      <c r="M48" s="9"/>
    </row>
    <row r="49" spans="9:13" x14ac:dyDescent="0.2">
      <c r="I49" s="9"/>
      <c r="J49" s="9"/>
      <c r="K49" s="9"/>
      <c r="L49" s="9"/>
      <c r="M49" s="9"/>
    </row>
    <row r="50" spans="9:13" x14ac:dyDescent="0.2">
      <c r="J50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9"/>
  <sheetViews>
    <sheetView zoomScale="110" zoomScaleNormal="110" workbookViewId="0">
      <selection activeCell="G28" sqref="G28"/>
    </sheetView>
  </sheetViews>
  <sheetFormatPr defaultRowHeight="12.75" x14ac:dyDescent="0.2"/>
  <cols>
    <col min="1" max="1" width="10.5703125" customWidth="1"/>
    <col min="2" max="3" width="9.7109375" customWidth="1"/>
    <col min="4" max="5" width="8.7109375" customWidth="1"/>
    <col min="6" max="11" width="10.5703125" customWidth="1"/>
  </cols>
  <sheetData>
    <row r="1" spans="1:9" x14ac:dyDescent="0.2">
      <c r="A1" s="151" t="s">
        <v>183</v>
      </c>
      <c r="B1" s="137"/>
      <c r="C1" s="137"/>
      <c r="D1" s="137"/>
      <c r="F1" s="10"/>
      <c r="G1" s="21"/>
    </row>
    <row r="2" spans="1:9" ht="14.25" x14ac:dyDescent="0.2">
      <c r="A2" t="s">
        <v>184</v>
      </c>
      <c r="B2" s="41" t="s">
        <v>180</v>
      </c>
      <c r="C2" s="41" t="s">
        <v>181</v>
      </c>
      <c r="D2" s="149"/>
    </row>
    <row r="3" spans="1:9" x14ac:dyDescent="0.2">
      <c r="B3" s="150" t="s">
        <v>182</v>
      </c>
      <c r="D3" s="10"/>
    </row>
    <row r="4" spans="1:9" x14ac:dyDescent="0.2">
      <c r="A4" s="155">
        <v>42644</v>
      </c>
      <c r="B4" s="20">
        <v>11.313574300000001</v>
      </c>
      <c r="C4" s="20">
        <v>0.99819153500000002</v>
      </c>
      <c r="D4" s="154"/>
      <c r="F4" s="22"/>
      <c r="G4" s="24"/>
    </row>
    <row r="5" spans="1:9" x14ac:dyDescent="0.2">
      <c r="A5" s="155">
        <v>42675</v>
      </c>
      <c r="B5" s="20">
        <v>10.298568</v>
      </c>
      <c r="C5" s="20">
        <v>0.31609430500000002</v>
      </c>
      <c r="D5" s="154"/>
      <c r="F5" s="22"/>
      <c r="G5" s="24"/>
    </row>
    <row r="6" spans="1:9" x14ac:dyDescent="0.2">
      <c r="A6" s="155">
        <v>42705</v>
      </c>
      <c r="B6" s="20">
        <v>7.9201182000000001</v>
      </c>
      <c r="C6" s="20">
        <v>0.65309839299999994</v>
      </c>
      <c r="D6" s="154"/>
      <c r="F6" s="22"/>
      <c r="G6" s="24"/>
    </row>
    <row r="7" spans="1:9" x14ac:dyDescent="0.2">
      <c r="A7" s="155">
        <v>42736</v>
      </c>
      <c r="B7" s="20">
        <v>7.4229987999999993</v>
      </c>
      <c r="C7" s="20">
        <v>0.91182694900000005</v>
      </c>
      <c r="D7" s="154"/>
      <c r="F7" s="22"/>
      <c r="G7" s="24"/>
    </row>
    <row r="8" spans="1:9" x14ac:dyDescent="0.2">
      <c r="A8" s="155">
        <v>42767</v>
      </c>
      <c r="B8" s="20">
        <v>4.4160457000000006</v>
      </c>
      <c r="C8" s="20">
        <v>3.5094472720000001</v>
      </c>
      <c r="D8" s="154"/>
      <c r="F8" s="22"/>
      <c r="G8" s="24"/>
    </row>
    <row r="9" spans="1:9" x14ac:dyDescent="0.2">
      <c r="A9" s="155">
        <v>42795</v>
      </c>
      <c r="B9" s="20">
        <v>3.1206011000000005</v>
      </c>
      <c r="C9" s="20">
        <v>8.9791274420000011</v>
      </c>
      <c r="D9" s="154"/>
      <c r="E9" s="24"/>
      <c r="F9" s="22"/>
      <c r="G9" s="24"/>
    </row>
    <row r="10" spans="1:9" x14ac:dyDescent="0.2">
      <c r="A10" s="155">
        <v>42826</v>
      </c>
      <c r="B10" s="20">
        <v>2.4325142</v>
      </c>
      <c r="C10" s="20">
        <v>10.432129072</v>
      </c>
      <c r="D10" s="154"/>
      <c r="E10" s="24"/>
      <c r="F10" s="22"/>
      <c r="G10" s="24"/>
    </row>
    <row r="11" spans="1:9" x14ac:dyDescent="0.2">
      <c r="A11" s="155">
        <v>42856</v>
      </c>
      <c r="B11" s="20">
        <v>1.4499701</v>
      </c>
      <c r="C11" s="20">
        <v>10.959858431000001</v>
      </c>
      <c r="D11" s="154"/>
      <c r="E11" s="24"/>
      <c r="F11" s="22"/>
    </row>
    <row r="12" spans="1:9" x14ac:dyDescent="0.2">
      <c r="A12" s="155">
        <v>42887</v>
      </c>
      <c r="B12" s="20">
        <v>1.7954512999999999</v>
      </c>
      <c r="C12" s="24">
        <v>9.1970208000000007</v>
      </c>
      <c r="D12" s="154"/>
      <c r="E12" s="24"/>
      <c r="F12" s="22"/>
    </row>
    <row r="13" spans="1:9" x14ac:dyDescent="0.2">
      <c r="A13" s="155">
        <v>42917</v>
      </c>
      <c r="B13" s="24">
        <v>2.2629627000000001</v>
      </c>
      <c r="C13" s="24">
        <v>6.9552204370000004</v>
      </c>
      <c r="D13" s="154"/>
      <c r="E13" s="24"/>
      <c r="F13" s="22"/>
    </row>
    <row r="14" spans="1:9" x14ac:dyDescent="0.2">
      <c r="A14" s="155">
        <v>42948</v>
      </c>
      <c r="B14" s="24">
        <v>3.0762605999999999</v>
      </c>
      <c r="C14" s="24">
        <v>5.9524113060000001</v>
      </c>
      <c r="D14" s="154"/>
      <c r="E14" s="24"/>
      <c r="F14" s="22"/>
    </row>
    <row r="15" spans="1:9" x14ac:dyDescent="0.2">
      <c r="A15" s="155">
        <v>42979</v>
      </c>
      <c r="B15" s="24">
        <v>4.4654433999999998</v>
      </c>
      <c r="C15" s="24">
        <v>4.2724629279999995</v>
      </c>
      <c r="D15" s="154"/>
      <c r="E15" s="24"/>
    </row>
    <row r="16" spans="1:9" x14ac:dyDescent="0.2">
      <c r="A16" s="155">
        <v>43009</v>
      </c>
      <c r="B16" s="24">
        <v>9.6454791000000011</v>
      </c>
      <c r="C16" s="24">
        <v>2.4869381260000001</v>
      </c>
      <c r="D16" s="154"/>
      <c r="G16" s="20"/>
      <c r="H16" s="20"/>
      <c r="I16" s="20"/>
    </row>
    <row r="17" spans="1:8" x14ac:dyDescent="0.2">
      <c r="A17" s="155">
        <v>43040</v>
      </c>
      <c r="B17" s="24">
        <v>9.1891700000000007</v>
      </c>
      <c r="C17" s="24">
        <v>2.1427293779999999</v>
      </c>
      <c r="D17" s="154"/>
      <c r="G17" s="13"/>
      <c r="H17" s="13"/>
    </row>
    <row r="18" spans="1:8" x14ac:dyDescent="0.2">
      <c r="A18" s="155">
        <v>43070</v>
      </c>
      <c r="B18" s="24">
        <v>6.2222410999999989</v>
      </c>
      <c r="C18" s="24">
        <v>2.3556365709999998</v>
      </c>
      <c r="D18" s="154"/>
      <c r="E18" s="22"/>
      <c r="F18" s="22"/>
      <c r="G18" s="13"/>
      <c r="H18" s="13"/>
    </row>
    <row r="19" spans="1:8" x14ac:dyDescent="0.2">
      <c r="A19" s="155">
        <v>43101</v>
      </c>
      <c r="B19" s="24">
        <v>5.7628567999999998</v>
      </c>
      <c r="C19" s="24">
        <v>1.563589001</v>
      </c>
      <c r="D19" s="154"/>
      <c r="E19" s="9"/>
      <c r="F19" s="22"/>
      <c r="G19" s="13"/>
      <c r="H19" s="13"/>
    </row>
    <row r="20" spans="1:8" x14ac:dyDescent="0.2">
      <c r="A20" s="155">
        <v>43132</v>
      </c>
      <c r="B20" s="24">
        <v>4.2128249999999996</v>
      </c>
      <c r="C20" s="24">
        <v>2.8642527229999999</v>
      </c>
      <c r="D20" s="154"/>
      <c r="E20" s="9"/>
      <c r="F20" s="22"/>
      <c r="G20" s="13"/>
      <c r="H20" s="13"/>
    </row>
    <row r="21" spans="1:8" x14ac:dyDescent="0.2">
      <c r="A21" s="155">
        <v>43160</v>
      </c>
      <c r="B21" s="24">
        <v>3.2385679000000001</v>
      </c>
      <c r="C21" s="24">
        <v>8.8137597729999992</v>
      </c>
      <c r="D21" s="154"/>
      <c r="E21" s="9"/>
      <c r="F21" s="22"/>
      <c r="G21" s="13"/>
      <c r="H21" s="13"/>
    </row>
    <row r="22" spans="1:8" x14ac:dyDescent="0.2">
      <c r="A22" s="155">
        <v>43191</v>
      </c>
      <c r="B22" s="24">
        <v>2.1673659999999999</v>
      </c>
      <c r="C22" s="24">
        <v>10.258699613999999</v>
      </c>
      <c r="D22" s="154"/>
      <c r="E22" s="9"/>
      <c r="F22" s="22"/>
      <c r="G22" s="13"/>
      <c r="H22" s="13"/>
    </row>
    <row r="23" spans="1:8" x14ac:dyDescent="0.2">
      <c r="A23" s="155">
        <v>43221</v>
      </c>
      <c r="B23" s="9">
        <v>2.9907947999999998</v>
      </c>
      <c r="C23" s="9">
        <v>12.353479438000001</v>
      </c>
      <c r="D23" s="154"/>
      <c r="E23" s="9"/>
      <c r="F23" s="22"/>
      <c r="G23" s="13"/>
      <c r="H23" s="13"/>
    </row>
    <row r="24" spans="1:8" x14ac:dyDescent="0.2">
      <c r="A24" s="155">
        <v>43252</v>
      </c>
      <c r="B24" s="9">
        <v>3.2557830999999999</v>
      </c>
      <c r="C24" s="9">
        <v>10.420130276</v>
      </c>
      <c r="D24" s="154"/>
      <c r="E24" s="9"/>
      <c r="F24" s="22"/>
      <c r="G24" s="13"/>
      <c r="H24" s="13"/>
    </row>
    <row r="25" spans="1:8" x14ac:dyDescent="0.2">
      <c r="A25" s="155">
        <v>43282</v>
      </c>
      <c r="B25" s="9">
        <v>3.4266052</v>
      </c>
      <c r="C25" s="9">
        <v>10.198036004</v>
      </c>
      <c r="D25" s="154"/>
      <c r="E25" s="9"/>
      <c r="F25" s="22"/>
      <c r="G25" s="13"/>
      <c r="H25" s="13"/>
    </row>
    <row r="26" spans="1:8" x14ac:dyDescent="0.2">
      <c r="A26" s="155">
        <v>43313</v>
      </c>
      <c r="B26" s="9">
        <v>3.3675098999999999</v>
      </c>
      <c r="C26" s="9">
        <v>8.1252288230000005</v>
      </c>
      <c r="D26" s="154"/>
      <c r="E26" s="9"/>
      <c r="F26" s="22"/>
      <c r="G26" s="13"/>
      <c r="H26" s="13"/>
    </row>
    <row r="27" spans="1:8" x14ac:dyDescent="0.2">
      <c r="A27" s="155">
        <v>43344</v>
      </c>
      <c r="B27" s="9">
        <v>3.2373094</v>
      </c>
      <c r="C27" s="9">
        <v>4.6108046680000001</v>
      </c>
      <c r="D27" s="154"/>
      <c r="E27" s="9"/>
      <c r="F27" s="22"/>
      <c r="G27" s="13"/>
      <c r="H27" s="13"/>
    </row>
    <row r="28" spans="1:8" x14ac:dyDescent="0.2">
      <c r="A28" s="155">
        <v>43374</v>
      </c>
      <c r="B28" s="9">
        <v>5.5801458820000001</v>
      </c>
      <c r="C28" s="9">
        <v>5.3533869709999999</v>
      </c>
      <c r="D28" s="154"/>
      <c r="E28" s="9"/>
      <c r="F28" s="22"/>
      <c r="G28" s="13"/>
      <c r="H28" s="13"/>
    </row>
    <row r="29" spans="1:8" x14ac:dyDescent="0.2">
      <c r="A29" s="155">
        <v>43405</v>
      </c>
      <c r="B29" s="9">
        <v>4.5283600000000002</v>
      </c>
      <c r="C29" s="9">
        <v>5.0715680329999993</v>
      </c>
      <c r="D29" s="154"/>
      <c r="E29" s="9"/>
      <c r="F29" s="22"/>
    </row>
    <row r="30" spans="1:8" x14ac:dyDescent="0.2">
      <c r="A30" s="19"/>
      <c r="B30" s="9"/>
      <c r="C30" s="9"/>
      <c r="D30" s="9"/>
      <c r="E30" s="9"/>
      <c r="F30" s="22"/>
    </row>
    <row r="31" spans="1:8" x14ac:dyDescent="0.2">
      <c r="A31" s="19"/>
      <c r="B31" s="9"/>
      <c r="C31" s="22"/>
      <c r="D31" s="22"/>
      <c r="E31" s="22"/>
      <c r="F31" s="22"/>
    </row>
    <row r="32" spans="1:8" x14ac:dyDescent="0.2">
      <c r="A32" s="19"/>
      <c r="B32" s="22"/>
      <c r="C32" s="22"/>
      <c r="D32" s="22"/>
      <c r="E32" s="22"/>
      <c r="F32" s="22"/>
    </row>
    <row r="33" spans="1:6" x14ac:dyDescent="0.2">
      <c r="A33" s="19"/>
      <c r="B33" s="22"/>
      <c r="C33" s="22"/>
      <c r="D33" s="22"/>
      <c r="E33" s="22"/>
      <c r="F33" s="22"/>
    </row>
    <row r="34" spans="1:6" x14ac:dyDescent="0.2">
      <c r="A34" s="19"/>
      <c r="B34" s="19"/>
      <c r="C34" s="13"/>
      <c r="D34" s="13"/>
      <c r="E34" s="13"/>
    </row>
    <row r="35" spans="1:6" x14ac:dyDescent="0.2">
      <c r="A35" s="19"/>
      <c r="B35" s="19"/>
      <c r="C35" s="13"/>
      <c r="D35" s="13"/>
      <c r="E35" s="13"/>
    </row>
    <row r="36" spans="1:6" x14ac:dyDescent="0.2">
      <c r="A36" s="19"/>
      <c r="B36" s="19"/>
      <c r="C36" s="13"/>
      <c r="D36" s="13"/>
      <c r="E36" s="13"/>
    </row>
    <row r="37" spans="1:6" x14ac:dyDescent="0.2">
      <c r="A37" s="19"/>
      <c r="B37" s="19"/>
      <c r="C37" s="13"/>
      <c r="D37" s="13"/>
      <c r="E37" s="13"/>
    </row>
    <row r="38" spans="1:6" x14ac:dyDescent="0.2">
      <c r="A38" s="19"/>
      <c r="B38" s="19"/>
      <c r="C38" s="13"/>
      <c r="D38" s="13"/>
      <c r="E38" s="13"/>
    </row>
    <row r="39" spans="1:6" x14ac:dyDescent="0.2">
      <c r="A39" s="19"/>
      <c r="B39" s="19"/>
      <c r="C39" s="13"/>
      <c r="D39" s="13"/>
      <c r="E39" s="13"/>
    </row>
    <row r="40" spans="1:6" x14ac:dyDescent="0.2">
      <c r="A40" s="19"/>
      <c r="B40" s="19"/>
      <c r="C40" s="13"/>
      <c r="D40" s="13"/>
      <c r="E40" s="13"/>
    </row>
    <row r="41" spans="1:6" x14ac:dyDescent="0.2">
      <c r="A41" s="19"/>
      <c r="B41" s="19"/>
      <c r="C41" s="13"/>
      <c r="D41" s="13"/>
      <c r="E41" s="13"/>
    </row>
    <row r="42" spans="1:6" x14ac:dyDescent="0.2">
      <c r="A42" s="19"/>
      <c r="B42" s="19"/>
      <c r="C42" s="13"/>
      <c r="D42" s="13"/>
      <c r="E42" s="13"/>
    </row>
    <row r="43" spans="1:6" x14ac:dyDescent="0.2">
      <c r="A43" s="19"/>
      <c r="B43" s="19"/>
      <c r="C43" s="13"/>
      <c r="D43" s="13"/>
      <c r="E43" s="13"/>
    </row>
    <row r="44" spans="1:6" x14ac:dyDescent="0.2">
      <c r="A44" s="19"/>
      <c r="B44" s="19"/>
      <c r="C44" s="13"/>
      <c r="D44" s="13"/>
      <c r="E44" s="13"/>
    </row>
    <row r="45" spans="1:6" x14ac:dyDescent="0.2">
      <c r="A45" s="19"/>
      <c r="B45" s="19"/>
      <c r="C45" s="18"/>
      <c r="D45" s="18"/>
      <c r="E45" s="18"/>
    </row>
    <row r="46" spans="1:6" x14ac:dyDescent="0.2">
      <c r="A46" s="19"/>
      <c r="B46" s="19"/>
      <c r="C46" s="18"/>
      <c r="D46" s="18"/>
      <c r="E46" s="18"/>
    </row>
    <row r="47" spans="1:6" x14ac:dyDescent="0.2">
      <c r="A47" s="19"/>
      <c r="B47" s="19"/>
      <c r="C47" s="18"/>
      <c r="D47" s="18"/>
      <c r="E47" s="18"/>
    </row>
    <row r="48" spans="1:6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OCS-18l, December 2018</cp:keywords>
  <dc:description>mash@ers.usda.gov</dc:description>
  <cp:lastModifiedBy>Meade, Birgit - ERS</cp:lastModifiedBy>
  <cp:lastPrinted>2014-11-10T20:35:48Z</cp:lastPrinted>
  <dcterms:created xsi:type="dcterms:W3CDTF">2001-11-13T16:22:15Z</dcterms:created>
  <dcterms:modified xsi:type="dcterms:W3CDTF">2018-12-13T16:48:49Z</dcterms:modified>
  <cp:category>Oilseeds</cp:category>
</cp:coreProperties>
</file>