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8730" windowHeight="9120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1'!$A$1:$N$41</definedName>
    <definedName name="_xlnm.Print_Area" localSheetId="7">'Table 10'!$A$1:$G$37</definedName>
    <definedName name="_xlnm.Print_Area" localSheetId="2">'Table 2'!$A$1:$J$41</definedName>
    <definedName name="_xlnm.Print_Area" localSheetId="3">'Table 3'!$A$1:$M$43</definedName>
    <definedName name="_xlnm.Print_Area" localSheetId="5">'Table 8'!$A$1:$G$36</definedName>
    <definedName name="_xlnm.Print_Area" localSheetId="6">'Table 9'!$A$1:$I$37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<sst xmlns="http://schemas.openxmlformats.org/spreadsheetml/2006/main" count="509" uniqueCount="200">
  <si>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</si>
  <si>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</si>
  <si>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</si>
  <si>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</si>
  <si>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</si>
  <si>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</si>
  <si>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</si>
  <si>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</si>
  <si>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</si>
  <si>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</si>
  <si>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</si>
  <si>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</si>
  <si>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</si>
  <si>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</si>
  <si>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</si>
  <si>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</si>
  <si>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</si>
  <si>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</si>
  <si>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</si>
  <si>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</si>
  <si>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</si>
  <si>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</si>
  <si>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</si>
  <si>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</si>
  <si>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</si>
  <si>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</si>
  <si>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</si>
  <si>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</si>
  <si>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</si>
  <si>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</si>
  <si>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</si>
  <si>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</si>
  <si>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</si>
  <si>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</si>
  <si>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</si>
  <si>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</si>
  <si>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</si>
  <si>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</si>
  <si>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</si>
  <si>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</si>
  <si>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</si>
  <si>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</si>
  <si>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</si>
  <si>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</si>
  <si>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</si>
  <si>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</si>
  <si>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</si>
  <si>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</si>
  <si>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</si>
  <si>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</si>
  <si>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</si>
  <si>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</si>
  <si>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</si>
  <si>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</si>
  <si>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</si>
  <si>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</si>
  <si>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</si>
  <si>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</si>
  <si>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</si>
  <si>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</si>
  <si>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</si>
  <si>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</si>
  <si>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</si>
  <si>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</si>
  <si>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</si>
  <si>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</si>
  <si>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</si>
  <si>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</si>
  <si>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</si>
  <si>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</si>
  <si>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</si>
  <si>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</si>
  <si>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</si>
  <si>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</si>
  <si>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</si>
  <si>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</si>
  <si>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</si>
  <si>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</si>
  <si>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</si>
  <si>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</si>
  <si>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</si>
  <si>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</si>
  <si>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</si>
  <si>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</si>
  <si>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</si>
  <si>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</si>
  <si>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</si>
  <si>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</si>
  <si>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</si>
  <si>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</si>
  <si>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</si>
  <si>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</si>
  <si>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</si>
  <si>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</si>
  <si>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</si>
  <si>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</si>
  <si>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</si>
  <si>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</si>
  <si>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</si>
  <si>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</si>
  <si>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</si>
  <si>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</si>
  <si>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</si>
  <si>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</si>
  <si>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</si>
  <si>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</si>
  <si>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</si>
  <si>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</si>
  <si>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</si>
  <si>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</si>
  <si>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</si>
  <si>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</si>
  <si>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</si>
  <si>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</si>
  <si>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</si>
  <si>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</si>
  <si>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</si>
  <si>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</si>
  <si>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</si>
  <si>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</si>
  <si>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</si>
  <si>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</si>
  <si>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</si>
  <si>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</si>
  <si>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</si>
  <si>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</si>
  <si>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</si>
  <si>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</si>
  <si>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</si>
  <si>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</si>
  <si>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</si>
  <si>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</si>
  <si>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</si>
  <si>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</si>
  <si>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</si>
  <si>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</si>
  <si>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</si>
  <si>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</si>
  <si>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</si>
  <si>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</si>
  <si>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</si>
  <si>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</si>
  <si>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</si>
  <si>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</si>
  <si>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</si>
  <si>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</si>
  <si>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</si>
  <si>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</si>
  <si>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</si>
  <si>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</si>
  <si>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</si>
  <si>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</si>
  <si>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</si>
  <si>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</si>
  <si>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</si>
  <si>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</si>
  <si>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</si>
  <si>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</si>
  <si>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</si>
  <si>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</si>
  <si>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</si>
  <si>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</si>
  <si>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</si>
  <si>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</si>
  <si>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</si>
  <si>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</si>
  <si>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</si>
  <si>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</si>
  <si>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</si>
  <si>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</si>
  <si>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</si>
  <si>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</si>
  <si>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18.10-20.90</t>
  </si>
  <si>
    <t>195-235</t>
  </si>
  <si>
    <t>41.5-45.5</t>
  </si>
  <si>
    <t>54.5-58.5</t>
  </si>
  <si>
    <t>38.5-42.5</t>
  </si>
  <si>
    <t>64.5-68.5</t>
  </si>
  <si>
    <t>36.5-40.5</t>
  </si>
  <si>
    <t>34.0-38.0</t>
  </si>
  <si>
    <t>33.5-37.5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</si>
  <si>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</si>
  <si>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</si>
  <si>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</si>
  <si>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</si>
  <si>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</si>
  <si>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215-255</t>
  </si>
  <si>
    <t>135-175</t>
  </si>
  <si>
    <t>240-280</t>
  </si>
  <si>
    <t>8.45-10.15</t>
  </si>
  <si>
    <t>15.65-18.45</t>
  </si>
  <si>
    <t>16.40-19.20</t>
  </si>
  <si>
    <t>7.90-9.60</t>
  </si>
  <si>
    <t>imports</t>
  </si>
  <si>
    <t>China</t>
  </si>
  <si>
    <t>soybean</t>
  </si>
  <si>
    <t>soybean meal</t>
  </si>
  <si>
    <t>consumption</t>
  </si>
  <si>
    <t>Peanuts</t>
  </si>
  <si>
    <t>Yield (right axis)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</si>
</sst>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0" xfId="42" applyNumberFormat="1" applyFont="1" applyAlignment="1">
      <alignment horizontal="left"/>
    </xf>
    <xf numFmtId="174" fontId="4" fillId="0" borderId="0" xfId="42" applyNumberFormat="1" applyFont="1" applyBorder="1" applyAlignment="1">
      <alignment horizontal="left" indent="1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66" fontId="4" fillId="0" borderId="0" xfId="42" applyNumberFormat="1" applyFont="1" applyBorder="1" applyAlignment="1" quotePrefix="1">
      <alignment horizontal="center"/>
    </xf>
    <xf numFmtId="17" fontId="4" fillId="0" borderId="0" xfId="0" applyNumberFormat="1" applyFont="1" applyAlignment="1">
      <alignment/>
    </xf>
    <xf numFmtId="212" fontId="0" fillId="0" borderId="0" xfId="42" applyNumberFormat="1" applyFont="1" applyAlignment="1" applyProtection="1">
      <alignment/>
      <protection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212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Record acreage and high yields raise U.S. peanut harvest to an all-time high         </a:t>
            </a:r>
          </a:p>
        </c:rich>
      </c:tx>
      <c:layout>
        <c:manualLayout>
          <c:xMode val="factor"/>
          <c:yMode val="factor"/>
          <c:x val="-0.1037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275"/>
          <c:w val="0.87825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1'!$A$3:$A$10</c:f>
              <c:strCache/>
            </c:strRef>
          </c:cat>
          <c:val>
            <c:numRef>
              <c:f>'Oil Crops Chart Gallery Fig 1'!$B$3:$B$10</c:f>
              <c:numCache/>
            </c:numRef>
          </c:val>
        </c:ser>
        <c:axId val="6174133"/>
        <c:axId val="55567198"/>
      </c:barChart>
      <c:lineChart>
        <c:grouping val="standard"/>
        <c:varyColors val="0"/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1'!$A$3:$A$10</c:f>
              <c:strCache/>
            </c:strRef>
          </c:cat>
          <c:val>
            <c:numRef>
              <c:f>'Oil Crops Chart Gallery Fig 1'!$C$3:$C$10</c:f>
              <c:numCache/>
            </c:numRef>
          </c:val>
          <c:smooth val="0"/>
        </c:ser>
        <c:axId val="30342735"/>
        <c:axId val="4649160"/>
      </c:lineChart>
      <c:catAx>
        <c:axId val="617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Energy Information Agency, U.S. Department of Energy,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Biodiesel Bulletin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567198"/>
        <c:crosses val="autoZero"/>
        <c:auto val="1"/>
        <c:lblOffset val="100"/>
        <c:tickLblSkip val="1"/>
        <c:noMultiLvlLbl val="0"/>
      </c:catAx>
      <c:valAx>
        <c:axId val="55567198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174133"/>
        <c:crossesAt val="1"/>
        <c:crossBetween val="between"/>
        <c:dispUnits/>
        <c:majorUnit val="1000"/>
      </c:valAx>
      <c:catAx>
        <c:axId val="30342735"/>
        <c:scaling>
          <c:orientation val="minMax"/>
        </c:scaling>
        <c:axPos val="b"/>
        <c:delete val="1"/>
        <c:majorTickMark val="out"/>
        <c:minorTickMark val="none"/>
        <c:tickLblPos val="nextTo"/>
        <c:crossAx val="4649160"/>
        <c:crosses val="autoZero"/>
        <c:auto val="1"/>
        <c:lblOffset val="100"/>
        <c:tickLblSkip val="1"/>
        <c:noMultiLvlLbl val="0"/>
      </c:catAx>
      <c:valAx>
        <c:axId val="4649160"/>
        <c:scaling>
          <c:orientation val="minMax"/>
          <c:max val="45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Pounds/acre</a:t>
                </a:r>
              </a:p>
            </c:rich>
          </c:tx>
          <c:layout>
            <c:manualLayout>
              <c:xMode val="factor"/>
              <c:yMode val="factor"/>
              <c:x val="0.04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0342735"/>
        <c:crosses val="max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"/>
          <c:y val="0.20175"/>
          <c:w val="0.16175"/>
          <c:h val="0.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China's soybean imports propelled by growth in soybean meal consumption  </a:t>
            </a:r>
          </a:p>
        </c:rich>
      </c:tx>
      <c:layout>
        <c:manualLayout>
          <c:xMode val="factor"/>
          <c:yMode val="factor"/>
          <c:x val="-0.106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2'!$B$1:$B$2</c:f>
              <c:strCache>
                <c:ptCount val="1"/>
                <c:pt idx="0">
                  <c:v>soybean imports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ser>
          <c:idx val="1"/>
          <c:order val="1"/>
          <c:tx>
            <c:strRef>
              <c:f>'Oil Crops Chart Gallery Fig 2'!$C$1:$C$2</c:f>
              <c:strCache>
                <c:ptCount val="1"/>
                <c:pt idx="0">
                  <c:v>soybean meal consumption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</c:ser>
        <c:axId val="41842441"/>
        <c:axId val="41037650"/>
      </c:barChart>
      <c:catAx>
        <c:axId val="41842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37650"/>
        <c:crosses val="autoZero"/>
        <c:auto val="1"/>
        <c:lblOffset val="100"/>
        <c:tickLblSkip val="1"/>
        <c:noMultiLvlLbl val="0"/>
      </c:catAx>
      <c:valAx>
        <c:axId val="4103765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1842441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20625"/>
          <c:w val="0.223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38100</xdr:rowOff>
    </xdr:from>
    <xdr:to>
      <xdr:col>14</xdr:col>
      <xdr:colOff>571500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600325" y="38100"/>
        <a:ext cx="69818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42" customWidth="1"/>
    <col min="2" max="16384" width="9.7109375" style="134" customWidth="1"/>
  </cols>
  <sheetData>
    <row r="1" ht="44.25" customHeight="1">
      <c r="A1" s="133"/>
    </row>
    <row r="2" ht="18">
      <c r="A2" s="135" t="s">
        <v>181</v>
      </c>
    </row>
    <row r="3" s="137" customFormat="1" ht="11.25">
      <c r="A3" s="136"/>
    </row>
    <row r="4" ht="12.75">
      <c r="A4" s="138" t="s">
        <v>182</v>
      </c>
    </row>
    <row r="5" spans="1:2" ht="12.75">
      <c r="A5" s="146">
        <f ca="1">TODAY()</f>
        <v>43052</v>
      </c>
      <c r="B5" s="139"/>
    </row>
    <row r="6" spans="1:3" s="137" customFormat="1" ht="12.75">
      <c r="A6" s="136"/>
      <c r="B6" s="139"/>
      <c r="C6" s="140"/>
    </row>
    <row r="7" spans="1:3" ht="12.75">
      <c r="A7" s="145" t="s">
        <v>89</v>
      </c>
      <c r="B7" s="141"/>
      <c r="C7" s="137"/>
    </row>
    <row r="8" spans="1:2" ht="12.75">
      <c r="A8" s="145" t="s">
        <v>23</v>
      </c>
      <c r="B8" s="143"/>
    </row>
    <row r="9" spans="1:2" ht="12.75">
      <c r="A9" s="145" t="s">
        <v>25</v>
      </c>
      <c r="B9" s="143"/>
    </row>
    <row r="10" spans="1:2" ht="12.75">
      <c r="A10" s="145" t="s">
        <v>11</v>
      </c>
      <c r="B10" s="143"/>
    </row>
    <row r="11" spans="1:2" ht="12.75">
      <c r="A11" s="145" t="s">
        <v>12</v>
      </c>
      <c r="B11" s="143"/>
    </row>
    <row r="12" spans="1:2" ht="12.75">
      <c r="A12" s="145" t="s">
        <v>13</v>
      </c>
      <c r="B12" s="143"/>
    </row>
    <row r="13" spans="1:2" ht="12.75">
      <c r="A13" s="145" t="s">
        <v>14</v>
      </c>
      <c r="B13" s="143"/>
    </row>
    <row r="14" spans="1:2" ht="12.75">
      <c r="A14" s="145" t="s">
        <v>65</v>
      </c>
      <c r="B14" s="143"/>
    </row>
    <row r="15" spans="1:2" ht="12.75">
      <c r="A15" s="145" t="s">
        <v>22</v>
      </c>
      <c r="B15" s="143"/>
    </row>
    <row r="16" spans="1:2" ht="12.75">
      <c r="A16" s="145" t="s">
        <v>44</v>
      </c>
      <c r="B16" s="143"/>
    </row>
    <row r="17" spans="1:2" ht="12.75">
      <c r="A17" s="144" t="s">
        <v>183</v>
      </c>
      <c r="B17" s="143"/>
    </row>
    <row r="18" ht="12.75">
      <c r="A18" s="144" t="s">
        <v>184</v>
      </c>
    </row>
  </sheetData>
  <sheetProtection/>
  <hyperlinks>
    <hyperlink ref="A7" location="Sheet1!A1" display="Table 1--Soybeans:  Annual U.S. supply and disappearance"/>
    <hyperlink ref="A8" location="Sheet2!A1" display="Table 2--Soybean meal:  U.S. supply and disappearance"/>
    <hyperlink ref="A9" location="'Sheet 3'!A1" display="Table 3--Soybean oil:  U.S. supply and disappearance"/>
    <hyperlink ref="A10" location="Sheet4!A1" display="Table 4--Cottonseed:  U.S. supply and disappearance"/>
    <hyperlink ref="A11" location="Sheet4!A1" display="Table 5--Cottonseed meal:  U.S. supply and disappearance"/>
    <hyperlink ref="A12" location="Sheet4!A1" display="Table 6--Cottonseed oil:  U.S. supply and disappearance"/>
    <hyperlink ref="A13" location="Sheet4!A1" display="Table 7--Peanuts:  U.S. supply and disappearance"/>
    <hyperlink ref="A14" location="Sheet5!A1" display="Table 8--Oilseed prices received by U.S. farmers"/>
    <hyperlink ref="A15" location="Sheet6!A1" display="Table 9--U.S. vegetable oil and fats prices"/>
    <hyperlink ref="A16" location="Sheet7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1" t="s">
        <v>194</v>
      </c>
      <c r="B1" s="101" t="s">
        <v>195</v>
      </c>
      <c r="C1" s="101" t="s">
        <v>196</v>
      </c>
      <c r="E1" s="10"/>
      <c r="F1" s="101"/>
    </row>
    <row r="2" spans="1:3" ht="12.75">
      <c r="A2" s="101"/>
      <c r="B2" s="10" t="s">
        <v>193</v>
      </c>
      <c r="C2" s="10" t="s">
        <v>197</v>
      </c>
    </row>
    <row r="3" spans="2:3" ht="12.75">
      <c r="B3" t="s">
        <v>142</v>
      </c>
      <c r="C3" t="s">
        <v>142</v>
      </c>
    </row>
    <row r="4" spans="1:6" ht="15.75">
      <c r="A4" s="15" t="s">
        <v>83</v>
      </c>
      <c r="B4" s="13">
        <v>59.231</v>
      </c>
      <c r="C4" s="132">
        <v>47.435</v>
      </c>
      <c r="D4" s="115"/>
      <c r="E4" s="115"/>
      <c r="F4" s="115"/>
    </row>
    <row r="5" spans="1:6" ht="15.75">
      <c r="A5" s="15" t="s">
        <v>118</v>
      </c>
      <c r="B5" s="13">
        <v>59.865</v>
      </c>
      <c r="C5" s="132">
        <v>50.091</v>
      </c>
      <c r="D5" s="115"/>
      <c r="E5" s="115"/>
      <c r="F5" s="115"/>
    </row>
    <row r="6" spans="1:6" ht="15.75">
      <c r="A6" s="15" t="s">
        <v>126</v>
      </c>
      <c r="B6" s="13">
        <v>70.364</v>
      </c>
      <c r="C6" s="132">
        <v>52.534</v>
      </c>
      <c r="D6" s="115"/>
      <c r="E6" s="115"/>
      <c r="F6" s="115"/>
    </row>
    <row r="7" spans="1:6" ht="15.75">
      <c r="A7" s="15" t="s">
        <v>129</v>
      </c>
      <c r="B7" s="13">
        <v>78.35</v>
      </c>
      <c r="C7" s="132">
        <v>57.467</v>
      </c>
      <c r="D7" s="115"/>
      <c r="E7" s="102"/>
      <c r="F7" s="115"/>
    </row>
    <row r="8" spans="1:6" ht="15.75">
      <c r="A8" s="15" t="s">
        <v>140</v>
      </c>
      <c r="B8" s="13">
        <v>83.23</v>
      </c>
      <c r="C8" s="132">
        <v>62.663</v>
      </c>
      <c r="D8" s="115"/>
      <c r="E8" s="102"/>
      <c r="F8" s="115"/>
    </row>
    <row r="9" spans="1:6" ht="15.75">
      <c r="A9" s="15" t="s">
        <v>163</v>
      </c>
      <c r="B9" s="13">
        <v>93.495</v>
      </c>
      <c r="C9" s="132">
        <v>68.646</v>
      </c>
      <c r="D9" s="115"/>
      <c r="E9" s="102"/>
      <c r="F9" s="115"/>
    </row>
    <row r="10" spans="1:6" ht="15.75">
      <c r="A10" s="15" t="s">
        <v>170</v>
      </c>
      <c r="B10" s="13">
        <v>97</v>
      </c>
      <c r="C10" s="132">
        <v>73.87</v>
      </c>
      <c r="D10" s="115"/>
      <c r="E10" s="102"/>
      <c r="F10" s="115"/>
    </row>
    <row r="12" ht="12.75">
      <c r="C12" s="115"/>
    </row>
    <row r="13" ht="12.75">
      <c r="C13" s="115"/>
    </row>
    <row r="14" ht="12.75">
      <c r="C14" s="115"/>
    </row>
    <row r="15" ht="12.75">
      <c r="C15" s="115"/>
    </row>
    <row r="16" spans="3:8" ht="12.75">
      <c r="C16" s="115"/>
      <c r="F16" s="100"/>
      <c r="G16" s="100"/>
      <c r="H16" s="100"/>
    </row>
    <row r="17" spans="3:7" ht="12.75">
      <c r="C17" s="115"/>
      <c r="F17" s="13"/>
      <c r="G17" s="13"/>
    </row>
    <row r="18" spans="3:7" ht="12.75">
      <c r="C18" s="115"/>
      <c r="D18" s="102"/>
      <c r="E18" s="102"/>
      <c r="F18" s="13"/>
      <c r="G18" s="13"/>
    </row>
    <row r="19" spans="3:7" ht="12.75">
      <c r="C19" s="115"/>
      <c r="D19" s="102"/>
      <c r="E19" s="102"/>
      <c r="F19" s="13"/>
      <c r="G19" s="13"/>
    </row>
    <row r="20" spans="3:7" ht="12.75">
      <c r="C20" s="115"/>
      <c r="D20" s="102"/>
      <c r="E20" s="102"/>
      <c r="F20" s="13"/>
      <c r="G20" s="13"/>
    </row>
    <row r="21" spans="3:7" ht="12.75">
      <c r="C21" s="115"/>
      <c r="D21" s="102"/>
      <c r="E21" s="102"/>
      <c r="F21" s="13"/>
      <c r="G21" s="13"/>
    </row>
    <row r="22" spans="1:7" ht="12.75">
      <c r="A22" s="99"/>
      <c r="B22" s="102"/>
      <c r="C22" s="102"/>
      <c r="D22" s="102"/>
      <c r="E22" s="102"/>
      <c r="F22" s="13"/>
      <c r="G22" s="13"/>
    </row>
    <row r="23" spans="1:7" ht="12.75">
      <c r="A23" s="99"/>
      <c r="B23" s="102"/>
      <c r="C23" s="102"/>
      <c r="D23" s="102"/>
      <c r="E23" s="102"/>
      <c r="F23" s="13"/>
      <c r="G23" s="13"/>
    </row>
    <row r="24" spans="1:7" ht="12.75">
      <c r="A24" s="99"/>
      <c r="B24" s="102"/>
      <c r="C24" s="102"/>
      <c r="D24" s="102"/>
      <c r="E24" s="102"/>
      <c r="F24" s="13"/>
      <c r="G24" s="13"/>
    </row>
    <row r="25" spans="1:7" ht="12.75">
      <c r="A25" s="89"/>
      <c r="B25" s="102"/>
      <c r="C25" s="102"/>
      <c r="D25" s="102"/>
      <c r="E25" s="102"/>
      <c r="F25" s="13"/>
      <c r="G25" s="13"/>
    </row>
    <row r="26" spans="1:7" ht="12.75">
      <c r="A26" s="89"/>
      <c r="B26" s="102"/>
      <c r="C26" s="102"/>
      <c r="D26" s="102"/>
      <c r="E26" s="102"/>
      <c r="F26" s="13"/>
      <c r="G26" s="13"/>
    </row>
    <row r="27" spans="1:7" ht="12.75">
      <c r="A27" s="89"/>
      <c r="B27" s="102"/>
      <c r="C27" s="102"/>
      <c r="D27" s="102"/>
      <c r="E27" s="102"/>
      <c r="F27" s="13"/>
      <c r="G27" s="13"/>
    </row>
    <row r="28" spans="1:7" ht="12.75">
      <c r="A28" s="89"/>
      <c r="B28" s="102"/>
      <c r="C28" s="102"/>
      <c r="D28" s="102"/>
      <c r="E28" s="102"/>
      <c r="F28" s="13"/>
      <c r="G28" s="13"/>
    </row>
    <row r="29" spans="1:5" ht="12.75">
      <c r="A29" s="89"/>
      <c r="B29" s="102"/>
      <c r="C29" s="102"/>
      <c r="D29" s="102"/>
      <c r="E29" s="102"/>
    </row>
    <row r="30" spans="1:5" ht="12.75">
      <c r="A30" s="89"/>
      <c r="B30" s="102"/>
      <c r="C30" s="102"/>
      <c r="D30" s="102"/>
      <c r="E30" s="102"/>
    </row>
    <row r="31" spans="1:5" ht="12.75">
      <c r="A31" s="89"/>
      <c r="B31" s="102"/>
      <c r="C31" s="102"/>
      <c r="D31" s="102"/>
      <c r="E31" s="102"/>
    </row>
    <row r="32" spans="1:5" ht="12.75">
      <c r="A32" s="89"/>
      <c r="B32" s="102"/>
      <c r="C32" s="102"/>
      <c r="D32" s="102"/>
      <c r="E32" s="102"/>
    </row>
    <row r="33" spans="1:5" ht="12.75">
      <c r="A33" s="89"/>
      <c r="B33" s="102"/>
      <c r="C33" s="102"/>
      <c r="D33" s="102"/>
      <c r="E33" s="102"/>
    </row>
    <row r="34" spans="1:4" ht="12.75">
      <c r="A34" s="89"/>
      <c r="B34" s="89"/>
      <c r="C34" s="13"/>
      <c r="D34" s="13"/>
    </row>
    <row r="35" spans="1:4" ht="12.75">
      <c r="A35" s="89"/>
      <c r="B35" s="89"/>
      <c r="C35" s="13"/>
      <c r="D35" s="13"/>
    </row>
    <row r="36" spans="1:4" ht="12.75">
      <c r="A36" s="89"/>
      <c r="B36" s="89"/>
      <c r="C36" s="13"/>
      <c r="D36" s="13"/>
    </row>
    <row r="37" spans="1:4" ht="12.75">
      <c r="A37" s="89"/>
      <c r="B37" s="89"/>
      <c r="C37" s="13"/>
      <c r="D37" s="13"/>
    </row>
    <row r="38" spans="1:4" ht="12.75">
      <c r="A38" s="89"/>
      <c r="B38" s="89"/>
      <c r="C38" s="13"/>
      <c r="D38" s="13"/>
    </row>
    <row r="39" spans="1:4" ht="12.75">
      <c r="A39" s="89"/>
      <c r="B39" s="89"/>
      <c r="C39" s="13"/>
      <c r="D39" s="13"/>
    </row>
    <row r="40" spans="1:4" ht="12.75">
      <c r="A40" s="89"/>
      <c r="B40" s="89"/>
      <c r="C40" s="13"/>
      <c r="D40" s="13"/>
    </row>
    <row r="41" spans="1:4" ht="12.75">
      <c r="A41" s="89"/>
      <c r="B41" s="89"/>
      <c r="C41" s="13"/>
      <c r="D41" s="13"/>
    </row>
    <row r="42" spans="1:4" ht="12.75">
      <c r="A42" s="89"/>
      <c r="B42" s="89"/>
      <c r="C42" s="13"/>
      <c r="D42" s="13"/>
    </row>
    <row r="43" spans="1:4" ht="12.75">
      <c r="A43" s="89"/>
      <c r="B43" s="89"/>
      <c r="C43" s="13"/>
      <c r="D43" s="13"/>
    </row>
    <row r="44" spans="1:4" ht="12.75">
      <c r="A44" s="89"/>
      <c r="B44" s="89"/>
      <c r="C44" s="13"/>
      <c r="D44" s="13"/>
    </row>
    <row r="45" spans="1:4" ht="12.75">
      <c r="A45" s="89"/>
      <c r="B45" s="89"/>
      <c r="C45" s="88"/>
      <c r="D45" s="88"/>
    </row>
    <row r="46" spans="1:4" ht="12.75">
      <c r="A46" s="89"/>
      <c r="B46" s="89"/>
      <c r="C46" s="88"/>
      <c r="D46" s="88"/>
    </row>
    <row r="47" spans="1:4" ht="12.75">
      <c r="A47" s="89"/>
      <c r="B47" s="89"/>
      <c r="C47" s="88"/>
      <c r="D47" s="88"/>
    </row>
    <row r="48" spans="1:4" ht="12.75">
      <c r="A48" s="89"/>
      <c r="B48" s="89"/>
      <c r="C48" s="88"/>
      <c r="D48" s="88"/>
    </row>
    <row r="49" spans="1:4" ht="12.75">
      <c r="A49" s="89"/>
      <c r="B49" s="89"/>
      <c r="C49" s="88"/>
      <c r="D49" s="8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0" t="s">
        <v>27</v>
      </c>
      <c r="C2" s="150"/>
      <c r="D2" s="16" t="s">
        <v>30</v>
      </c>
      <c r="E2" s="150" t="s">
        <v>119</v>
      </c>
      <c r="F2" s="150"/>
      <c r="G2" s="150"/>
      <c r="H2" s="150"/>
      <c r="I2" s="17"/>
      <c r="J2" s="150" t="s">
        <v>86</v>
      </c>
      <c r="K2" s="150"/>
      <c r="L2" s="150"/>
      <c r="M2" s="150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70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5" t="s">
        <v>3</v>
      </c>
      <c r="I4" s="47"/>
      <c r="J4" s="47"/>
      <c r="K4" s="47" t="s">
        <v>5</v>
      </c>
      <c r="L4" s="95" t="s">
        <v>4</v>
      </c>
      <c r="M4" s="19" t="s">
        <v>3</v>
      </c>
      <c r="N4" s="47" t="s">
        <v>7</v>
      </c>
    </row>
    <row r="5" spans="1:14" ht="15.75">
      <c r="A5" s="15"/>
      <c r="B5" s="148" t="s">
        <v>120</v>
      </c>
      <c r="C5" s="149"/>
      <c r="D5" s="66" t="s">
        <v>91</v>
      </c>
      <c r="E5" s="148" t="s">
        <v>122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8.75">
      <c r="A6" s="15" t="s">
        <v>168</v>
      </c>
      <c r="B6" s="77">
        <v>82.65</v>
      </c>
      <c r="C6" s="77">
        <v>81.732</v>
      </c>
      <c r="D6" s="77">
        <f>+F6/C6</f>
        <v>48.03918905691773</v>
      </c>
      <c r="E6" s="96">
        <v>190.61</v>
      </c>
      <c r="F6" s="67">
        <v>3926.339</v>
      </c>
      <c r="G6" s="94">
        <v>23.5406396308524</v>
      </c>
      <c r="H6" s="94">
        <f>SUM(E6:G6)</f>
        <v>4140.489639630852</v>
      </c>
      <c r="I6" s="21"/>
      <c r="J6" s="67">
        <v>1886.2368000000001</v>
      </c>
      <c r="K6" s="67">
        <f>M6-J6-L6</f>
        <v>115.2675503874541</v>
      </c>
      <c r="L6" s="94">
        <v>1942.2562892433982</v>
      </c>
      <c r="M6" s="94">
        <f>+H6-N6</f>
        <v>3943.7606396308524</v>
      </c>
      <c r="N6" s="94">
        <v>196.729</v>
      </c>
    </row>
    <row r="7" spans="1:14" ht="18.75">
      <c r="A7" s="15" t="s">
        <v>159</v>
      </c>
      <c r="B7" s="77">
        <v>83.433</v>
      </c>
      <c r="C7" s="77">
        <v>82.696</v>
      </c>
      <c r="D7" s="77">
        <f>+F7/C7</f>
        <v>51.9503482635194</v>
      </c>
      <c r="E7" s="96">
        <f>N6</f>
        <v>196.729</v>
      </c>
      <c r="F7" s="67">
        <f>F19</f>
        <v>4296.086</v>
      </c>
      <c r="G7" s="94">
        <f>G32</f>
        <v>22.241776548522303</v>
      </c>
      <c r="H7" s="94">
        <f>SUM(E7:G7)</f>
        <v>4515.056776548523</v>
      </c>
      <c r="J7" s="67">
        <f>J32</f>
        <v>1898.9575333333332</v>
      </c>
      <c r="K7" s="67">
        <f>M7-J7-L7</f>
        <v>141.11770147792322</v>
      </c>
      <c r="L7" s="94">
        <f>L32</f>
        <v>2173.652541737267</v>
      </c>
      <c r="M7" s="94">
        <f>+H7-N7</f>
        <v>4213.727776548523</v>
      </c>
      <c r="N7" s="94">
        <f>N31</f>
        <v>301.329</v>
      </c>
    </row>
    <row r="8" spans="1:14" ht="18.75">
      <c r="A8" s="15" t="s">
        <v>167</v>
      </c>
      <c r="B8" s="77">
        <v>90.207</v>
      </c>
      <c r="C8" s="77">
        <v>89.471</v>
      </c>
      <c r="D8" s="77">
        <f>+F8/C8</f>
        <v>49.46048440276738</v>
      </c>
      <c r="E8" s="96">
        <f>N7</f>
        <v>301.329</v>
      </c>
      <c r="F8" s="67">
        <f>F36</f>
        <v>4425.279</v>
      </c>
      <c r="G8" s="94">
        <v>25.45</v>
      </c>
      <c r="H8" s="94">
        <f>SUM(E8:G8)</f>
        <v>4752.058</v>
      </c>
      <c r="J8" s="67">
        <v>1940</v>
      </c>
      <c r="K8" s="67">
        <f>M8-J8-L8</f>
        <v>137.058</v>
      </c>
      <c r="L8" s="94">
        <v>2250</v>
      </c>
      <c r="M8" s="94">
        <f>+H8-N8</f>
        <v>4327.058</v>
      </c>
      <c r="N8" s="94">
        <v>425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0" t="s">
        <v>119</v>
      </c>
      <c r="F11" s="150"/>
      <c r="G11" s="150"/>
      <c r="H11" s="150"/>
      <c r="I11" s="17"/>
      <c r="J11" s="150" t="s">
        <v>86</v>
      </c>
      <c r="K11" s="150"/>
      <c r="L11" s="150"/>
      <c r="M11" s="150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5" t="s">
        <v>3</v>
      </c>
      <c r="I13" s="47"/>
      <c r="J13" s="19"/>
      <c r="K13" s="19" t="s">
        <v>64</v>
      </c>
      <c r="L13" s="95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5" t="s">
        <v>145</v>
      </c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3"/>
      <c r="H15" s="91"/>
      <c r="I15" s="91"/>
      <c r="J15" s="91"/>
      <c r="K15" s="120"/>
      <c r="L15" s="93"/>
      <c r="M15" s="26"/>
      <c r="N15" s="121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3">
        <f>(12.140982+44.365888+5.969151)*2.204622/60</f>
        <v>2.2956001728177</v>
      </c>
      <c r="H16" s="91"/>
      <c r="I16" s="91"/>
      <c r="J16" s="91">
        <f>4.148008*2000/60</f>
        <v>138.26693333333333</v>
      </c>
      <c r="K16" s="120"/>
      <c r="L16" s="93">
        <f>(34.073378+3681.848)*2.204622/60</f>
        <v>136.53670033681863</v>
      </c>
      <c r="M16" s="26"/>
      <c r="N16" s="121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3">
        <f>(13.811565+29.41625+4.478324)*2.204622/60</f>
        <v>1.7529000595743</v>
      </c>
      <c r="H17" s="91"/>
      <c r="I17" s="91"/>
      <c r="J17" s="91">
        <f>5.276415*2000/60</f>
        <v>175.8805</v>
      </c>
      <c r="K17" s="120"/>
      <c r="L17" s="93">
        <f>(69.837116+11147.093)*2.204622/60</f>
        <v>412.1515151032693</v>
      </c>
      <c r="M17" s="26"/>
      <c r="N17" s="121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3">
        <f>(6.25616+26.146455+5.06881)*2.204622/60</f>
        <v>1.3768387987725</v>
      </c>
      <c r="H18" s="91"/>
      <c r="I18" s="91"/>
      <c r="J18" s="91">
        <f>5.122038*2000/60</f>
        <v>170.73459999999997</v>
      </c>
      <c r="K18" s="120"/>
      <c r="L18" s="93">
        <f>(56.047981+10209.532)*2.204622/60</f>
        <v>377.19539114786966</v>
      </c>
      <c r="M18" s="26"/>
      <c r="N18" s="121"/>
    </row>
    <row r="19" spans="1:14" ht="18.75" customHeight="1">
      <c r="A19" s="15" t="s">
        <v>105</v>
      </c>
      <c r="B19" s="17"/>
      <c r="C19" s="17"/>
      <c r="D19" s="17"/>
      <c r="E19" s="91">
        <v>196.729</v>
      </c>
      <c r="F19" s="23">
        <v>4296.086</v>
      </c>
      <c r="G19" s="93">
        <f>G16+G17+G18</f>
        <v>5.4253390311645</v>
      </c>
      <c r="H19" s="91">
        <f>SUM(E19:G19)</f>
        <v>4498.240339031165</v>
      </c>
      <c r="I19" s="91"/>
      <c r="J19" s="91">
        <f>J16+J17+J18</f>
        <v>484.8820333333333</v>
      </c>
      <c r="K19" s="92">
        <f>M19-L19-J19</f>
        <v>189.09569910987398</v>
      </c>
      <c r="L19" s="93">
        <f>L16+L17+L18</f>
        <v>925.8836065879575</v>
      </c>
      <c r="M19" s="93">
        <f>H19-N19</f>
        <v>1599.8613390311648</v>
      </c>
      <c r="N19" s="91">
        <v>2898.379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3">
        <f>(4.172442+23.85058+3.852958)*2.204622/60</f>
        <v>1.1712414463260001</v>
      </c>
      <c r="H20" s="91"/>
      <c r="I20" s="91"/>
      <c r="J20" s="91">
        <f>5.071493*2000/60</f>
        <v>169.04976666666667</v>
      </c>
      <c r="K20" s="93"/>
      <c r="L20" s="93">
        <f>(40.570246+7941.343)*2.204622/60</f>
        <v>293.2850257370502</v>
      </c>
      <c r="M20" s="26"/>
      <c r="N20" s="121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3">
        <f>(9.076343+55.123913+23.018611)*2.204622/60</f>
        <v>3.2047438833879</v>
      </c>
      <c r="H21" s="91"/>
      <c r="I21" s="91"/>
      <c r="J21" s="91">
        <f>5.124204*2000/60</f>
        <v>170.80679999999998</v>
      </c>
      <c r="K21" s="93"/>
      <c r="L21" s="93">
        <f>(56.504787+7366.494)*2.204622/60</f>
        <v>272.74844052989187</v>
      </c>
      <c r="M21" s="26"/>
      <c r="N21" s="121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3">
        <f>(12.779452+42.072277+6.673116)*2.204622/60</f>
        <v>2.2606504472265003</v>
      </c>
      <c r="H22" s="91"/>
      <c r="I22" s="91"/>
      <c r="J22" s="91">
        <f>4.530088*2000/60</f>
        <v>151.00293333333332</v>
      </c>
      <c r="K22" s="93"/>
      <c r="L22" s="93">
        <f>(49.270676+4366.775)*2.204622/60</f>
        <v>162.26185750524118</v>
      </c>
      <c r="M22" s="26"/>
      <c r="N22" s="121"/>
    </row>
    <row r="23" spans="1:14" ht="18.75" customHeight="1">
      <c r="A23" s="15" t="s">
        <v>106</v>
      </c>
      <c r="B23" s="17"/>
      <c r="C23" s="17"/>
      <c r="D23" s="17"/>
      <c r="E23" s="24">
        <f>N19</f>
        <v>2898.379</v>
      </c>
      <c r="F23" s="23"/>
      <c r="G23" s="93">
        <f>SUM(G20:G22)</f>
        <v>6.6366357769404</v>
      </c>
      <c r="H23" s="91">
        <f>E23+F23+G23</f>
        <v>2905.01563577694</v>
      </c>
      <c r="I23" s="91"/>
      <c r="J23" s="91">
        <f>SUM(J20:J22)</f>
        <v>490.85949999999997</v>
      </c>
      <c r="K23" s="92">
        <f>M23-L23-J23</f>
        <v>-52.82618799524295</v>
      </c>
      <c r="L23" s="93">
        <f>SUM(L20:L22)</f>
        <v>728.2953237721832</v>
      </c>
      <c r="M23" s="93">
        <f>H23-N23</f>
        <v>1166.3286357769402</v>
      </c>
      <c r="N23" s="91">
        <v>1738.687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3">
        <f>(12.811388+30.642647+17.025345)*2.204622/60</f>
        <v>2.2222361949060003</v>
      </c>
      <c r="H24" s="91"/>
      <c r="I24" s="91"/>
      <c r="J24" s="91">
        <f>4.800052*2000/60</f>
        <v>160.00173333333333</v>
      </c>
      <c r="K24" s="92"/>
      <c r="L24" s="93">
        <f>(69.313126+3051.288)*2.204622/60</f>
        <v>114.6624315934062</v>
      </c>
      <c r="M24" s="93"/>
      <c r="N24" s="91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3">
        <f>(8.582125+28.967068+6.119378)*2.204622/60</f>
        <v>1.6045448722527</v>
      </c>
      <c r="H25" s="91"/>
      <c r="I25" s="91"/>
      <c r="J25" s="91">
        <f>4.492906*2000/60</f>
        <v>149.76353333333333</v>
      </c>
      <c r="K25" s="92"/>
      <c r="L25" s="93">
        <f>(62.294194+2370.22)*2.204622/60</f>
        <v>89.37957179007779</v>
      </c>
      <c r="M25" s="93"/>
      <c r="N25" s="91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3">
        <f>(8.8507+42.500566+6.529572)*2.204622/60</f>
        <v>2.1267561472206</v>
      </c>
      <c r="H26" s="91"/>
      <c r="I26" s="91"/>
      <c r="J26" s="91">
        <f>4.739387*2000/60</f>
        <v>157.97956666666667</v>
      </c>
      <c r="K26" s="92"/>
      <c r="L26" s="93">
        <f>(48.508116+1401.462)*2.204622/60</f>
        <v>53.277266951269205</v>
      </c>
      <c r="M26" s="93"/>
      <c r="N26" s="91"/>
    </row>
    <row r="27" spans="1:14" ht="18.75" customHeight="1">
      <c r="A27" s="15" t="s">
        <v>107</v>
      </c>
      <c r="B27" s="17"/>
      <c r="C27" s="17"/>
      <c r="D27" s="17"/>
      <c r="E27" s="24">
        <f>N23</f>
        <v>1738.687</v>
      </c>
      <c r="F27" s="23"/>
      <c r="G27" s="93">
        <f>SUM(G24:G26)</f>
        <v>5.953537214379301</v>
      </c>
      <c r="H27" s="91">
        <f>E27+F27+G27</f>
        <v>1744.6405372143793</v>
      </c>
      <c r="I27" s="91"/>
      <c r="J27" s="91">
        <f>SUM(J24:J26)</f>
        <v>467.7448333333333</v>
      </c>
      <c r="K27" s="92">
        <f>M27-L27-J27</f>
        <v>53.65643354629276</v>
      </c>
      <c r="L27" s="93">
        <f>SUM(L24:L26)</f>
        <v>257.3192703347532</v>
      </c>
      <c r="M27" s="93">
        <f>H27-N27</f>
        <v>778.7205372143793</v>
      </c>
      <c r="N27" s="91">
        <v>965.92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3">
        <f>(4.98816+15.473421+8.217032)*2.204622/60</f>
        <v>1.0537583524881</v>
      </c>
      <c r="H28" s="91"/>
      <c r="I28" s="91"/>
      <c r="J28" s="91">
        <f>4.446863*2000/60</f>
        <v>148.22876666666664</v>
      </c>
      <c r="K28" s="92"/>
      <c r="L28" s="93">
        <f>(45.783266+1749.668)*2.204622/60</f>
        <v>65.9715226825242</v>
      </c>
      <c r="M28" s="93"/>
      <c r="N28" s="91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3">
        <f>(3.509596+37.139519+6.116628)*2.204622/60</f>
        <v>1.7183464310691001</v>
      </c>
      <c r="H29" s="91"/>
      <c r="I29" s="91"/>
      <c r="J29" s="91">
        <f>4.66868*2000/60</f>
        <v>155.62266666666667</v>
      </c>
      <c r="K29" s="92"/>
      <c r="L29" s="93">
        <f>(28.793709+2234.169)*2.204622/60</f>
        <v>83.1496228906833</v>
      </c>
      <c r="M29" s="93"/>
      <c r="N29" s="91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3">
        <f>(3.239739+29.130588+7.20543)*2.204622/60</f>
        <v>1.4541597424809</v>
      </c>
      <c r="H30" s="91"/>
      <c r="I30" s="91"/>
      <c r="J30" s="91">
        <f>4.548592*2000/60</f>
        <v>151.61973333333336</v>
      </c>
      <c r="K30" s="92"/>
      <c r="L30" s="93">
        <f>(42.412569+3033.848)*2.204622/60</f>
        <v>113.0331954691653</v>
      </c>
      <c r="M30" s="93"/>
      <c r="N30" s="91"/>
    </row>
    <row r="31" spans="1:14" ht="18.75" customHeight="1">
      <c r="A31" s="40" t="s">
        <v>108</v>
      </c>
      <c r="B31" s="17"/>
      <c r="C31" s="17"/>
      <c r="D31" s="17"/>
      <c r="E31" s="24">
        <f>N27</f>
        <v>965.92</v>
      </c>
      <c r="F31" s="23"/>
      <c r="G31" s="93">
        <f>SUM(G28:G30)</f>
        <v>4.226264526038101</v>
      </c>
      <c r="H31" s="91">
        <f>SUM(E31:G31)</f>
        <v>970.1462645260381</v>
      </c>
      <c r="I31" s="91"/>
      <c r="J31" s="91">
        <f>SUM(J28:J30)</f>
        <v>455.4711666666667</v>
      </c>
      <c r="K31" s="92">
        <f>M31-L31-J31</f>
        <v>-48.80824318300142</v>
      </c>
      <c r="L31" s="93">
        <f>SUM(L28:L30)</f>
        <v>262.15434104237283</v>
      </c>
      <c r="M31" s="93">
        <f>+H31-N31</f>
        <v>668.8172645260381</v>
      </c>
      <c r="N31" s="91">
        <v>301.329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3">
        <f>G19+G23+G27+G31</f>
        <v>22.241776548522303</v>
      </c>
      <c r="H32" s="91">
        <f>E19+F32+G32</f>
        <v>4515.056776548523</v>
      </c>
      <c r="I32" s="91"/>
      <c r="J32" s="91">
        <f>J19+J23+J27+J31</f>
        <v>1898.9575333333332</v>
      </c>
      <c r="K32" s="92">
        <f>K19+K23+K27+K31</f>
        <v>141.11770147792237</v>
      </c>
      <c r="L32" s="93">
        <f>L19+L23+L27+L31</f>
        <v>2173.652541737267</v>
      </c>
      <c r="M32" s="93">
        <f>M19+M23+M27+M31</f>
        <v>4213.727776548522</v>
      </c>
      <c r="N32" s="91"/>
    </row>
    <row r="33" spans="1:14" ht="18.75" customHeight="1">
      <c r="A33" s="17"/>
      <c r="B33" s="17"/>
      <c r="C33" s="17"/>
      <c r="D33" s="17"/>
      <c r="E33" s="24"/>
      <c r="F33" s="26"/>
      <c r="G33" s="93"/>
      <c r="H33" s="91"/>
      <c r="I33" s="91"/>
      <c r="J33" s="91"/>
      <c r="K33" s="120"/>
      <c r="L33" s="93"/>
      <c r="M33" s="93"/>
      <c r="N33" s="121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3"/>
      <c r="H34" s="91"/>
      <c r="I34" s="91"/>
      <c r="J34" s="91"/>
      <c r="K34" s="120"/>
      <c r="L34" s="93"/>
      <c r="M34" s="93"/>
      <c r="N34" s="121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3">
        <f>(1.392923+28.520061+6.869446)*2.204622/60</f>
        <v>1.351522573191</v>
      </c>
      <c r="H35" s="91"/>
      <c r="I35" s="91"/>
      <c r="J35" s="91">
        <f>4.361207*2000/60</f>
        <v>145.37356666666668</v>
      </c>
      <c r="K35" s="92"/>
      <c r="L35" s="93">
        <f>(42.118554+4598.493)*2.204622/60</f>
        <v>170.5132387567098</v>
      </c>
      <c r="M35" s="93"/>
      <c r="N35" s="91"/>
    </row>
    <row r="36" spans="1:14" ht="18.75" customHeight="1">
      <c r="A36" s="14" t="s">
        <v>166</v>
      </c>
      <c r="B36" s="14"/>
      <c r="C36" s="14"/>
      <c r="D36" s="14"/>
      <c r="E36" s="27">
        <f>N31</f>
        <v>301.329</v>
      </c>
      <c r="F36" s="103">
        <f>4425.279</f>
        <v>4425.279</v>
      </c>
      <c r="G36" s="104">
        <f>G35</f>
        <v>1.351522573191</v>
      </c>
      <c r="H36" s="61"/>
      <c r="I36" s="61"/>
      <c r="J36" s="61">
        <f>J35</f>
        <v>145.37356666666668</v>
      </c>
      <c r="K36" s="126"/>
      <c r="L36" s="104">
        <f>L35</f>
        <v>170.5132387567098</v>
      </c>
      <c r="M36" s="104"/>
      <c r="N36" s="123"/>
    </row>
    <row r="37" spans="1:14" ht="18.75" customHeight="1">
      <c r="A37" s="42" t="s">
        <v>130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57"/>
      <c r="M37" s="17"/>
      <c r="N37" s="17"/>
    </row>
    <row r="38" spans="1:14" ht="15.75">
      <c r="A38" s="15" t="s">
        <v>104</v>
      </c>
      <c r="B38" s="15"/>
      <c r="C38" s="15"/>
      <c r="D38" s="15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.75">
      <c r="A39" s="46" t="s">
        <v>96</v>
      </c>
      <c r="B39" s="15"/>
      <c r="C39" s="15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>
      <c r="A40" s="15" t="s">
        <v>26</v>
      </c>
      <c r="B40" s="25">
        <f ca="1">NOW()</f>
        <v>43052.74469270834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5:73" ht="12.75"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5:73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6:73" ht="12.75">
      <c r="F46" s="41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0" t="s">
        <v>0</v>
      </c>
      <c r="C2" s="150"/>
      <c r="D2" s="150"/>
      <c r="E2" s="150"/>
      <c r="F2" s="17"/>
      <c r="G2" s="150" t="s">
        <v>24</v>
      </c>
      <c r="H2" s="150"/>
      <c r="I2" s="150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70" t="s">
        <v>110</v>
      </c>
      <c r="B4" s="19" t="s">
        <v>34</v>
      </c>
      <c r="C4" s="19" t="s">
        <v>1</v>
      </c>
      <c r="D4" s="19" t="s">
        <v>2</v>
      </c>
      <c r="E4" s="95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49" t="s">
        <v>146</v>
      </c>
      <c r="C5" s="149"/>
      <c r="D5" s="149"/>
      <c r="E5" s="149"/>
      <c r="F5" s="149"/>
      <c r="G5" s="149"/>
      <c r="H5" s="149"/>
      <c r="I5" s="149"/>
      <c r="J5" s="149"/>
    </row>
    <row r="6" spans="1:10" ht="18.75">
      <c r="A6" s="15" t="s">
        <v>168</v>
      </c>
      <c r="B6" s="112">
        <f>B11</f>
        <v>260.464</v>
      </c>
      <c r="C6" s="111">
        <f>C23</f>
        <v>44671.66199999999</v>
      </c>
      <c r="D6" s="111">
        <f>D23</f>
        <v>403.4227568353921</v>
      </c>
      <c r="E6" s="111">
        <f>+B6+C6+D6</f>
        <v>45335.54875683538</v>
      </c>
      <c r="F6" s="111"/>
      <c r="G6" s="111">
        <f>+I6-H6</f>
        <v>33117.8131085507</v>
      </c>
      <c r="H6" s="111">
        <f>H23</f>
        <v>11953.849648284682</v>
      </c>
      <c r="I6" s="111">
        <f>+E6-J6</f>
        <v>45071.66275683538</v>
      </c>
      <c r="J6" s="111">
        <f>J22</f>
        <v>263.886</v>
      </c>
    </row>
    <row r="7" spans="1:10" ht="18.75">
      <c r="A7" s="15" t="s">
        <v>159</v>
      </c>
      <c r="B7" s="112">
        <f>J6</f>
        <v>263.886</v>
      </c>
      <c r="C7" s="111">
        <f>C38</f>
        <v>44733.244</v>
      </c>
      <c r="D7" s="111">
        <f>D38</f>
        <v>349.4954010900241</v>
      </c>
      <c r="E7" s="111">
        <f>+B7+C7+D7</f>
        <v>45346.62540109002</v>
      </c>
      <c r="F7" s="111"/>
      <c r="G7" s="111">
        <f>+I7-H7</f>
        <v>33345.08252584723</v>
      </c>
      <c r="H7" s="111">
        <f>H38</f>
        <v>11600.912875242791</v>
      </c>
      <c r="I7" s="111">
        <f>+E7-J7</f>
        <v>44945.995401090026</v>
      </c>
      <c r="J7" s="111">
        <f>J37</f>
        <v>400.63</v>
      </c>
    </row>
    <row r="8" spans="1:10" ht="18.75">
      <c r="A8" s="15" t="s">
        <v>167</v>
      </c>
      <c r="B8" s="112">
        <f>J7</f>
        <v>400.63</v>
      </c>
      <c r="C8" s="111">
        <v>46099</v>
      </c>
      <c r="D8" s="111">
        <v>300</v>
      </c>
      <c r="E8" s="111">
        <f>+B8+C8+D8</f>
        <v>46799.63</v>
      </c>
      <c r="F8" s="111"/>
      <c r="G8" s="111">
        <f>+I8-H8</f>
        <v>34299.63</v>
      </c>
      <c r="H8" s="111">
        <v>12200</v>
      </c>
      <c r="I8" s="111">
        <f>+E8-J8</f>
        <v>46499.63</v>
      </c>
      <c r="J8" s="111">
        <v>300</v>
      </c>
    </row>
    <row r="9" spans="1:10" ht="15.75">
      <c r="A9" s="15"/>
      <c r="B9" s="78"/>
      <c r="C9" s="78"/>
      <c r="D9" s="78"/>
      <c r="E9" s="78"/>
      <c r="F9" s="78"/>
      <c r="G9" s="78"/>
      <c r="H9" s="78"/>
      <c r="I9" s="78"/>
      <c r="J9" s="78"/>
    </row>
    <row r="10" spans="1:10" ht="15.75">
      <c r="A10" s="15" t="s">
        <v>140</v>
      </c>
      <c r="B10" s="78"/>
      <c r="C10" s="78"/>
      <c r="D10" s="78"/>
      <c r="E10" s="78"/>
      <c r="F10" s="60"/>
      <c r="G10" s="78"/>
      <c r="H10" s="78"/>
      <c r="I10" s="78"/>
      <c r="J10" s="78"/>
    </row>
    <row r="11" spans="1:12" ht="15.75">
      <c r="A11" s="17" t="s">
        <v>74</v>
      </c>
      <c r="B11" s="113">
        <f>240.755+19.709</f>
        <v>260.464</v>
      </c>
      <c r="C11" s="93">
        <f>3742.412+258.909</f>
        <v>4001.321</v>
      </c>
      <c r="D11" s="93">
        <f>(24490.318+2973+4420.437)*2.204622/2000</f>
        <v>35.145813857804995</v>
      </c>
      <c r="E11" s="93">
        <f aca="true" t="shared" si="0" ref="E11:E16">SUM(B11:D11)</f>
        <v>4296.930813857804</v>
      </c>
      <c r="F11" s="110"/>
      <c r="G11" s="114">
        <f aca="true" t="shared" si="1" ref="G11:G16">I11-H11</f>
        <v>3011.4929684917493</v>
      </c>
      <c r="H11" s="93">
        <f>((655.834691+2.098+150.976814))*(2.204622/2)</f>
        <v>891.669845366055</v>
      </c>
      <c r="I11" s="110">
        <f aca="true" t="shared" si="2" ref="I11:I19">E11-J11</f>
        <v>3903.1628138578044</v>
      </c>
      <c r="J11" s="93">
        <f>360.253+33.515</f>
        <v>393.768</v>
      </c>
      <c r="K11" s="110"/>
      <c r="L11" s="110"/>
    </row>
    <row r="12" spans="1:12" ht="15.75">
      <c r="A12" s="17" t="s">
        <v>75</v>
      </c>
      <c r="B12" s="113">
        <f aca="true" t="shared" si="3" ref="B12:B17">J11</f>
        <v>393.768</v>
      </c>
      <c r="C12" s="93">
        <f>3655.75+251.965</f>
        <v>3907.715</v>
      </c>
      <c r="D12" s="93">
        <f>(23368.643+2935+1353.348)*2.204622/2000</f>
        <v>30.486605406201004</v>
      </c>
      <c r="E12" s="93">
        <f t="shared" si="0"/>
        <v>4331.9696054062015</v>
      </c>
      <c r="F12" s="110"/>
      <c r="G12" s="114">
        <f t="shared" si="1"/>
        <v>2766.698016205596</v>
      </c>
      <c r="H12" s="93">
        <f>((844.248393+15.814+213.576162))*(2.204622/2)</f>
        <v>1183.4835892006051</v>
      </c>
      <c r="I12" s="110">
        <f t="shared" si="2"/>
        <v>3950.1816054062015</v>
      </c>
      <c r="J12" s="93">
        <f>342.962+38.826</f>
        <v>381.788</v>
      </c>
      <c r="K12" s="110"/>
      <c r="L12" s="110"/>
    </row>
    <row r="13" spans="1:12" ht="15.75">
      <c r="A13" s="17" t="s">
        <v>76</v>
      </c>
      <c r="B13" s="113">
        <f t="shared" si="3"/>
        <v>381.788</v>
      </c>
      <c r="C13" s="93">
        <f>3669.213+262.266</f>
        <v>3931.4790000000003</v>
      </c>
      <c r="D13" s="93">
        <f>(24942.858+4082+1635.392)*2.204622/2000</f>
        <v>33.797130837750004</v>
      </c>
      <c r="E13" s="93">
        <f t="shared" si="0"/>
        <v>4347.06413083775</v>
      </c>
      <c r="F13" s="110"/>
      <c r="G13" s="114">
        <f t="shared" si="1"/>
        <v>2975.707682287575</v>
      </c>
      <c r="H13" s="93">
        <f>((745.244112+4.957+219.587313))*(2.204622/2)</f>
        <v>1069.008448550175</v>
      </c>
      <c r="I13" s="110">
        <f t="shared" si="2"/>
        <v>4044.71613083775</v>
      </c>
      <c r="J13" s="93">
        <f>270.421+31.927</f>
        <v>302.348</v>
      </c>
      <c r="K13" s="110"/>
      <c r="L13" s="110"/>
    </row>
    <row r="14" spans="1:12" ht="15.75">
      <c r="A14" s="17" t="s">
        <v>77</v>
      </c>
      <c r="B14" s="113">
        <f t="shared" si="3"/>
        <v>302.348</v>
      </c>
      <c r="C14" s="93">
        <f>3539.791+256.884</f>
        <v>3796.675</v>
      </c>
      <c r="D14" s="93">
        <f>(25166.958+4758+365.767)*2.204622/2000</f>
        <v>33.389799365475</v>
      </c>
      <c r="E14" s="93">
        <f t="shared" si="0"/>
        <v>4132.412799365475</v>
      </c>
      <c r="F14" s="110"/>
      <c r="G14" s="114">
        <f t="shared" si="1"/>
        <v>2621.760264703911</v>
      </c>
      <c r="H14" s="93">
        <f>((725.889237+8.801+263.534887))*(2.204622/2)</f>
        <v>1100.354534661564</v>
      </c>
      <c r="I14" s="110">
        <f t="shared" si="2"/>
        <v>3722.114799365475</v>
      </c>
      <c r="J14" s="93">
        <f>368.063+42.235</f>
        <v>410.298</v>
      </c>
      <c r="K14" s="110"/>
      <c r="L14" s="110"/>
    </row>
    <row r="15" spans="1:12" ht="15.75">
      <c r="A15" s="17" t="s">
        <v>78</v>
      </c>
      <c r="B15" s="113">
        <f t="shared" si="3"/>
        <v>410.298</v>
      </c>
      <c r="C15" s="93">
        <f>3425.236+241.078</f>
        <v>3666.314</v>
      </c>
      <c r="D15" s="93">
        <f>(24839.815+6908+637.385)*2.204622/2000</f>
        <v>35.6985621972</v>
      </c>
      <c r="E15" s="93">
        <f t="shared" si="0"/>
        <v>4112.3105621972</v>
      </c>
      <c r="F15" s="110"/>
      <c r="G15" s="114">
        <f t="shared" si="1"/>
        <v>2542.269476764202</v>
      </c>
      <c r="H15" s="93">
        <f>((895.545031+8.529+191.523387))*(2.204622/2)</f>
        <v>1207.6890854329981</v>
      </c>
      <c r="I15" s="110">
        <f t="shared" si="2"/>
        <v>3749.9585621972</v>
      </c>
      <c r="J15" s="93">
        <f>330.057+32.295</f>
        <v>362.35200000000003</v>
      </c>
      <c r="K15" s="110"/>
      <c r="L15" s="110"/>
    </row>
    <row r="16" spans="1:12" ht="15.75">
      <c r="A16" s="17" t="s">
        <v>79</v>
      </c>
      <c r="B16" s="113">
        <f t="shared" si="3"/>
        <v>362.35200000000003</v>
      </c>
      <c r="C16" s="93">
        <f>3677.248+260.298</f>
        <v>3937.5460000000003</v>
      </c>
      <c r="D16" s="93">
        <f>(29351.146+6254+320.272)*2.204622/2000</f>
        <v>39.60098344099799</v>
      </c>
      <c r="E16" s="93">
        <f t="shared" si="0"/>
        <v>4339.498983440998</v>
      </c>
      <c r="F16" s="110"/>
      <c r="G16" s="114">
        <f t="shared" si="1"/>
        <v>2995.222633777476</v>
      </c>
      <c r="H16" s="93">
        <f>((715.645611+4.575+192.569291))*(2.204622/2)</f>
        <v>1006.1783496635221</v>
      </c>
      <c r="I16" s="110">
        <f t="shared" si="2"/>
        <v>4001.400983440998</v>
      </c>
      <c r="J16" s="93">
        <f>302.672+35.426</f>
        <v>338.098</v>
      </c>
      <c r="K16" s="110"/>
      <c r="L16" s="110"/>
    </row>
    <row r="17" spans="1:12" ht="15.75">
      <c r="A17" s="17" t="s">
        <v>80</v>
      </c>
      <c r="B17" s="113">
        <f t="shared" si="3"/>
        <v>338.098</v>
      </c>
      <c r="C17" s="93">
        <f>3502.911+243.761</f>
        <v>3746.672</v>
      </c>
      <c r="D17" s="93">
        <f>(38480.991+3492+724.589)*2.204622/2000</f>
        <v>47.066012107380004</v>
      </c>
      <c r="E17" s="93">
        <f aca="true" t="shared" si="4" ref="E17:E22">SUM(B17:D17)</f>
        <v>4131.83601210738</v>
      </c>
      <c r="F17" s="110"/>
      <c r="G17" s="114">
        <f aca="true" t="shared" si="5" ref="G17:G22">I17-H17</f>
        <v>2657.6908387043277</v>
      </c>
      <c r="H17" s="93">
        <f>((803.224929+5.187+154.906203))*(2.204622/2)</f>
        <v>1061.876173403052</v>
      </c>
      <c r="I17" s="110">
        <f t="shared" si="2"/>
        <v>3719.56701210738</v>
      </c>
      <c r="J17" s="93">
        <f>365.653+46.616</f>
        <v>412.269</v>
      </c>
      <c r="K17" s="110"/>
      <c r="L17" s="110"/>
    </row>
    <row r="18" spans="1:12" ht="15.75">
      <c r="A18" s="17" t="s">
        <v>81</v>
      </c>
      <c r="B18" s="113">
        <f>J17</f>
        <v>412.269</v>
      </c>
      <c r="C18" s="93">
        <f>3561.181+246.358</f>
        <v>3807.539</v>
      </c>
      <c r="D18" s="93">
        <f>(22966.963+5644+947.411)*2.204622/2000</f>
        <v>32.582520802314</v>
      </c>
      <c r="E18" s="93">
        <f t="shared" si="4"/>
        <v>4252.390520802314</v>
      </c>
      <c r="F18" s="110"/>
      <c r="G18" s="114">
        <f t="shared" si="5"/>
        <v>2812.2799784183235</v>
      </c>
      <c r="H18" s="93">
        <f>((812.336895+6.89+133.941986))*(2.204622/2)</f>
        <v>1050.688542383991</v>
      </c>
      <c r="I18" s="110">
        <f t="shared" si="2"/>
        <v>3862.9685208023143</v>
      </c>
      <c r="J18" s="93">
        <f>343.411+46.011</f>
        <v>389.422</v>
      </c>
      <c r="K18" s="110"/>
      <c r="L18" s="110"/>
    </row>
    <row r="19" spans="1:12" ht="15.75">
      <c r="A19" s="17" t="s">
        <v>82</v>
      </c>
      <c r="B19" s="113">
        <f>J18</f>
        <v>389.422</v>
      </c>
      <c r="C19" s="93">
        <f>3411.099+235.294</f>
        <v>3646.393</v>
      </c>
      <c r="D19" s="93">
        <f>(19679.308+2313+1350.185)*2.204622/2000</f>
        <v>25.730686801323007</v>
      </c>
      <c r="E19" s="93">
        <f t="shared" si="4"/>
        <v>4061.545686801323</v>
      </c>
      <c r="F19" s="110"/>
      <c r="G19" s="114">
        <f t="shared" si="5"/>
        <v>2990.0518689217397</v>
      </c>
      <c r="H19" s="93">
        <f>((589.374576+8.573+91.818577))*(2.204622/2)</f>
        <v>760.336817879583</v>
      </c>
      <c r="I19" s="110">
        <f t="shared" si="2"/>
        <v>3750.388686801323</v>
      </c>
      <c r="J19" s="93">
        <f>281.038+30.119</f>
        <v>311.15700000000004</v>
      </c>
      <c r="K19" s="110"/>
      <c r="L19" s="110"/>
    </row>
    <row r="20" spans="1:12" ht="15.75">
      <c r="A20" s="17" t="s">
        <v>84</v>
      </c>
      <c r="B20" s="113">
        <f>J19</f>
        <v>311.15700000000004</v>
      </c>
      <c r="C20" s="93">
        <f>3403.386+240.805</f>
        <v>3644.191</v>
      </c>
      <c r="D20" s="93">
        <f>(20165.229+3113+574.81)*2.204622/2000</f>
        <v>26.293467273129</v>
      </c>
      <c r="E20" s="93">
        <f t="shared" si="4"/>
        <v>3981.641467273129</v>
      </c>
      <c r="F20" s="110"/>
      <c r="G20" s="114">
        <f t="shared" si="5"/>
        <v>2543.4591645280107</v>
      </c>
      <c r="H20" s="93">
        <f>((776.598669+7.542+103.583669))*(2.204622/2)</f>
        <v>978.548302745118</v>
      </c>
      <c r="I20" s="110">
        <f>E20-J20</f>
        <v>3522.007467273129</v>
      </c>
      <c r="J20" s="93">
        <f>419.802+39.832</f>
        <v>459.634</v>
      </c>
      <c r="K20" s="110"/>
      <c r="L20" s="110"/>
    </row>
    <row r="21" spans="1:12" ht="15.75">
      <c r="A21" s="17" t="s">
        <v>85</v>
      </c>
      <c r="B21" s="113">
        <f>J20</f>
        <v>459.634</v>
      </c>
      <c r="C21" s="93">
        <f>3111.301+217.058</f>
        <v>3328.359</v>
      </c>
      <c r="D21" s="93">
        <f>(23685.027+3922+880.38)*2.204622/2000</f>
        <v>31.401982097577</v>
      </c>
      <c r="E21" s="93">
        <f t="shared" si="4"/>
        <v>3819.3949820975768</v>
      </c>
      <c r="F21" s="110"/>
      <c r="G21" s="114">
        <f t="shared" si="5"/>
        <v>2789.1519278875626</v>
      </c>
      <c r="H21" s="93">
        <f>((600.564703+6.676+78.208371))*(2.204622/2)</f>
        <v>755.5780542100141</v>
      </c>
      <c r="I21" s="110">
        <f>E21-J21</f>
        <v>3544.729982097577</v>
      </c>
      <c r="J21" s="93">
        <f>247.799+26.866</f>
        <v>274.665</v>
      </c>
      <c r="K21" s="110"/>
      <c r="L21" s="110"/>
    </row>
    <row r="22" spans="1:12" ht="15.75">
      <c r="A22" s="17" t="s">
        <v>87</v>
      </c>
      <c r="B22" s="113">
        <f>J21</f>
        <v>274.665</v>
      </c>
      <c r="C22" s="93">
        <f>3042.315+215.143</f>
        <v>3257.458</v>
      </c>
      <c r="D22" s="93">
        <f>(25177.686+3462+598.154)*2.204622/2000</f>
        <v>32.22919264824</v>
      </c>
      <c r="E22" s="93">
        <f t="shared" si="4"/>
        <v>3564.35219264824</v>
      </c>
      <c r="F22" s="110"/>
      <c r="G22" s="114">
        <f t="shared" si="5"/>
        <v>2412.028287860233</v>
      </c>
      <c r="H22" s="93">
        <f>((677.122957+2.925+125.92958))*(2.204622/2)</f>
        <v>888.437904788007</v>
      </c>
      <c r="I22" s="110">
        <f>E22-J22</f>
        <v>3300.46619264824</v>
      </c>
      <c r="J22" s="93">
        <f>233.715+30.171</f>
        <v>263.886</v>
      </c>
      <c r="K22" s="110"/>
      <c r="L22" s="110"/>
    </row>
    <row r="23" spans="1:12" ht="15.75">
      <c r="A23" s="17" t="s">
        <v>39</v>
      </c>
      <c r="B23" s="113"/>
      <c r="C23" s="93">
        <f>SUM(C11:C22)</f>
        <v>44671.66199999999</v>
      </c>
      <c r="D23" s="93">
        <f>SUM(D11:D22)</f>
        <v>403.4227568353921</v>
      </c>
      <c r="E23" s="93">
        <f>B11+C23+D23</f>
        <v>45335.54875683538</v>
      </c>
      <c r="F23" s="110">
        <f>SUM(F11:F12)</f>
        <v>0</v>
      </c>
      <c r="G23" s="114">
        <f>SUM(G11:G22)</f>
        <v>33117.813108550705</v>
      </c>
      <c r="H23" s="93">
        <f>SUM(H11:H22)</f>
        <v>11953.849648284682</v>
      </c>
      <c r="I23" s="110">
        <f>SUM(I11:I22)</f>
        <v>45071.66275683539</v>
      </c>
      <c r="J23" s="93"/>
      <c r="K23" s="110"/>
      <c r="L23" s="110"/>
    </row>
    <row r="24" spans="1:10" ht="15.75">
      <c r="A24" s="17"/>
      <c r="B24" s="110"/>
      <c r="C24" s="93"/>
      <c r="D24" s="93"/>
      <c r="E24" s="93"/>
      <c r="F24" s="110"/>
      <c r="G24" s="93"/>
      <c r="H24" s="93"/>
      <c r="I24" s="93"/>
      <c r="J24" s="110"/>
    </row>
    <row r="25" spans="1:10" ht="15.75">
      <c r="A25" s="15" t="s">
        <v>163</v>
      </c>
      <c r="B25" s="78"/>
      <c r="C25" s="93"/>
      <c r="D25" s="93"/>
      <c r="E25" s="93"/>
      <c r="F25" s="110"/>
      <c r="G25" s="93"/>
      <c r="H25" s="93"/>
      <c r="I25" s="93"/>
      <c r="J25" s="110"/>
    </row>
    <row r="26" spans="1:12" ht="15.75">
      <c r="A26" s="17" t="s">
        <v>74</v>
      </c>
      <c r="B26" s="113">
        <f>J22</f>
        <v>263.886</v>
      </c>
      <c r="C26" s="93">
        <f>3830.125+273.917</f>
        <v>4104.042</v>
      </c>
      <c r="D26" s="93">
        <f>(20102.004+3304+507.805)*2.204622/2000</f>
        <v>26.360454712599005</v>
      </c>
      <c r="E26" s="93">
        <f aca="true" t="shared" si="6" ref="E26:E31">SUM(B26:D26)</f>
        <v>4394.2884547126</v>
      </c>
      <c r="F26" s="110"/>
      <c r="G26" s="114">
        <f aca="true" t="shared" si="7" ref="G26:G31">I26-H26</f>
        <v>3084.1154310607744</v>
      </c>
      <c r="H26" s="93">
        <f>((693.141819+2.805+150.046756))*(2.204622/2)</f>
        <v>932.548023651825</v>
      </c>
      <c r="I26" s="110">
        <f aca="true" t="shared" si="8" ref="I26:I32">E26-J26</f>
        <v>4016.6634547125996</v>
      </c>
      <c r="J26" s="93">
        <f>335.413+42.212</f>
        <v>377.625</v>
      </c>
      <c r="K26" s="110"/>
      <c r="L26" s="110"/>
    </row>
    <row r="27" spans="1:12" ht="15.75">
      <c r="A27" s="17" t="s">
        <v>75</v>
      </c>
      <c r="B27" s="113">
        <f aca="true" t="shared" si="9" ref="B27:B32">J26</f>
        <v>377.625</v>
      </c>
      <c r="C27" s="93">
        <f>3739.093+273.414</f>
        <v>4012.5069999999996</v>
      </c>
      <c r="D27" s="93">
        <f>(21499.507+3901+120.943)*2.204622/2000</f>
        <v>28.132575070950004</v>
      </c>
      <c r="E27" s="93">
        <f t="shared" si="6"/>
        <v>4418.26457507095</v>
      </c>
      <c r="F27" s="110"/>
      <c r="G27" s="114">
        <f t="shared" si="7"/>
        <v>2997.7173049214557</v>
      </c>
      <c r="H27" s="93">
        <f>((667.273624+3.395+247.86913))*(2.204622/2)</f>
        <v>1012.5142701494941</v>
      </c>
      <c r="I27" s="110">
        <f t="shared" si="8"/>
        <v>4010.23157507095</v>
      </c>
      <c r="J27" s="93">
        <f>361.959+46.074</f>
        <v>408.033</v>
      </c>
      <c r="K27" s="110"/>
      <c r="L27" s="110"/>
    </row>
    <row r="28" spans="1:12" ht="15.75">
      <c r="A28" s="17" t="s">
        <v>76</v>
      </c>
      <c r="B28" s="113">
        <f t="shared" si="9"/>
        <v>408.033</v>
      </c>
      <c r="C28" s="93">
        <f>3690.668+273.479</f>
        <v>3964.147</v>
      </c>
      <c r="D28" s="93">
        <f>(19136.428+4259+130.318)*2.204622/2000</f>
        <v>25.932688599006</v>
      </c>
      <c r="E28" s="93">
        <f t="shared" si="6"/>
        <v>4398.112688599006</v>
      </c>
      <c r="F28" s="110"/>
      <c r="G28" s="114">
        <f t="shared" si="7"/>
        <v>3012.122189731065</v>
      </c>
      <c r="H28" s="93">
        <f>((650.497579+2.548+199.327752))*(2.204622/2)</f>
        <v>939.5804988679411</v>
      </c>
      <c r="I28" s="110">
        <f t="shared" si="8"/>
        <v>3951.7026885990063</v>
      </c>
      <c r="J28" s="93">
        <f>403.901+42.509</f>
        <v>446.41</v>
      </c>
      <c r="K28" s="110"/>
      <c r="L28" s="110"/>
    </row>
    <row r="29" spans="1:12" ht="15.75">
      <c r="A29" s="17" t="s">
        <v>77</v>
      </c>
      <c r="B29" s="113">
        <f t="shared" si="9"/>
        <v>446.41</v>
      </c>
      <c r="C29" s="93">
        <f>3752.094+260.706</f>
        <v>4012.8</v>
      </c>
      <c r="D29" s="93">
        <f>(28002.473+4355+726.884)*2.204622/2000</f>
        <v>36.469250649027</v>
      </c>
      <c r="E29" s="93">
        <f t="shared" si="6"/>
        <v>4495.679250649027</v>
      </c>
      <c r="F29" s="110"/>
      <c r="G29" s="114">
        <f t="shared" si="7"/>
        <v>2762.716568557855</v>
      </c>
      <c r="H29" s="93">
        <f>((955.04107+3.027+227.792982))*(2.204622/2)</f>
        <v>1307.187682091172</v>
      </c>
      <c r="I29" s="110">
        <f t="shared" si="8"/>
        <v>4069.9042506490273</v>
      </c>
      <c r="J29" s="93">
        <f>387.186+38.589</f>
        <v>425.775</v>
      </c>
      <c r="K29" s="110"/>
      <c r="L29" s="110"/>
    </row>
    <row r="30" spans="1:12" ht="15.75">
      <c r="A30" s="17" t="s">
        <v>78</v>
      </c>
      <c r="B30" s="113">
        <f t="shared" si="9"/>
        <v>425.775</v>
      </c>
      <c r="C30" s="93">
        <f>3322.036+227.357</f>
        <v>3549.393</v>
      </c>
      <c r="D30" s="93">
        <f>(28244.05+3893+387.116)*2.204622/2000</f>
        <v>35.851745947626</v>
      </c>
      <c r="E30" s="93">
        <f t="shared" si="6"/>
        <v>4011.0197459476262</v>
      </c>
      <c r="F30" s="110"/>
      <c r="G30" s="114">
        <f t="shared" si="7"/>
        <v>2561.662982516982</v>
      </c>
      <c r="H30" s="93">
        <f>((813.913628+11.508+133.305776))*(2.204622/2)</f>
        <v>1056.8157634306442</v>
      </c>
      <c r="I30" s="110">
        <f t="shared" si="8"/>
        <v>3618.478745947626</v>
      </c>
      <c r="J30" s="93">
        <f>362.627+29.914</f>
        <v>392.541</v>
      </c>
      <c r="K30" s="110"/>
      <c r="L30" s="110"/>
    </row>
    <row r="31" spans="1:12" ht="15.75">
      <c r="A31" s="17" t="s">
        <v>79</v>
      </c>
      <c r="B31" s="113">
        <f t="shared" si="9"/>
        <v>392.541</v>
      </c>
      <c r="C31" s="93">
        <f>3511.933+243.405</f>
        <v>3755.338</v>
      </c>
      <c r="D31" s="93">
        <f>(18840.141+3912+533.996)*2.204622/2000</f>
        <v>25.668564962607</v>
      </c>
      <c r="E31" s="93">
        <f t="shared" si="6"/>
        <v>4173.547564962607</v>
      </c>
      <c r="F31" s="110"/>
      <c r="G31" s="114">
        <f t="shared" si="7"/>
        <v>2382.4983369100137</v>
      </c>
      <c r="H31" s="93">
        <f>((1035.967822+3.391+282.778241))*(2.204622/2)</f>
        <v>1457.4062280525932</v>
      </c>
      <c r="I31" s="110">
        <f t="shared" si="8"/>
        <v>3839.904564962607</v>
      </c>
      <c r="J31" s="93">
        <f>300.938+32.705</f>
        <v>333.643</v>
      </c>
      <c r="K31" s="110"/>
      <c r="L31" s="110"/>
    </row>
    <row r="32" spans="1:12" ht="15.75">
      <c r="A32" s="17" t="s">
        <v>80</v>
      </c>
      <c r="B32" s="113">
        <f t="shared" si="9"/>
        <v>333.643</v>
      </c>
      <c r="C32" s="93">
        <f>3288.603+221.65</f>
        <v>3510.253</v>
      </c>
      <c r="D32" s="93">
        <f>(22651.37+3430+234.788)*2.204622/2000</f>
        <v>29.008590441138</v>
      </c>
      <c r="E32" s="93">
        <f aca="true" t="shared" si="10" ref="E32:E37">SUM(B32:D32)</f>
        <v>3872.904590441138</v>
      </c>
      <c r="F32" s="110"/>
      <c r="G32" s="114">
        <f aca="true" t="shared" si="11" ref="G32:G37">I32-H32</f>
        <v>2556.8166128871594</v>
      </c>
      <c r="H32" s="93">
        <f>((647.266616+15.782+162.156773))*(2.204622/2)</f>
        <v>909.632977553979</v>
      </c>
      <c r="I32" s="110">
        <f t="shared" si="8"/>
        <v>3466.4495904411383</v>
      </c>
      <c r="J32" s="93">
        <f>367.686+38.769</f>
        <v>406.455</v>
      </c>
      <c r="K32" s="110"/>
      <c r="L32" s="110"/>
    </row>
    <row r="33" spans="1:12" ht="15.75">
      <c r="A33" s="17" t="s">
        <v>81</v>
      </c>
      <c r="B33" s="113">
        <f>J32</f>
        <v>406.455</v>
      </c>
      <c r="C33" s="93">
        <f>3491.318+240.712</f>
        <v>3732.03</v>
      </c>
      <c r="D33" s="93">
        <f>(27525.607+4193+551.493)*2.204622/2000</f>
        <v>35.5716862011</v>
      </c>
      <c r="E33" s="93">
        <f t="shared" si="10"/>
        <v>4174.056686201101</v>
      </c>
      <c r="F33" s="110"/>
      <c r="G33" s="114">
        <f t="shared" si="11"/>
        <v>2947.488491394739</v>
      </c>
      <c r="H33" s="93">
        <f>((586.449587+7.811+130.195755))*(2.204622/2)</f>
        <v>798.576194806362</v>
      </c>
      <c r="I33" s="110">
        <f>E33-J33</f>
        <v>3746.064686201101</v>
      </c>
      <c r="J33" s="93">
        <f>375.156+52.836</f>
        <v>427.992</v>
      </c>
      <c r="K33" s="110"/>
      <c r="L33" s="110"/>
    </row>
    <row r="34" spans="1:12" ht="15.75">
      <c r="A34" s="17" t="s">
        <v>82</v>
      </c>
      <c r="B34" s="113">
        <f>J33</f>
        <v>427.992</v>
      </c>
      <c r="C34" s="93">
        <f>3268.397+221.13</f>
        <v>3489.527</v>
      </c>
      <c r="D34" s="93">
        <f>(23961.968+3686+352.707)*2.204622/2000</f>
        <v>30.865452059924998</v>
      </c>
      <c r="E34" s="93">
        <f t="shared" si="10"/>
        <v>3948.384452059925</v>
      </c>
      <c r="F34" s="110"/>
      <c r="G34" s="114">
        <f t="shared" si="11"/>
        <v>2747.302544856322</v>
      </c>
      <c r="H34" s="93">
        <f>((612.308227+13.92+145.877746))*(2.204622/2)</f>
        <v>851.100907203603</v>
      </c>
      <c r="I34" s="110">
        <f>E34-J34</f>
        <v>3598.4034520599253</v>
      </c>
      <c r="J34" s="93">
        <f>314.965+35.016</f>
        <v>349.981</v>
      </c>
      <c r="K34" s="110"/>
      <c r="L34" s="110"/>
    </row>
    <row r="35" spans="1:12" ht="15.75">
      <c r="A35" s="17" t="s">
        <v>84</v>
      </c>
      <c r="B35" s="113">
        <f>J34</f>
        <v>349.981</v>
      </c>
      <c r="C35" s="93">
        <f>3400.652+237.432</f>
        <v>3638.084</v>
      </c>
      <c r="D35" s="93">
        <f>(13691.999+2447+200.791+27.504)*2.204622/2000</f>
        <v>18.041848216434</v>
      </c>
      <c r="E35" s="93">
        <f t="shared" si="10"/>
        <v>4006.1068482164337</v>
      </c>
      <c r="F35" s="110"/>
      <c r="G35" s="114">
        <f t="shared" si="11"/>
        <v>2809.6254783808527</v>
      </c>
      <c r="H35" s="93">
        <f>((589.901428+5.875+105.280143))*(2.204622/2)</f>
        <v>772.782369835581</v>
      </c>
      <c r="I35" s="110">
        <f>E35-J35</f>
        <v>3582.4078482164336</v>
      </c>
      <c r="J35" s="93">
        <f>385.868+37.831</f>
        <v>423.699</v>
      </c>
      <c r="K35" s="110"/>
      <c r="L35" s="110"/>
    </row>
    <row r="36" spans="1:12" ht="15.75">
      <c r="A36" s="17" t="s">
        <v>85</v>
      </c>
      <c r="B36" s="113">
        <f>J35</f>
        <v>423.699</v>
      </c>
      <c r="C36" s="93">
        <f>3319.155+237.324</f>
        <v>3556.4790000000003</v>
      </c>
      <c r="D36" s="93">
        <f>(22385.117+3449+117.308+1855.441)*2.204622/2000</f>
        <v>30.651814267326</v>
      </c>
      <c r="E36" s="93">
        <f t="shared" si="10"/>
        <v>4010.829814267326</v>
      </c>
      <c r="F36" s="110"/>
      <c r="G36" s="114">
        <f t="shared" si="11"/>
        <v>2809.030081686718</v>
      </c>
      <c r="H36" s="93">
        <f>((667.072312+4.113+122.891616))*(2.204622/2)</f>
        <v>875.3197325806082</v>
      </c>
      <c r="I36" s="110">
        <f>E36-J36</f>
        <v>3684.349814267326</v>
      </c>
      <c r="J36" s="93">
        <f>290.921+35.559</f>
        <v>326.48</v>
      </c>
      <c r="K36" s="110"/>
      <c r="L36" s="110"/>
    </row>
    <row r="37" spans="1:12" ht="15.75">
      <c r="A37" s="17" t="s">
        <v>87</v>
      </c>
      <c r="B37" s="113">
        <f>J36</f>
        <v>326.48</v>
      </c>
      <c r="C37" s="93">
        <f>3188.771+219.873</f>
        <v>3408.6440000000002</v>
      </c>
      <c r="D37" s="93">
        <f>(20301.931+4018+105.104+15.191)*2.204622/2000</f>
        <v>26.940729962286</v>
      </c>
      <c r="E37" s="93">
        <f t="shared" si="10"/>
        <v>3762.064729962286</v>
      </c>
      <c r="F37" s="110"/>
      <c r="G37" s="114">
        <f t="shared" si="11"/>
        <v>2673.986502943299</v>
      </c>
      <c r="H37" s="93">
        <f>((492.505091+4.872+126.265626))*(2.204622/2)</f>
        <v>687.4482270189869</v>
      </c>
      <c r="I37" s="110">
        <f>E37-J37</f>
        <v>3361.434729962286</v>
      </c>
      <c r="J37" s="93">
        <f>353.758+46.872</f>
        <v>400.63</v>
      </c>
      <c r="K37" s="110"/>
      <c r="L37" s="110"/>
    </row>
    <row r="38" spans="1:12" ht="15.75">
      <c r="A38" s="14" t="s">
        <v>166</v>
      </c>
      <c r="B38" s="122"/>
      <c r="C38" s="104">
        <f>SUM(C26:C37)</f>
        <v>44733.244</v>
      </c>
      <c r="D38" s="104">
        <f>SUM(D26:D37)</f>
        <v>349.4954010900241</v>
      </c>
      <c r="E38" s="104">
        <f>B26+C38+D38</f>
        <v>45346.62540109002</v>
      </c>
      <c r="F38" s="107">
        <f>SUM(F16:F17)</f>
        <v>0</v>
      </c>
      <c r="G38" s="104">
        <f>SUM(G26:G37)</f>
        <v>33345.08252584724</v>
      </c>
      <c r="H38" s="104">
        <f>SUM(H26:H37)</f>
        <v>11600.912875242791</v>
      </c>
      <c r="I38" s="104">
        <f>SUM(I26:I37)</f>
        <v>44945.995401090026</v>
      </c>
      <c r="J38" s="104"/>
      <c r="K38" s="110"/>
      <c r="L38" s="110"/>
    </row>
    <row r="39" spans="1:10" ht="18.75">
      <c r="A39" s="43" t="s">
        <v>131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.75">
      <c r="A40" s="15" t="s">
        <v>102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5.75">
      <c r="A41" s="15" t="s">
        <v>26</v>
      </c>
      <c r="B41" s="25">
        <f ca="1">NOW()</f>
        <v>43052.74469270834</v>
      </c>
      <c r="C41" s="26"/>
      <c r="D41" s="22"/>
      <c r="E41" s="22"/>
      <c r="F41" s="22"/>
      <c r="G41" s="22"/>
      <c r="H41" s="22"/>
      <c r="I41" s="22"/>
      <c r="J41" s="22"/>
    </row>
    <row r="42" spans="8:10" ht="12.75">
      <c r="H42" s="3"/>
      <c r="I42" s="3"/>
      <c r="J42" s="3"/>
    </row>
    <row r="43" spans="1:10" ht="12.75">
      <c r="A43" s="1"/>
      <c r="B43" s="3"/>
      <c r="C43" s="4"/>
      <c r="D43" s="3"/>
      <c r="E43" s="3"/>
      <c r="F43" s="3"/>
      <c r="G43" s="3"/>
      <c r="H43" s="5"/>
      <c r="I43" s="3"/>
      <c r="J43" s="3"/>
    </row>
    <row r="44" spans="1:10" ht="12.75">
      <c r="A44" s="1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0" t="s">
        <v>0</v>
      </c>
      <c r="C2" s="150"/>
      <c r="D2" s="150"/>
      <c r="E2" s="150"/>
      <c r="F2" s="17"/>
      <c r="G2" s="150" t="s">
        <v>24</v>
      </c>
      <c r="H2" s="150"/>
      <c r="I2" s="150"/>
      <c r="J2" s="108"/>
      <c r="K2" s="108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8" t="s">
        <v>36</v>
      </c>
      <c r="H3" s="109"/>
      <c r="I3" s="109"/>
      <c r="J3" s="32" t="s">
        <v>40</v>
      </c>
      <c r="K3" s="32" t="s">
        <v>33</v>
      </c>
      <c r="L3" s="32" t="s">
        <v>35</v>
      </c>
    </row>
    <row r="4" spans="1:12" ht="15.75">
      <c r="A4" s="70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48" t="s">
        <v>153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8">
        <f>B13</f>
        <v>1854.818</v>
      </c>
      <c r="C7" s="78">
        <f>C25</f>
        <v>21950.230999999996</v>
      </c>
      <c r="D7" s="78">
        <f>D25</f>
        <v>287.646080108688</v>
      </c>
      <c r="E7" s="78">
        <f>+B7+C7+D7</f>
        <v>24092.695080108682</v>
      </c>
      <c r="F7" s="78"/>
      <c r="G7" s="78">
        <f>+K7-J7</f>
        <v>20163.340848467946</v>
      </c>
      <c r="H7" s="78">
        <f>H25</f>
        <v>5670.21</v>
      </c>
      <c r="I7" s="78">
        <f>G7-H7</f>
        <v>14493.130848467947</v>
      </c>
      <c r="J7" s="78">
        <f>J25</f>
        <v>2242.5412316407383</v>
      </c>
      <c r="K7" s="78">
        <f>+E7-L7</f>
        <v>22405.882080108684</v>
      </c>
      <c r="L7" s="78">
        <f>L24</f>
        <v>1686.813</v>
      </c>
      <c r="M7" s="59"/>
    </row>
    <row r="8" spans="1:13" ht="18.75">
      <c r="A8" s="15" t="s">
        <v>159</v>
      </c>
      <c r="B8" s="78">
        <f>+L7</f>
        <v>1686.813</v>
      </c>
      <c r="C8" s="78">
        <f>C40</f>
        <v>22098.763</v>
      </c>
      <c r="D8" s="78">
        <f>D40</f>
        <v>318.24398695887</v>
      </c>
      <c r="E8" s="78">
        <f>+B8+C8+D8</f>
        <v>24103.81998695887</v>
      </c>
      <c r="F8" s="78"/>
      <c r="G8" s="78">
        <f>+K8-J8</f>
        <v>19836.557246716395</v>
      </c>
      <c r="H8" s="78">
        <v>6200</v>
      </c>
      <c r="I8" s="78">
        <f>G8-H8</f>
        <v>13636.557246716395</v>
      </c>
      <c r="J8" s="78">
        <f>J40</f>
        <v>2556.308740242474</v>
      </c>
      <c r="K8" s="78">
        <f>+E8-L8</f>
        <v>22392.86598695887</v>
      </c>
      <c r="L8" s="78">
        <f>L39</f>
        <v>1710.954</v>
      </c>
      <c r="M8" s="59"/>
    </row>
    <row r="9" spans="1:13" ht="18.75">
      <c r="A9" s="15" t="s">
        <v>167</v>
      </c>
      <c r="B9" s="78">
        <f>+L8</f>
        <v>1710.954</v>
      </c>
      <c r="C9" s="78">
        <v>22505</v>
      </c>
      <c r="D9" s="78">
        <v>300</v>
      </c>
      <c r="E9" s="78">
        <f>+B9+C9+D9</f>
        <v>24515.954</v>
      </c>
      <c r="F9" s="78"/>
      <c r="G9" s="78">
        <f>+K9-J9</f>
        <v>20799.954</v>
      </c>
      <c r="H9" s="78">
        <v>7000</v>
      </c>
      <c r="I9" s="78">
        <f>G9-H9</f>
        <v>13799.954000000002</v>
      </c>
      <c r="J9" s="78">
        <v>2100</v>
      </c>
      <c r="K9" s="78">
        <f>+E9-L9</f>
        <v>22899.954</v>
      </c>
      <c r="L9" s="78">
        <v>1616</v>
      </c>
      <c r="M9" s="59"/>
    </row>
    <row r="10" spans="1:13" ht="15.75">
      <c r="A10" s="1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59"/>
    </row>
    <row r="11" spans="1:13" ht="15.75">
      <c r="A11" s="15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9"/>
    </row>
    <row r="12" spans="1:13" ht="15.75">
      <c r="A12" s="15" t="s">
        <v>140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59"/>
    </row>
    <row r="13" spans="1:12" ht="15.75">
      <c r="A13" s="17" t="s">
        <v>74</v>
      </c>
      <c r="B13" s="110">
        <v>1854.818</v>
      </c>
      <c r="C13" s="118">
        <v>1962.937</v>
      </c>
      <c r="D13" s="110">
        <f>(11.263021+0+8.383554+0)*2.204622</f>
        <v>43.31327146965</v>
      </c>
      <c r="E13" s="110">
        <f aca="true" t="shared" si="0" ref="E13:E19">SUM(B13:D13)</f>
        <v>3861.06827146965</v>
      </c>
      <c r="F13" s="110"/>
      <c r="G13" s="110">
        <f aca="true" t="shared" si="1" ref="G13:G19">K13-J13</f>
        <v>1741.0667282298218</v>
      </c>
      <c r="H13" s="110">
        <v>407.75</v>
      </c>
      <c r="I13" s="110">
        <f aca="true" t="shared" si="2" ref="I13:I24">G13-H13</f>
        <v>1333.3167282298218</v>
      </c>
      <c r="J13" s="110">
        <f>(68.457137+0.168758+12.516928+0.337151)*2.204622</f>
        <v>179.632543239828</v>
      </c>
      <c r="K13" s="110">
        <f aca="true" t="shared" si="3" ref="K13:K19">E13-L13</f>
        <v>1920.6992714696498</v>
      </c>
      <c r="L13" s="110">
        <f>1569.861+370.508</f>
        <v>1940.3690000000001</v>
      </c>
    </row>
    <row r="14" spans="1:12" ht="15.75">
      <c r="A14" s="17" t="s">
        <v>75</v>
      </c>
      <c r="B14" s="110">
        <f aca="true" t="shared" si="4" ref="B14:B19">L13</f>
        <v>1940.3690000000001</v>
      </c>
      <c r="C14" s="118">
        <v>1901.853</v>
      </c>
      <c r="D14" s="110">
        <f>(0.404275+0.020412+7.673322+0)*2.204622</f>
        <v>17.853048797598</v>
      </c>
      <c r="E14" s="110">
        <f t="shared" si="0"/>
        <v>3860.0750487975984</v>
      </c>
      <c r="F14" s="110"/>
      <c r="G14" s="110">
        <f t="shared" si="1"/>
        <v>1661.2128644706982</v>
      </c>
      <c r="H14" s="110">
        <v>463.63</v>
      </c>
      <c r="I14" s="110">
        <f t="shared" si="2"/>
        <v>1197.582864470698</v>
      </c>
      <c r="J14" s="110">
        <f>(96.450176+0.052248+8.912495+0.274031)*2.204622</f>
        <v>233.0041843269</v>
      </c>
      <c r="K14" s="110">
        <f t="shared" si="3"/>
        <v>1894.2170487975982</v>
      </c>
      <c r="L14" s="110">
        <f>1545.181+420.677</f>
        <v>1965.8580000000002</v>
      </c>
    </row>
    <row r="15" spans="1:12" ht="15.75">
      <c r="A15" s="17" t="s">
        <v>76</v>
      </c>
      <c r="B15" s="110">
        <f t="shared" si="4"/>
        <v>1965.8580000000002</v>
      </c>
      <c r="C15" s="118">
        <v>1929.027</v>
      </c>
      <c r="D15" s="110">
        <f>(0.426012+0+9.716081+0)*2.204622</f>
        <v>22.359481353846004</v>
      </c>
      <c r="E15" s="110">
        <f t="shared" si="0"/>
        <v>3917.2444813538464</v>
      </c>
      <c r="F15" s="110"/>
      <c r="G15" s="110">
        <f t="shared" si="1"/>
        <v>1623.9892890065603</v>
      </c>
      <c r="H15" s="110">
        <v>435.62</v>
      </c>
      <c r="I15" s="110">
        <f t="shared" si="2"/>
        <v>1188.3692890065604</v>
      </c>
      <c r="J15" s="110">
        <f>(127.771858+0.163223+17.227472+0.32506)*2.204622</f>
        <v>320.74519234728604</v>
      </c>
      <c r="K15" s="110">
        <f t="shared" si="3"/>
        <v>1944.7344813538464</v>
      </c>
      <c r="L15" s="110">
        <f>1576.849+395.661</f>
        <v>1972.51</v>
      </c>
    </row>
    <row r="16" spans="1:12" ht="15.75">
      <c r="A16" s="17" t="s">
        <v>77</v>
      </c>
      <c r="B16" s="110">
        <f t="shared" si="4"/>
        <v>1972.51</v>
      </c>
      <c r="C16" s="118">
        <v>1864.887</v>
      </c>
      <c r="D16" s="110">
        <f>(0.66165+0+6.999396+0)*2.204622</f>
        <v>16.889710554612</v>
      </c>
      <c r="E16" s="110">
        <f t="shared" si="0"/>
        <v>3854.286710554612</v>
      </c>
      <c r="F16" s="110"/>
      <c r="G16" s="110">
        <f t="shared" si="1"/>
        <v>1576.55339361067</v>
      </c>
      <c r="H16" s="110">
        <v>392.27</v>
      </c>
      <c r="I16" s="110">
        <f t="shared" si="2"/>
        <v>1184.28339361067</v>
      </c>
      <c r="J16" s="110">
        <f>(64.298556+0.202493+10.705986+0.514026)*2.204622</f>
        <v>166.93631694394202</v>
      </c>
      <c r="K16" s="110">
        <f t="shared" si="3"/>
        <v>1743.489710554612</v>
      </c>
      <c r="L16" s="110">
        <f>1724.459+386.338</f>
        <v>2110.797</v>
      </c>
    </row>
    <row r="17" spans="1:12" ht="15.75">
      <c r="A17" s="17" t="s">
        <v>78</v>
      </c>
      <c r="B17" s="110">
        <f t="shared" si="4"/>
        <v>2110.797</v>
      </c>
      <c r="C17" s="118">
        <v>1795.866</v>
      </c>
      <c r="D17" s="110">
        <f>(6.983861+0+5.636542+0)*2.204622</f>
        <v>27.823218102666</v>
      </c>
      <c r="E17" s="110">
        <f t="shared" si="0"/>
        <v>3934.486218102666</v>
      </c>
      <c r="F17" s="110"/>
      <c r="G17" s="110">
        <f t="shared" si="1"/>
        <v>1539.623280315084</v>
      </c>
      <c r="H17" s="110">
        <v>394.76</v>
      </c>
      <c r="I17" s="110">
        <f t="shared" si="2"/>
        <v>1144.863280315084</v>
      </c>
      <c r="J17" s="110">
        <f>(39.741744+0.144371+11.8642+0.270366)*2.204622</f>
        <v>114.685937787582</v>
      </c>
      <c r="K17" s="110">
        <f t="shared" si="3"/>
        <v>1654.309218102666</v>
      </c>
      <c r="L17" s="110">
        <f>1880.21+399.967</f>
        <v>2280.177</v>
      </c>
    </row>
    <row r="18" spans="1:12" ht="15.75">
      <c r="A18" s="17" t="s">
        <v>79</v>
      </c>
      <c r="B18" s="110">
        <f t="shared" si="4"/>
        <v>2280.177</v>
      </c>
      <c r="C18" s="118">
        <v>1943.537</v>
      </c>
      <c r="D18" s="110">
        <f>(0.591834+0+7.634827+0)*2.204622</f>
        <v>18.136677827142</v>
      </c>
      <c r="E18" s="110">
        <f t="shared" si="0"/>
        <v>4241.850677827142</v>
      </c>
      <c r="F18" s="110"/>
      <c r="G18" s="110">
        <f t="shared" si="1"/>
        <v>1683.8004077399023</v>
      </c>
      <c r="H18" s="110">
        <v>464.48</v>
      </c>
      <c r="I18" s="110">
        <f t="shared" si="2"/>
        <v>1219.3204077399023</v>
      </c>
      <c r="J18" s="110">
        <f>(90.421404+0.56824+14.369382+0.384394)*2.204622</f>
        <v>233.12427008724</v>
      </c>
      <c r="K18" s="110">
        <f t="shared" si="3"/>
        <v>1916.9246778271422</v>
      </c>
      <c r="L18" s="110">
        <f>1956.599+368.327</f>
        <v>2324.926</v>
      </c>
    </row>
    <row r="19" spans="1:12" ht="15.75">
      <c r="A19" s="17" t="s">
        <v>80</v>
      </c>
      <c r="B19" s="110">
        <f t="shared" si="4"/>
        <v>2324.926</v>
      </c>
      <c r="C19" s="118">
        <v>1840.263</v>
      </c>
      <c r="D19" s="110">
        <f>(3.55044+0+9.479238+0)*2.204622</f>
        <v>28.725514771716004</v>
      </c>
      <c r="E19" s="110">
        <f t="shared" si="0"/>
        <v>4193.914514771716</v>
      </c>
      <c r="F19" s="110"/>
      <c r="G19" s="110">
        <f t="shared" si="1"/>
        <v>1648.1214319413682</v>
      </c>
      <c r="H19" s="110">
        <v>414.75</v>
      </c>
      <c r="I19" s="110">
        <f t="shared" si="2"/>
        <v>1233.3714319413682</v>
      </c>
      <c r="J19" s="110">
        <f>(43.735649+0.152257+12.684186+0.478542)*2.204622</f>
        <v>125.775082830348</v>
      </c>
      <c r="K19" s="110">
        <f t="shared" si="3"/>
        <v>1773.8965147717163</v>
      </c>
      <c r="L19" s="110">
        <f>2048.554+371.464</f>
        <v>2420.018</v>
      </c>
    </row>
    <row r="20" spans="1:12" ht="15.75">
      <c r="A20" s="17" t="s">
        <v>81</v>
      </c>
      <c r="B20" s="110">
        <f>L19</f>
        <v>2420.018</v>
      </c>
      <c r="C20" s="118">
        <v>1876.184</v>
      </c>
      <c r="D20" s="110">
        <f>(0.629094+0.001199+14.358572+0)*2.204622</f>
        <v>33.04478153403</v>
      </c>
      <c r="E20" s="110">
        <f>SUM(B20:D20)</f>
        <v>4329.246781534031</v>
      </c>
      <c r="F20" s="110"/>
      <c r="G20" s="110">
        <f>K20-J20</f>
        <v>1759.2898444626287</v>
      </c>
      <c r="H20" s="110">
        <v>543.78</v>
      </c>
      <c r="I20" s="110">
        <f t="shared" si="2"/>
        <v>1215.5098444626287</v>
      </c>
      <c r="J20" s="110">
        <f>(35.456096+0.189388+11.250035+0.195972)*2.204622</f>
        <v>103.81893707140202</v>
      </c>
      <c r="K20" s="110">
        <f>E20-L20</f>
        <v>1863.1087815340306</v>
      </c>
      <c r="L20" s="110">
        <f>2063.24+402.898</f>
        <v>2466.138</v>
      </c>
    </row>
    <row r="21" spans="1:12" ht="15.75">
      <c r="A21" s="17" t="s">
        <v>82</v>
      </c>
      <c r="B21" s="110">
        <f>L20</f>
        <v>2466.138</v>
      </c>
      <c r="C21" s="118">
        <v>1787.234</v>
      </c>
      <c r="D21" s="110">
        <f>(0.618843+0.000579+6.779714+0.02175)*2.204622</f>
        <v>16.360248535092</v>
      </c>
      <c r="E21" s="110">
        <f>SUM(B21:D21)</f>
        <v>4269.7322485350915</v>
      </c>
      <c r="F21" s="110"/>
      <c r="G21" s="110">
        <f>K21-J21</f>
        <v>1687.0728797820955</v>
      </c>
      <c r="H21" s="110">
        <v>519.69</v>
      </c>
      <c r="I21" s="110">
        <f t="shared" si="2"/>
        <v>1167.3828797820954</v>
      </c>
      <c r="J21" s="110">
        <f>(58.786371+0.182565+12.59214+0.344842)*2.204622</f>
        <v>158.525368752996</v>
      </c>
      <c r="K21" s="110">
        <f>E21-L21</f>
        <v>1845.5982485350914</v>
      </c>
      <c r="L21" s="110">
        <f>2042.738+381.396</f>
        <v>2424.134</v>
      </c>
    </row>
    <row r="22" spans="1:12" ht="15.75">
      <c r="A22" s="17" t="s">
        <v>84</v>
      </c>
      <c r="B22" s="110">
        <f>L21</f>
        <v>2424.134</v>
      </c>
      <c r="C22" s="118">
        <v>1789.356</v>
      </c>
      <c r="D22" s="110">
        <f>(0.493857+0+7.153607+0)*2.204622</f>
        <v>16.859767378608</v>
      </c>
      <c r="E22" s="110">
        <f>SUM(B22:D22)</f>
        <v>4230.349767378608</v>
      </c>
      <c r="F22" s="110"/>
      <c r="G22" s="110">
        <f>K22-J22</f>
        <v>1737.0568397200916</v>
      </c>
      <c r="H22" s="110">
        <v>535.6</v>
      </c>
      <c r="I22" s="110">
        <f t="shared" si="2"/>
        <v>1201.4568397200915</v>
      </c>
      <c r="J22" s="110">
        <f>(106.944346+0.201312+19.122929+0.290491)*2.204622</f>
        <v>279.014927658516</v>
      </c>
      <c r="K22" s="110">
        <f>E22-L22</f>
        <v>2016.0717673786075</v>
      </c>
      <c r="L22" s="110">
        <f>1865.797+348.481</f>
        <v>2214.2780000000002</v>
      </c>
    </row>
    <row r="23" spans="1:12" ht="15.75">
      <c r="A23" s="17" t="s">
        <v>85</v>
      </c>
      <c r="B23" s="110">
        <f>L22</f>
        <v>2214.2780000000002</v>
      </c>
      <c r="C23" s="118">
        <v>1642.478</v>
      </c>
      <c r="D23" s="110">
        <f>(0.449258+0+11.483441+0.018574)*2.204622</f>
        <v>26.348039383805997</v>
      </c>
      <c r="E23" s="110">
        <f>SUM(B23:D23)</f>
        <v>3883.104039383806</v>
      </c>
      <c r="F23" s="110"/>
      <c r="G23" s="110">
        <f>K23-J23</f>
        <v>1797.9908619571322</v>
      </c>
      <c r="H23" s="110">
        <v>561.04</v>
      </c>
      <c r="I23" s="110">
        <f t="shared" si="2"/>
        <v>1236.9508619571322</v>
      </c>
      <c r="J23" s="110">
        <f>(31.239263+0.090549+13.409825+0.33393)*2.204622</f>
        <v>99.37017742667402</v>
      </c>
      <c r="K23" s="110">
        <f>E23-L23</f>
        <v>1897.3610393838062</v>
      </c>
      <c r="L23" s="110">
        <f>1666.531+319.212</f>
        <v>1985.743</v>
      </c>
    </row>
    <row r="24" spans="1:12" ht="15.75">
      <c r="A24" s="17" t="s">
        <v>87</v>
      </c>
      <c r="B24" s="110">
        <f>L23</f>
        <v>1985.743</v>
      </c>
      <c r="C24" s="118">
        <v>1616.609</v>
      </c>
      <c r="D24" s="110">
        <f>(0.353214+0+8.687937+0)*2.204622</f>
        <v>19.932320399922</v>
      </c>
      <c r="E24" s="110">
        <f>SUM(B24:D24)</f>
        <v>3622.284320399922</v>
      </c>
      <c r="F24" s="110"/>
      <c r="G24" s="110">
        <f>K24-J24</f>
        <v>1707.5630272318976</v>
      </c>
      <c r="H24" s="110">
        <v>536.84</v>
      </c>
      <c r="I24" s="110">
        <f t="shared" si="2"/>
        <v>1170.7230272318975</v>
      </c>
      <c r="J24" s="110">
        <f>(92.870205+0.183707+9.768901+0.554679)*2.204622</f>
        <v>227.908293168024</v>
      </c>
      <c r="K24" s="110">
        <f>E24-L24</f>
        <v>1935.4713203999218</v>
      </c>
      <c r="L24" s="110">
        <f>1417.4+269.413</f>
        <v>1686.813</v>
      </c>
    </row>
    <row r="25" spans="1:12" ht="15.75">
      <c r="A25" s="17" t="s">
        <v>39</v>
      </c>
      <c r="B25" s="110"/>
      <c r="C25" s="124">
        <f>SUM(C13:C24)</f>
        <v>21950.230999999996</v>
      </c>
      <c r="D25" s="125">
        <f>SUM(D13:D24)</f>
        <v>287.646080108688</v>
      </c>
      <c r="E25" s="93">
        <f>B13+C25+D25</f>
        <v>24092.695080108682</v>
      </c>
      <c r="F25" s="110"/>
      <c r="G25" s="93">
        <f>SUM(G13:G24)</f>
        <v>20163.340848467953</v>
      </c>
      <c r="H25" s="93">
        <f>SUM(H13:H24)</f>
        <v>5670.21</v>
      </c>
      <c r="I25" s="110">
        <f>SUM(I13:I24)</f>
        <v>14493.130848467948</v>
      </c>
      <c r="J25" s="93">
        <f>SUM(J13:J24)</f>
        <v>2242.5412316407383</v>
      </c>
      <c r="K25" s="93">
        <f>SUM(K13:K24)</f>
        <v>22405.88208010869</v>
      </c>
      <c r="L25" s="110"/>
    </row>
    <row r="26" spans="1:12" ht="15.75">
      <c r="A26" s="17"/>
      <c r="B26" s="110"/>
      <c r="C26" s="93"/>
      <c r="D26" s="93"/>
      <c r="E26" s="93"/>
      <c r="F26" s="110"/>
      <c r="G26" s="93"/>
      <c r="H26" s="93"/>
      <c r="I26" s="93"/>
      <c r="J26" s="93"/>
      <c r="K26" s="93"/>
      <c r="L26" s="110"/>
    </row>
    <row r="27" spans="1:12" ht="15.75">
      <c r="A27" s="15" t="s">
        <v>163</v>
      </c>
      <c r="B27" s="78"/>
      <c r="C27" s="93"/>
      <c r="D27" s="93"/>
      <c r="E27" s="93"/>
      <c r="F27" s="110"/>
      <c r="G27" s="93"/>
      <c r="H27" s="93"/>
      <c r="I27" s="93"/>
      <c r="J27" s="93"/>
      <c r="K27" s="93"/>
      <c r="L27" s="110"/>
    </row>
    <row r="28" spans="1:12" ht="15.75">
      <c r="A28" s="17" t="s">
        <v>74</v>
      </c>
      <c r="B28" s="110">
        <f>L24</f>
        <v>1686.813</v>
      </c>
      <c r="C28" s="118">
        <v>2028.518</v>
      </c>
      <c r="D28" s="110">
        <f>(0.464626+0+5.858961+0)*2.204622</f>
        <v>13.941119019114</v>
      </c>
      <c r="E28" s="110">
        <f aca="true" t="shared" si="5" ref="E28:E33">SUM(B28:D28)</f>
        <v>3729.272119019114</v>
      </c>
      <c r="F28" s="110"/>
      <c r="G28" s="110">
        <f aca="true" t="shared" si="6" ref="G28:G33">K28-J28</f>
        <v>1692.9790293776182</v>
      </c>
      <c r="H28" s="110">
        <v>525.96</v>
      </c>
      <c r="I28" s="110">
        <f aca="true" t="shared" si="7" ref="I28:I38">G28-H28</f>
        <v>1167.0190293776182</v>
      </c>
      <c r="J28" s="110">
        <f>(87.527672+0.238795+21.038125+0.503076)*2.204622</f>
        <v>240.98208964149597</v>
      </c>
      <c r="K28" s="110">
        <f aca="true" t="shared" si="8" ref="K28:K33">E28-L28</f>
        <v>1933.9611190191142</v>
      </c>
      <c r="L28" s="110">
        <f>1437.483+357.828</f>
        <v>1795.311</v>
      </c>
    </row>
    <row r="29" spans="1:12" ht="15.75">
      <c r="A29" s="17" t="s">
        <v>75</v>
      </c>
      <c r="B29" s="110">
        <f aca="true" t="shared" si="9" ref="B29:B34">L28</f>
        <v>1795.311</v>
      </c>
      <c r="C29" s="118">
        <v>1961.256</v>
      </c>
      <c r="D29" s="110">
        <f>(11.291133+0+6.136446+0)*2.204622</f>
        <v>38.421224070138</v>
      </c>
      <c r="E29" s="110">
        <f t="shared" si="5"/>
        <v>3794.988224070138</v>
      </c>
      <c r="F29" s="110"/>
      <c r="G29" s="110">
        <f t="shared" si="6"/>
        <v>1777.576038563534</v>
      </c>
      <c r="H29" s="110">
        <v>595.83</v>
      </c>
      <c r="I29" s="110">
        <f t="shared" si="7"/>
        <v>1181.746038563534</v>
      </c>
      <c r="J29" s="110">
        <f>(90.24774+0.217251+16.55696+0.343931)*2.204622</f>
        <v>236.70118550660402</v>
      </c>
      <c r="K29" s="110">
        <f t="shared" si="8"/>
        <v>2014.2772240701381</v>
      </c>
      <c r="L29" s="110">
        <f>1473.201+307.51</f>
        <v>1780.711</v>
      </c>
    </row>
    <row r="30" spans="1:12" ht="15.75">
      <c r="A30" s="17" t="s">
        <v>76</v>
      </c>
      <c r="B30" s="110">
        <f t="shared" si="9"/>
        <v>1780.711</v>
      </c>
      <c r="C30" s="118">
        <v>1950.176</v>
      </c>
      <c r="D30" s="110">
        <f>(12.204046+0+9.312901+0.00046)*2.204622</f>
        <v>47.437748855154005</v>
      </c>
      <c r="E30" s="110">
        <f t="shared" si="5"/>
        <v>3778.3247488551538</v>
      </c>
      <c r="F30" s="110"/>
      <c r="G30" s="110">
        <f t="shared" si="6"/>
        <v>1670.5200420764818</v>
      </c>
      <c r="H30" s="110">
        <v>610.47</v>
      </c>
      <c r="I30" s="110">
        <f t="shared" si="7"/>
        <v>1060.0500420764818</v>
      </c>
      <c r="J30" s="110">
        <f>(89.749274+0.363189+16.519097+0.205216)*2.204622</f>
        <v>235.53470677867202</v>
      </c>
      <c r="K30" s="110">
        <f t="shared" si="8"/>
        <v>1906.0547488551538</v>
      </c>
      <c r="L30" s="110">
        <f>1505.351+366.919</f>
        <v>1872.27</v>
      </c>
    </row>
    <row r="31" spans="1:12" ht="15.75">
      <c r="A31" s="17" t="s">
        <v>77</v>
      </c>
      <c r="B31" s="110">
        <f t="shared" si="9"/>
        <v>1872.27</v>
      </c>
      <c r="C31" s="118">
        <v>1977.209</v>
      </c>
      <c r="D31" s="110">
        <f>(0.465872+0+9.79584+0.02089)*2.204622</f>
        <v>22.669250586443997</v>
      </c>
      <c r="E31" s="110">
        <f t="shared" si="5"/>
        <v>3872.148250586444</v>
      </c>
      <c r="F31" s="110"/>
      <c r="G31" s="110">
        <f t="shared" si="6"/>
        <v>1500.1743835339605</v>
      </c>
      <c r="H31" s="110">
        <v>390.11</v>
      </c>
      <c r="I31" s="110">
        <f t="shared" si="7"/>
        <v>1110.0643835339606</v>
      </c>
      <c r="J31" s="110">
        <f>(93.975464+0.129304+23.105929+0.430725)*2.204622</f>
        <v>259.354867052484</v>
      </c>
      <c r="K31" s="110">
        <f t="shared" si="8"/>
        <v>1759.5292505864445</v>
      </c>
      <c r="L31" s="110">
        <f>1730.368+382.251</f>
        <v>2112.6189999999997</v>
      </c>
    </row>
    <row r="32" spans="1:12" ht="15.75">
      <c r="A32" s="17" t="s">
        <v>78</v>
      </c>
      <c r="B32" s="110">
        <f t="shared" si="9"/>
        <v>2112.6189999999997</v>
      </c>
      <c r="C32" s="118">
        <v>1752.539</v>
      </c>
      <c r="D32" s="110">
        <f>(1.000145+0+8.449661+0)*2.204622</f>
        <v>20.833250203332003</v>
      </c>
      <c r="E32" s="110">
        <f t="shared" si="5"/>
        <v>3885.9912502033317</v>
      </c>
      <c r="F32" s="110"/>
      <c r="G32" s="110">
        <f t="shared" si="6"/>
        <v>1441.3517826501654</v>
      </c>
      <c r="H32" s="110">
        <v>369.18</v>
      </c>
      <c r="I32" s="110">
        <f t="shared" si="7"/>
        <v>1072.1717826501654</v>
      </c>
      <c r="J32" s="110">
        <f>(89.650838+0.095622+18.256324+0.290369)*2.204622</f>
        <v>238.74546755316598</v>
      </c>
      <c r="K32" s="110">
        <f t="shared" si="8"/>
        <v>1680.0972502033314</v>
      </c>
      <c r="L32" s="110">
        <f>1797.556+408.338</f>
        <v>2205.8940000000002</v>
      </c>
    </row>
    <row r="33" spans="1:12" ht="15.75">
      <c r="A33" s="17" t="s">
        <v>79</v>
      </c>
      <c r="B33" s="110">
        <f t="shared" si="9"/>
        <v>2205.8940000000002</v>
      </c>
      <c r="C33" s="118">
        <v>1857.066</v>
      </c>
      <c r="D33" s="110">
        <f>(0.798167+0+11.47952+0)*2.204622</f>
        <v>27.067658869314002</v>
      </c>
      <c r="E33" s="110">
        <f t="shared" si="5"/>
        <v>4090.027658869314</v>
      </c>
      <c r="F33" s="110"/>
      <c r="G33" s="110">
        <f t="shared" si="6"/>
        <v>1442.1400142469581</v>
      </c>
      <c r="H33" s="110">
        <v>369.46</v>
      </c>
      <c r="I33" s="110">
        <f t="shared" si="7"/>
        <v>1072.680014246958</v>
      </c>
      <c r="J33" s="110">
        <f>(107.656266+0.337664+25.32694+0.276928)*2.204622</f>
        <v>294.53264462235603</v>
      </c>
      <c r="K33" s="110">
        <f t="shared" si="8"/>
        <v>1736.672658869314</v>
      </c>
      <c r="L33" s="110">
        <f>1939.367+413.988</f>
        <v>2353.355</v>
      </c>
    </row>
    <row r="34" spans="1:12" ht="15.75">
      <c r="A34" s="17" t="s">
        <v>80</v>
      </c>
      <c r="B34" s="110">
        <f t="shared" si="9"/>
        <v>2353.355</v>
      </c>
      <c r="C34" s="118">
        <v>1731.704</v>
      </c>
      <c r="D34" s="110">
        <f>(1.601678+0+13.024339+0.006804)*2.204622</f>
        <v>32.259839098662</v>
      </c>
      <c r="E34" s="110">
        <f aca="true" t="shared" si="10" ref="E34:E39">SUM(B34:D34)</f>
        <v>4117.3188390986625</v>
      </c>
      <c r="F34" s="110"/>
      <c r="G34" s="110">
        <f aca="true" t="shared" si="11" ref="G34:G39">K34-J34</f>
        <v>1625.1588195681145</v>
      </c>
      <c r="H34" s="110">
        <v>426.71</v>
      </c>
      <c r="I34" s="110">
        <f t="shared" si="7"/>
        <v>1198.4488195681145</v>
      </c>
      <c r="J34" s="110">
        <f>(89.883452+0.094891+27.024477+0.176914)*2.204622</f>
        <v>258.33701953054805</v>
      </c>
      <c r="K34" s="110">
        <f aca="true" t="shared" si="12" ref="K34:K39">E34-L34</f>
        <v>1883.4958390986626</v>
      </c>
      <c r="L34" s="110">
        <f>1843.95+389.873</f>
        <v>2233.823</v>
      </c>
    </row>
    <row r="35" spans="1:12" ht="15.75">
      <c r="A35" s="17" t="s">
        <v>81</v>
      </c>
      <c r="B35" s="110">
        <f>L34</f>
        <v>2233.823</v>
      </c>
      <c r="C35" s="118">
        <v>1839.342</v>
      </c>
      <c r="D35" s="110">
        <f>(1.669072+0+12.624629+0)*2.204622</f>
        <v>31.512207686022002</v>
      </c>
      <c r="E35" s="110">
        <f t="shared" si="10"/>
        <v>4104.677207686022</v>
      </c>
      <c r="F35" s="110"/>
      <c r="G35" s="110">
        <f t="shared" si="11"/>
        <v>1674.2282939163215</v>
      </c>
      <c r="H35" s="110">
        <v>545.51</v>
      </c>
      <c r="I35" s="110">
        <f t="shared" si="7"/>
        <v>1128.7182939163215</v>
      </c>
      <c r="J35" s="110">
        <f>(47.877041+0.165843+24.707034+0.366432)*2.204622</f>
        <v>161.19391376970003</v>
      </c>
      <c r="K35" s="110">
        <f t="shared" si="12"/>
        <v>1835.4222076860215</v>
      </c>
      <c r="L35" s="110">
        <f>1888.717+380.538</f>
        <v>2269.255</v>
      </c>
    </row>
    <row r="36" spans="1:12" ht="15.75">
      <c r="A36" s="17" t="s">
        <v>82</v>
      </c>
      <c r="B36" s="110">
        <f>L35</f>
        <v>2269.255</v>
      </c>
      <c r="C36" s="118">
        <v>1735.608</v>
      </c>
      <c r="D36" s="110">
        <f>(0.590355+0+10.424846+0.00225)*2.204622</f>
        <v>24.289314858522005</v>
      </c>
      <c r="E36" s="110">
        <f t="shared" si="10"/>
        <v>4029.1523148585225</v>
      </c>
      <c r="F36" s="110"/>
      <c r="G36" s="110">
        <f t="shared" si="11"/>
        <v>1747.9821556972904</v>
      </c>
      <c r="H36" s="110">
        <v>548.84</v>
      </c>
      <c r="I36" s="110">
        <f t="shared" si="7"/>
        <v>1199.1421556972905</v>
      </c>
      <c r="J36" s="110">
        <f>(47.928651+0.32108+14.068253+0.381272)*2.204622</f>
        <v>138.228159161232</v>
      </c>
      <c r="K36" s="110">
        <f t="shared" si="12"/>
        <v>1886.2103148585225</v>
      </c>
      <c r="L36" s="110">
        <f>1815.157+327.785</f>
        <v>2142.942</v>
      </c>
    </row>
    <row r="37" spans="1:12" ht="15.75">
      <c r="A37" s="17" t="s">
        <v>84</v>
      </c>
      <c r="B37" s="110">
        <f>L36</f>
        <v>2142.942</v>
      </c>
      <c r="C37" s="118">
        <v>1801.376</v>
      </c>
      <c r="D37" s="110">
        <f>(0.52838+0+9.659862+0)*2.204622</f>
        <v>22.461222454524002</v>
      </c>
      <c r="E37" s="110">
        <f t="shared" si="10"/>
        <v>3966.779222454524</v>
      </c>
      <c r="F37" s="110"/>
      <c r="G37" s="110">
        <f t="shared" si="11"/>
        <v>1766.7658178948623</v>
      </c>
      <c r="H37" s="110">
        <v>606.15</v>
      </c>
      <c r="I37" s="110">
        <f t="shared" si="7"/>
        <v>1160.6158178948622</v>
      </c>
      <c r="J37" s="110">
        <f>(65.286168+0.148382+24.814047+0.209724)*2.204622</f>
        <v>199.426404559662</v>
      </c>
      <c r="K37" s="110">
        <f t="shared" si="12"/>
        <v>1966.1922224545242</v>
      </c>
      <c r="L37" s="110">
        <f>1627.909+372.678</f>
        <v>2000.587</v>
      </c>
    </row>
    <row r="38" spans="1:12" ht="15.75">
      <c r="A38" s="17" t="s">
        <v>85</v>
      </c>
      <c r="B38" s="110">
        <f>L37</f>
        <v>2000.587</v>
      </c>
      <c r="C38" s="118">
        <v>1762.207</v>
      </c>
      <c r="D38" s="110">
        <f>(0.496453+0+8.280401+0)*2.204622</f>
        <v>19.349645419188</v>
      </c>
      <c r="E38" s="110">
        <f t="shared" si="10"/>
        <v>3782.143645419188</v>
      </c>
      <c r="F38" s="110"/>
      <c r="G38" s="110">
        <f t="shared" si="11"/>
        <v>1808.6876725403722</v>
      </c>
      <c r="H38" s="110">
        <v>608.17</v>
      </c>
      <c r="I38" s="110">
        <f t="shared" si="7"/>
        <v>1200.5176725403721</v>
      </c>
      <c r="J38" s="110">
        <f>(58.152578+0.182461+15.403299+0.24939)*2.204622</f>
        <v>163.11497287881602</v>
      </c>
      <c r="K38" s="110">
        <f t="shared" si="12"/>
        <v>1971.8026454191881</v>
      </c>
      <c r="L38" s="110">
        <f>1483.031+327.31</f>
        <v>1810.341</v>
      </c>
    </row>
    <row r="39" spans="1:12" ht="15.75">
      <c r="A39" s="17" t="s">
        <v>87</v>
      </c>
      <c r="B39" s="110">
        <f>L38</f>
        <v>1810.341</v>
      </c>
      <c r="C39" s="118">
        <v>1701.762</v>
      </c>
      <c r="D39" s="110">
        <f>(0.555986+0+7.608882+0.00048)*2.204622</f>
        <v>18.001505838456</v>
      </c>
      <c r="E39" s="110">
        <f t="shared" si="10"/>
        <v>3530.104505838456</v>
      </c>
      <c r="F39" s="110"/>
      <c r="G39" s="110">
        <f t="shared" si="11"/>
        <v>1688.9931966507181</v>
      </c>
      <c r="H39" s="110" t="s">
        <v>10</v>
      </c>
      <c r="I39" s="110" t="s">
        <v>10</v>
      </c>
      <c r="J39" s="110">
        <f>(41.879713+0.162186+16.816061+0.180419)*2.204622</f>
        <v>130.157309187738</v>
      </c>
      <c r="K39" s="110">
        <f t="shared" si="12"/>
        <v>1819.1505058384562</v>
      </c>
      <c r="L39" s="110">
        <f>1400.918+310.036</f>
        <v>1710.954</v>
      </c>
    </row>
    <row r="40" spans="1:12" ht="15.75">
      <c r="A40" s="14" t="s">
        <v>39</v>
      </c>
      <c r="B40" s="107"/>
      <c r="C40" s="104">
        <f>SUM(C28:C39)</f>
        <v>22098.763</v>
      </c>
      <c r="D40" s="107">
        <f>SUM(D28:D39)</f>
        <v>318.24398695887</v>
      </c>
      <c r="E40" s="104">
        <f>B28+C40+D40</f>
        <v>24103.81998695887</v>
      </c>
      <c r="F40" s="107"/>
      <c r="G40" s="104">
        <f>SUM(G28:G39)</f>
        <v>19836.557246716395</v>
      </c>
      <c r="H40" s="104">
        <f>SUM(H28:H39)</f>
        <v>5596.389999999999</v>
      </c>
      <c r="I40" s="104">
        <f>SUM(I28:I39)</f>
        <v>12551.17405006568</v>
      </c>
      <c r="J40" s="104">
        <f>SUM(J28:J39)</f>
        <v>2556.308740242474</v>
      </c>
      <c r="K40" s="104">
        <f>SUM(K28:K39)</f>
        <v>22392.865986958874</v>
      </c>
      <c r="L40" s="107"/>
    </row>
    <row r="41" spans="1:12" ht="18.75">
      <c r="A41" s="43" t="s">
        <v>154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.75">
      <c r="A42" s="15" t="s">
        <v>102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5.75">
      <c r="A43" s="15" t="s">
        <v>26</v>
      </c>
      <c r="B43" s="25">
        <f ca="1">NOW()</f>
        <v>43052.74469270834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0" t="s">
        <v>0</v>
      </c>
      <c r="C2" s="150"/>
      <c r="D2" s="150"/>
      <c r="E2" s="150"/>
      <c r="F2" s="28"/>
      <c r="G2" s="150" t="s">
        <v>24</v>
      </c>
      <c r="H2" s="150"/>
      <c r="I2" s="150"/>
      <c r="J2" s="150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70" t="s">
        <v>111</v>
      </c>
      <c r="B4" s="19" t="s">
        <v>70</v>
      </c>
      <c r="C4" s="72" t="s">
        <v>1</v>
      </c>
      <c r="D4" s="95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5.75">
      <c r="A6" s="15"/>
      <c r="B6" s="15"/>
      <c r="C6" s="15"/>
      <c r="D6" s="15"/>
      <c r="E6" s="15"/>
      <c r="F6" s="15"/>
      <c r="G6" s="32"/>
      <c r="H6" s="79"/>
      <c r="I6" s="32"/>
      <c r="J6" s="32"/>
      <c r="K6" s="15"/>
    </row>
    <row r="7" spans="1:11" ht="18.75">
      <c r="A7" s="15" t="s">
        <v>168</v>
      </c>
      <c r="B7" s="68">
        <v>437</v>
      </c>
      <c r="C7" s="68">
        <v>4043</v>
      </c>
      <c r="D7" s="82">
        <v>16.372</v>
      </c>
      <c r="E7" s="68">
        <f>+B7+C7+D7</f>
        <v>4496.372</v>
      </c>
      <c r="F7" s="21"/>
      <c r="G7" s="68">
        <v>1500</v>
      </c>
      <c r="H7" s="81">
        <v>136.113</v>
      </c>
      <c r="I7" s="68">
        <f>J7-G7-H7</f>
        <v>2469.2590000000005</v>
      </c>
      <c r="J7" s="68">
        <f>E7-K7</f>
        <v>4105.372</v>
      </c>
      <c r="K7" s="68">
        <v>391</v>
      </c>
    </row>
    <row r="8" spans="1:11" ht="18.75">
      <c r="A8" s="15" t="s">
        <v>159</v>
      </c>
      <c r="B8" s="68">
        <f>+K7</f>
        <v>391</v>
      </c>
      <c r="C8" s="68">
        <v>5369</v>
      </c>
      <c r="D8" s="82">
        <v>51.079</v>
      </c>
      <c r="E8" s="68">
        <f>+B8+C8+D8</f>
        <v>5811.079</v>
      </c>
      <c r="F8" s="21"/>
      <c r="G8" s="68">
        <v>1769.4399999999998</v>
      </c>
      <c r="H8" s="81">
        <v>341.655</v>
      </c>
      <c r="I8" s="68">
        <f>J8-G8-H8</f>
        <v>3300.9840000000004</v>
      </c>
      <c r="J8" s="68">
        <f>E8-K8</f>
        <v>5412.079</v>
      </c>
      <c r="K8" s="68">
        <v>399</v>
      </c>
    </row>
    <row r="9" spans="1:11" ht="18.75">
      <c r="A9" s="14" t="s">
        <v>167</v>
      </c>
      <c r="B9" s="69">
        <f>+K8</f>
        <v>399</v>
      </c>
      <c r="C9" s="69">
        <v>6758</v>
      </c>
      <c r="D9" s="80">
        <v>0</v>
      </c>
      <c r="E9" s="69">
        <f>+B9+C9+D9</f>
        <v>7157</v>
      </c>
      <c r="F9" s="29"/>
      <c r="G9" s="69">
        <v>2400</v>
      </c>
      <c r="H9" s="84">
        <v>360</v>
      </c>
      <c r="I9" s="69">
        <f>J9-G9-H9</f>
        <v>3950</v>
      </c>
      <c r="J9" s="69">
        <f>E9-K9</f>
        <v>6710</v>
      </c>
      <c r="K9" s="69">
        <v>447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0" t="s">
        <v>0</v>
      </c>
      <c r="C15" s="150"/>
      <c r="D15" s="150"/>
      <c r="E15" s="150"/>
      <c r="G15" s="150" t="s">
        <v>24</v>
      </c>
      <c r="H15" s="150"/>
      <c r="I15" s="150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70" t="s">
        <v>110</v>
      </c>
      <c r="B17" s="19" t="s">
        <v>34</v>
      </c>
      <c r="C17" s="72" t="s">
        <v>1</v>
      </c>
      <c r="D17" s="95" t="s">
        <v>38</v>
      </c>
      <c r="E17" s="19" t="s">
        <v>39</v>
      </c>
      <c r="F17" s="47"/>
      <c r="G17" s="85" t="s">
        <v>9</v>
      </c>
      <c r="H17" s="19" t="s">
        <v>4</v>
      </c>
      <c r="I17" s="95" t="s">
        <v>33</v>
      </c>
      <c r="J17" s="19" t="s">
        <v>34</v>
      </c>
      <c r="K17" s="15"/>
    </row>
    <row r="18" spans="1:11" ht="15.75">
      <c r="A18" s="15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8">
        <v>42.316</v>
      </c>
      <c r="C20" s="81">
        <v>705</v>
      </c>
      <c r="D20" s="82">
        <v>0</v>
      </c>
      <c r="E20" s="81">
        <f>+B20+D20+C20</f>
        <v>747.316</v>
      </c>
      <c r="G20" s="81">
        <f>+I20-H20</f>
        <v>637.924941473795</v>
      </c>
      <c r="H20" s="81">
        <v>89.71505852620501</v>
      </c>
      <c r="I20" s="81">
        <f>+E20-J20</f>
        <v>727.64</v>
      </c>
      <c r="J20" s="68">
        <v>19.676</v>
      </c>
    </row>
    <row r="21" spans="1:10" ht="18.75">
      <c r="A21" s="15" t="s">
        <v>159</v>
      </c>
      <c r="B21" s="68">
        <f>+J20</f>
        <v>19.676</v>
      </c>
      <c r="C21" s="81">
        <v>805.2929999999999</v>
      </c>
      <c r="D21" s="82">
        <v>0</v>
      </c>
      <c r="E21" s="81">
        <f>+B21+D21+C21</f>
        <v>824.9689999999999</v>
      </c>
      <c r="G21" s="81">
        <f>+I21-H21</f>
        <v>687.0128503574739</v>
      </c>
      <c r="H21" s="81">
        <v>110.22014964252601</v>
      </c>
      <c r="I21" s="81">
        <f>+E21-J21</f>
        <v>797.233</v>
      </c>
      <c r="J21" s="68">
        <v>27.736</v>
      </c>
    </row>
    <row r="22" spans="1:10" ht="18.75">
      <c r="A22" s="14" t="s">
        <v>167</v>
      </c>
      <c r="B22" s="69">
        <f>+J21</f>
        <v>27.736</v>
      </c>
      <c r="C22" s="84">
        <v>1080</v>
      </c>
      <c r="D22" s="80">
        <v>0</v>
      </c>
      <c r="E22" s="84">
        <f>+B22+D22+C22</f>
        <v>1107.736</v>
      </c>
      <c r="F22" s="29"/>
      <c r="G22" s="84">
        <f>+I22-H22</f>
        <v>977.7360000000001</v>
      </c>
      <c r="H22" s="84">
        <v>90</v>
      </c>
      <c r="I22" s="84">
        <f>+E22-J22</f>
        <v>1067.736</v>
      </c>
      <c r="J22" s="69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0" t="s">
        <v>0</v>
      </c>
      <c r="C28" s="150"/>
      <c r="D28" s="150"/>
      <c r="E28" s="150"/>
      <c r="G28" s="150" t="s">
        <v>24</v>
      </c>
      <c r="H28" s="150"/>
      <c r="I28" s="150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70" t="s">
        <v>110</v>
      </c>
      <c r="B30" s="19" t="s">
        <v>34</v>
      </c>
      <c r="C30" s="19" t="s">
        <v>1</v>
      </c>
      <c r="D30" s="95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2">
        <v>58</v>
      </c>
      <c r="C33" s="81">
        <v>465</v>
      </c>
      <c r="D33" s="82">
        <v>6.616070622</v>
      </c>
      <c r="E33" s="74">
        <f>+B33+D33+C33</f>
        <v>529.616070622</v>
      </c>
      <c r="G33" s="81">
        <f>+I33-H33</f>
        <v>433.243070622</v>
      </c>
      <c r="H33" s="81">
        <v>54.826</v>
      </c>
      <c r="I33" s="81">
        <f>+E33-J33</f>
        <v>488.069070622</v>
      </c>
      <c r="J33" s="83">
        <v>41.547</v>
      </c>
    </row>
    <row r="34" spans="1:10" ht="18.75">
      <c r="A34" s="15" t="s">
        <v>159</v>
      </c>
      <c r="B34" s="82">
        <f>+J33</f>
        <v>41.547</v>
      </c>
      <c r="C34" s="81">
        <v>541.625</v>
      </c>
      <c r="D34" s="82">
        <v>0.121953075174</v>
      </c>
      <c r="E34" s="74">
        <f>+B34+D34+C34</f>
        <v>583.293953075174</v>
      </c>
      <c r="G34" s="81">
        <f>+I34-H34</f>
        <v>435.17942153772003</v>
      </c>
      <c r="H34" s="81">
        <v>103.98553153745401</v>
      </c>
      <c r="I34" s="81">
        <f>+E34-J34</f>
        <v>539.164953075174</v>
      </c>
      <c r="J34" s="83">
        <v>44.129</v>
      </c>
    </row>
    <row r="35" spans="1:10" ht="18.75">
      <c r="A35" s="14" t="s">
        <v>167</v>
      </c>
      <c r="B35" s="80">
        <f>+J34</f>
        <v>44.129</v>
      </c>
      <c r="C35" s="84">
        <v>755</v>
      </c>
      <c r="D35" s="80">
        <v>5</v>
      </c>
      <c r="E35" s="75">
        <f>+B35+D35+C35</f>
        <v>804.129</v>
      </c>
      <c r="F35" s="29"/>
      <c r="G35" s="84">
        <f>+I35-H35</f>
        <v>664.129</v>
      </c>
      <c r="H35" s="84">
        <v>90</v>
      </c>
      <c r="I35" s="84">
        <f>+E35-J35</f>
        <v>754.129</v>
      </c>
      <c r="J35" s="84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0" t="s">
        <v>27</v>
      </c>
      <c r="C41" s="150"/>
      <c r="D41" s="16" t="s">
        <v>30</v>
      </c>
      <c r="E41" s="150" t="s">
        <v>119</v>
      </c>
      <c r="F41" s="150"/>
      <c r="G41" s="150"/>
      <c r="H41" s="150"/>
      <c r="J41" s="150" t="s">
        <v>24</v>
      </c>
      <c r="K41" s="150"/>
      <c r="L41" s="150"/>
      <c r="M41" s="150"/>
      <c r="N41" s="150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70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5" t="s">
        <v>4</v>
      </c>
      <c r="N43" s="19" t="s">
        <v>33</v>
      </c>
      <c r="O43" s="19" t="s">
        <v>124</v>
      </c>
    </row>
    <row r="44" spans="1:15" ht="15.75">
      <c r="A44" s="15"/>
      <c r="B44" s="148" t="s">
        <v>121</v>
      </c>
      <c r="C44" s="149"/>
      <c r="D44" s="65" t="s">
        <v>101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5.75">
      <c r="A45" s="15"/>
      <c r="B45" s="76"/>
      <c r="C45" s="76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8">
        <v>1625</v>
      </c>
      <c r="C46" s="68">
        <v>1560.9</v>
      </c>
      <c r="D46" s="68">
        <f>F46*1000/C46</f>
        <v>3844.8055608943555</v>
      </c>
      <c r="E46" s="68">
        <v>2101.017</v>
      </c>
      <c r="F46" s="68">
        <v>6001.357</v>
      </c>
      <c r="G46" s="83">
        <f>1.333*2.204622*32.0801</f>
        <v>94.2757507981926</v>
      </c>
      <c r="H46" s="68">
        <f>+E46+G46+F46</f>
        <v>8196.649750798193</v>
      </c>
      <c r="I46" s="68"/>
      <c r="J46" s="68">
        <v>3053</v>
      </c>
      <c r="K46" s="68">
        <f>1.333*531.77</f>
        <v>708.8494099999999</v>
      </c>
      <c r="L46" s="81">
        <f>+N46-J46-K46-M46</f>
        <v>1099.5958407981934</v>
      </c>
      <c r="M46" s="81">
        <v>1544.2995</v>
      </c>
      <c r="N46" s="68">
        <f>+H46-O46</f>
        <v>6405.744750798193</v>
      </c>
      <c r="O46" s="68">
        <v>1790.905</v>
      </c>
    </row>
    <row r="47" spans="1:15" ht="18.75">
      <c r="A47" s="15" t="s">
        <v>159</v>
      </c>
      <c r="B47" s="68">
        <v>1671</v>
      </c>
      <c r="C47" s="68">
        <v>1536</v>
      </c>
      <c r="D47" s="68">
        <f>F47*1000/C47</f>
        <v>3633.8346354166665</v>
      </c>
      <c r="E47" s="68">
        <f>O46</f>
        <v>1790.905</v>
      </c>
      <c r="F47" s="68">
        <v>5581.57</v>
      </c>
      <c r="G47" s="83">
        <f>1.333*2.204622*55.0974</f>
        <v>161.91809726367242</v>
      </c>
      <c r="H47" s="68">
        <f>+E47+G47+F47</f>
        <v>7534.393097263672</v>
      </c>
      <c r="I47" s="68"/>
      <c r="J47" s="68">
        <v>3092</v>
      </c>
      <c r="K47" s="68">
        <f>1.333*659.966</f>
        <v>879.734678</v>
      </c>
      <c r="L47" s="81">
        <f>+N47-J47-K47-M47</f>
        <v>793.6284192636713</v>
      </c>
      <c r="M47" s="81">
        <v>1327.438</v>
      </c>
      <c r="N47" s="68">
        <f>+H47-O47</f>
        <v>6092.801097263671</v>
      </c>
      <c r="O47" s="68">
        <v>1441.592</v>
      </c>
    </row>
    <row r="48" spans="1:15" ht="18.75">
      <c r="A48" s="14" t="s">
        <v>167</v>
      </c>
      <c r="B48" s="69">
        <v>1881</v>
      </c>
      <c r="C48" s="69">
        <v>1829</v>
      </c>
      <c r="D48" s="69">
        <f>F48*1000/C48</f>
        <v>4176.4625478403495</v>
      </c>
      <c r="E48" s="69">
        <f>O47</f>
        <v>1441.592</v>
      </c>
      <c r="F48" s="69">
        <v>7638.75</v>
      </c>
      <c r="G48" s="84">
        <v>75</v>
      </c>
      <c r="H48" s="69">
        <f>+E48+G48+F48</f>
        <v>9155.342</v>
      </c>
      <c r="I48" s="69"/>
      <c r="J48" s="69">
        <v>3202</v>
      </c>
      <c r="K48" s="69">
        <v>978</v>
      </c>
      <c r="L48" s="84">
        <f>+N48-J48-K48-M48</f>
        <v>922.3420000000006</v>
      </c>
      <c r="M48" s="84">
        <v>1500</v>
      </c>
      <c r="N48" s="69">
        <f>+H48-O48</f>
        <v>6602.342000000001</v>
      </c>
      <c r="O48" s="69">
        <v>2553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43052.74469270834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0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6">
        <v>10.1</v>
      </c>
      <c r="C6" s="86">
        <v>162</v>
      </c>
      <c r="D6" s="86">
        <v>21.7</v>
      </c>
      <c r="E6" s="86">
        <v>18.3</v>
      </c>
      <c r="F6" s="86">
        <v>20.5</v>
      </c>
      <c r="G6" s="86">
        <v>13</v>
      </c>
      <c r="H6" s="1"/>
      <c r="I6" s="3"/>
      <c r="J6" s="3"/>
      <c r="K6" s="3"/>
    </row>
    <row r="7" spans="1:11" ht="15.75">
      <c r="A7" s="15" t="s">
        <v>69</v>
      </c>
      <c r="B7" s="86">
        <v>9.97</v>
      </c>
      <c r="C7" s="86">
        <v>223</v>
      </c>
      <c r="D7" s="86">
        <v>21.8</v>
      </c>
      <c r="E7" s="86">
        <v>18.7</v>
      </c>
      <c r="F7" s="86">
        <v>23</v>
      </c>
      <c r="G7" s="86">
        <v>12.7</v>
      </c>
      <c r="H7" s="1"/>
      <c r="I7" s="3"/>
      <c r="J7" s="3"/>
      <c r="K7" s="3"/>
    </row>
    <row r="8" spans="1:11" ht="15.75">
      <c r="A8" s="15" t="s">
        <v>71</v>
      </c>
      <c r="B8" s="86">
        <v>9.59</v>
      </c>
      <c r="C8" s="86">
        <v>158</v>
      </c>
      <c r="D8" s="86">
        <v>15.1</v>
      </c>
      <c r="E8" s="86">
        <v>16.2</v>
      </c>
      <c r="F8" s="86">
        <v>21.7</v>
      </c>
      <c r="G8" s="86">
        <v>8.15</v>
      </c>
      <c r="H8" s="1"/>
      <c r="I8" s="3"/>
      <c r="J8" s="3"/>
      <c r="K8" s="3"/>
    </row>
    <row r="9" spans="1:11" ht="15.75">
      <c r="A9" s="15" t="s">
        <v>72</v>
      </c>
      <c r="B9" s="86">
        <v>11.3</v>
      </c>
      <c r="C9" s="86">
        <v>161</v>
      </c>
      <c r="D9" s="86">
        <v>23.3</v>
      </c>
      <c r="E9" s="86">
        <v>19.3</v>
      </c>
      <c r="F9" s="86">
        <v>22.5</v>
      </c>
      <c r="G9" s="86">
        <v>12.2</v>
      </c>
      <c r="H9" s="1"/>
      <c r="I9" s="3"/>
      <c r="J9" s="3"/>
      <c r="K9" s="3"/>
    </row>
    <row r="10" spans="1:11" ht="15.75">
      <c r="A10" s="15" t="s">
        <v>83</v>
      </c>
      <c r="B10" s="86">
        <v>12.5</v>
      </c>
      <c r="C10" s="86">
        <v>260</v>
      </c>
      <c r="D10" s="86">
        <v>29.1</v>
      </c>
      <c r="E10" s="86">
        <v>24</v>
      </c>
      <c r="F10" s="86">
        <v>31.8</v>
      </c>
      <c r="G10" s="86">
        <v>13.9</v>
      </c>
      <c r="H10" s="1"/>
      <c r="I10" s="3"/>
      <c r="J10" s="3"/>
      <c r="K10" s="3"/>
    </row>
    <row r="11" spans="1:11" ht="15.75">
      <c r="A11" s="15" t="s">
        <v>118</v>
      </c>
      <c r="B11" s="86">
        <v>14.4</v>
      </c>
      <c r="C11" s="86">
        <v>252</v>
      </c>
      <c r="D11" s="86">
        <v>25.4</v>
      </c>
      <c r="E11" s="86">
        <v>26.5</v>
      </c>
      <c r="F11" s="86">
        <v>30.1</v>
      </c>
      <c r="G11" s="86">
        <v>13.8</v>
      </c>
      <c r="H11" s="1"/>
      <c r="I11" s="3"/>
      <c r="J11" s="3"/>
      <c r="K11" s="3"/>
    </row>
    <row r="12" spans="1:11" ht="15.75">
      <c r="A12" s="15" t="s">
        <v>126</v>
      </c>
      <c r="B12" s="86">
        <v>13</v>
      </c>
      <c r="C12" s="86">
        <v>246</v>
      </c>
      <c r="D12" s="86">
        <v>21.4</v>
      </c>
      <c r="E12" s="86">
        <v>20.6</v>
      </c>
      <c r="F12" s="86">
        <v>24.9</v>
      </c>
      <c r="G12" s="86">
        <v>13.8</v>
      </c>
      <c r="H12" s="1"/>
      <c r="I12" s="3"/>
      <c r="J12" s="3"/>
      <c r="K12" s="3"/>
    </row>
    <row r="13" spans="1:11" ht="15.75">
      <c r="A13" s="15" t="s">
        <v>129</v>
      </c>
      <c r="B13" s="86">
        <v>10.1</v>
      </c>
      <c r="C13" s="86">
        <v>194</v>
      </c>
      <c r="D13" s="86">
        <v>21.7</v>
      </c>
      <c r="E13" s="86">
        <v>16.9</v>
      </c>
      <c r="F13" s="86">
        <v>22</v>
      </c>
      <c r="G13" s="86">
        <v>11.8</v>
      </c>
      <c r="H13" s="1"/>
      <c r="I13" s="3"/>
      <c r="J13" s="3"/>
      <c r="K13" s="3"/>
    </row>
    <row r="14" spans="1:11" ht="15.75">
      <c r="A14" s="15" t="s">
        <v>140</v>
      </c>
      <c r="B14" s="86">
        <v>8.95</v>
      </c>
      <c r="C14" s="86">
        <v>227</v>
      </c>
      <c r="D14" s="86">
        <v>19.6</v>
      </c>
      <c r="E14" s="86">
        <v>15.6</v>
      </c>
      <c r="F14" s="86">
        <v>19.3</v>
      </c>
      <c r="G14" s="86">
        <v>8.95</v>
      </c>
      <c r="H14" s="1"/>
      <c r="I14" s="3"/>
      <c r="J14" s="3"/>
      <c r="K14" s="3"/>
    </row>
    <row r="15" spans="1:11" ht="18.75">
      <c r="A15" s="15" t="s">
        <v>159</v>
      </c>
      <c r="B15" s="86">
        <v>9.47</v>
      </c>
      <c r="C15" s="86">
        <v>195</v>
      </c>
      <c r="D15" s="86">
        <v>17.35</v>
      </c>
      <c r="E15" s="86">
        <v>16.6</v>
      </c>
      <c r="F15" s="86">
        <v>19.7</v>
      </c>
      <c r="G15" s="86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189</v>
      </c>
      <c r="C16" s="86" t="s">
        <v>187</v>
      </c>
      <c r="D16" s="55" t="s">
        <v>191</v>
      </c>
      <c r="E16" s="55" t="s">
        <v>190</v>
      </c>
      <c r="F16" s="55" t="s">
        <v>172</v>
      </c>
      <c r="G16" s="55" t="s">
        <v>192</v>
      </c>
      <c r="H16" s="1"/>
      <c r="I16" s="3"/>
      <c r="J16" s="3"/>
      <c r="K16" s="3"/>
    </row>
    <row r="17" spans="1:11" ht="15.75">
      <c r="A17" s="17"/>
      <c r="B17" s="128"/>
      <c r="C17" s="35"/>
      <c r="D17" s="129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6"/>
      <c r="C18" s="86"/>
      <c r="D18" s="86"/>
      <c r="E18" s="86"/>
      <c r="F18" s="86"/>
      <c r="G18" s="86"/>
      <c r="H18" s="1"/>
    </row>
    <row r="19" spans="1:8" ht="15.75">
      <c r="A19" s="15" t="s">
        <v>87</v>
      </c>
      <c r="B19" s="86">
        <v>9.41</v>
      </c>
      <c r="C19" s="86">
        <v>180</v>
      </c>
      <c r="D19" s="86">
        <v>17.9</v>
      </c>
      <c r="E19" s="86">
        <v>15.5</v>
      </c>
      <c r="F19" s="86">
        <v>19.1</v>
      </c>
      <c r="G19" s="86">
        <v>7.61</v>
      </c>
      <c r="H19" s="1"/>
    </row>
    <row r="20" spans="1:8" ht="15.75">
      <c r="A20" s="15" t="s">
        <v>74</v>
      </c>
      <c r="B20" s="86">
        <v>9.3</v>
      </c>
      <c r="C20" s="86">
        <v>197</v>
      </c>
      <c r="D20" s="86">
        <v>17</v>
      </c>
      <c r="E20" s="86">
        <v>15.8</v>
      </c>
      <c r="F20" s="86">
        <v>19.5</v>
      </c>
      <c r="G20" s="86">
        <v>7.37</v>
      </c>
      <c r="H20" s="1"/>
    </row>
    <row r="21" spans="1:8" ht="15.75">
      <c r="A21" s="15" t="s">
        <v>75</v>
      </c>
      <c r="B21" s="86">
        <v>9.47</v>
      </c>
      <c r="C21" s="86">
        <v>195</v>
      </c>
      <c r="D21" s="86">
        <v>16.4</v>
      </c>
      <c r="E21" s="86">
        <v>16.2</v>
      </c>
      <c r="F21" s="86">
        <v>19</v>
      </c>
      <c r="G21" s="86">
        <v>7.36</v>
      </c>
      <c r="H21" s="1"/>
    </row>
    <row r="22" spans="1:8" ht="15.75">
      <c r="A22" s="15" t="s">
        <v>76</v>
      </c>
      <c r="B22" s="86">
        <v>9.64</v>
      </c>
      <c r="C22" s="86">
        <v>196</v>
      </c>
      <c r="D22" s="86">
        <v>17.2</v>
      </c>
      <c r="E22" s="86">
        <v>17.1</v>
      </c>
      <c r="F22" s="86">
        <v>18.6</v>
      </c>
      <c r="G22" s="86">
        <v>7.59</v>
      </c>
      <c r="H22" s="1"/>
    </row>
    <row r="23" spans="1:8" ht="15.75">
      <c r="A23" s="15" t="s">
        <v>77</v>
      </c>
      <c r="B23" s="86">
        <v>9.71</v>
      </c>
      <c r="C23" s="86">
        <v>199</v>
      </c>
      <c r="D23" s="86">
        <v>17.2</v>
      </c>
      <c r="E23" s="86">
        <v>17.3</v>
      </c>
      <c r="F23" s="86">
        <v>19.8</v>
      </c>
      <c r="G23" s="86">
        <v>8.26</v>
      </c>
      <c r="H23" s="1"/>
    </row>
    <row r="24" spans="1:8" ht="15.75">
      <c r="A24" s="15" t="s">
        <v>78</v>
      </c>
      <c r="B24" s="86">
        <v>9.86</v>
      </c>
      <c r="C24" s="86">
        <v>203</v>
      </c>
      <c r="D24" s="86">
        <v>17.6</v>
      </c>
      <c r="E24" s="86">
        <v>17.4</v>
      </c>
      <c r="F24" s="86">
        <v>20.1</v>
      </c>
      <c r="G24" s="86">
        <v>7.86</v>
      </c>
      <c r="H24" s="1"/>
    </row>
    <row r="25" spans="1:8" ht="15.75">
      <c r="A25" s="15" t="s">
        <v>79</v>
      </c>
      <c r="B25" s="86">
        <v>9.69</v>
      </c>
      <c r="C25" s="86" t="s">
        <v>10</v>
      </c>
      <c r="D25" s="86">
        <v>17.4</v>
      </c>
      <c r="E25" s="86">
        <v>17.6</v>
      </c>
      <c r="F25" s="86">
        <v>20.6</v>
      </c>
      <c r="G25" s="86">
        <v>8.34</v>
      </c>
      <c r="H25" s="1"/>
    </row>
    <row r="26" spans="1:8" ht="15.75">
      <c r="A26" s="15" t="s">
        <v>80</v>
      </c>
      <c r="B26" s="86">
        <v>9.33</v>
      </c>
      <c r="C26" s="86" t="s">
        <v>10</v>
      </c>
      <c r="D26" s="86">
        <v>17.9</v>
      </c>
      <c r="E26" s="86">
        <v>18</v>
      </c>
      <c r="F26" s="86">
        <v>19.8</v>
      </c>
      <c r="G26" s="86">
        <v>8.03</v>
      </c>
      <c r="H26" s="1"/>
    </row>
    <row r="27" spans="1:8" ht="15.75">
      <c r="A27" s="15" t="s">
        <v>81</v>
      </c>
      <c r="B27" s="86">
        <v>9.29</v>
      </c>
      <c r="C27" s="86" t="s">
        <v>10</v>
      </c>
      <c r="D27" s="86">
        <v>17.3</v>
      </c>
      <c r="E27" s="86">
        <v>16.8</v>
      </c>
      <c r="F27" s="86">
        <v>19.4</v>
      </c>
      <c r="G27" s="86">
        <v>8.96</v>
      </c>
      <c r="H27" s="1"/>
    </row>
    <row r="28" spans="1:8" ht="15.75">
      <c r="A28" s="15" t="s">
        <v>82</v>
      </c>
      <c r="B28" s="86">
        <v>9.1</v>
      </c>
      <c r="C28" s="86" t="s">
        <v>10</v>
      </c>
      <c r="D28" s="86">
        <v>17.6</v>
      </c>
      <c r="E28" s="86">
        <v>17.4</v>
      </c>
      <c r="F28" s="86">
        <v>19.7</v>
      </c>
      <c r="G28" s="86">
        <v>8.53</v>
      </c>
      <c r="H28" s="1"/>
    </row>
    <row r="29" spans="1:8" ht="15.75">
      <c r="A29" s="15" t="s">
        <v>84</v>
      </c>
      <c r="B29" s="86">
        <v>9.42</v>
      </c>
      <c r="C29" s="86" t="s">
        <v>10</v>
      </c>
      <c r="D29" s="86">
        <v>17.9</v>
      </c>
      <c r="E29" s="86">
        <v>17.8</v>
      </c>
      <c r="F29" s="86">
        <v>20.5</v>
      </c>
      <c r="G29" s="86">
        <v>8.4</v>
      </c>
      <c r="H29" s="1"/>
    </row>
    <row r="30" spans="1:8" ht="15.75">
      <c r="A30" s="15" t="s">
        <v>85</v>
      </c>
      <c r="B30" s="86">
        <v>9.24</v>
      </c>
      <c r="C30" s="86">
        <v>127</v>
      </c>
      <c r="D30" s="86">
        <v>19.1</v>
      </c>
      <c r="E30" s="86">
        <v>17.7</v>
      </c>
      <c r="F30" s="86">
        <v>19.8</v>
      </c>
      <c r="G30" s="86">
        <v>9.3</v>
      </c>
      <c r="H30" s="1"/>
    </row>
    <row r="31" spans="1:8" ht="15.75">
      <c r="A31" s="15"/>
      <c r="B31" s="86"/>
      <c r="C31" s="86"/>
      <c r="D31" s="86"/>
      <c r="E31" s="86"/>
      <c r="F31" s="86"/>
      <c r="G31" s="86"/>
      <c r="H31" s="1"/>
    </row>
    <row r="32" spans="1:8" ht="15.75">
      <c r="A32" s="40" t="s">
        <v>170</v>
      </c>
      <c r="B32" s="86"/>
      <c r="C32" s="86"/>
      <c r="D32" s="86"/>
      <c r="E32" s="86"/>
      <c r="F32" s="86"/>
      <c r="G32" s="86"/>
      <c r="H32" s="1"/>
    </row>
    <row r="33" spans="1:8" ht="15.75">
      <c r="A33" s="15" t="s">
        <v>87</v>
      </c>
      <c r="B33" s="86">
        <v>9.35</v>
      </c>
      <c r="C33" s="86">
        <v>124</v>
      </c>
      <c r="D33" s="86">
        <v>17.4</v>
      </c>
      <c r="E33" s="86">
        <v>17.3</v>
      </c>
      <c r="F33" s="86">
        <v>23</v>
      </c>
      <c r="G33" s="86">
        <v>9.55</v>
      </c>
      <c r="H33" s="1"/>
    </row>
    <row r="34" spans="1:8" ht="15.75">
      <c r="A34" s="14"/>
      <c r="B34" s="87"/>
      <c r="C34" s="87"/>
      <c r="D34" s="87"/>
      <c r="E34" s="87"/>
      <c r="F34" s="87"/>
      <c r="G34" s="87"/>
      <c r="H34" s="1"/>
    </row>
    <row r="35" spans="1:7" ht="18.75">
      <c r="A35" s="15" t="s">
        <v>132</v>
      </c>
      <c r="B35" s="15"/>
      <c r="C35" s="15"/>
      <c r="D35" s="15"/>
      <c r="E35" s="15"/>
      <c r="F35" s="15"/>
      <c r="G35" s="15"/>
    </row>
    <row r="36" spans="1:7" ht="15.75">
      <c r="A36" s="15" t="s">
        <v>73</v>
      </c>
      <c r="B36" s="33"/>
      <c r="C36" s="33" t="s">
        <v>149</v>
      </c>
      <c r="D36" s="33"/>
      <c r="E36" s="33"/>
      <c r="F36" s="33"/>
      <c r="G36" s="33"/>
    </row>
    <row r="37" spans="1:7" ht="15.75">
      <c r="A37" s="15" t="s">
        <v>92</v>
      </c>
      <c r="B37" s="15"/>
      <c r="C37" s="15"/>
      <c r="D37" s="15"/>
      <c r="E37" s="15"/>
      <c r="F37" s="15"/>
      <c r="G37" s="15"/>
    </row>
    <row r="38" spans="1:7" ht="15.75">
      <c r="A38" s="15" t="s">
        <v>26</v>
      </c>
      <c r="B38" s="25">
        <f ca="1">NOW()</f>
        <v>43052.74469270834</v>
      </c>
      <c r="C38" s="15"/>
      <c r="D38" s="15"/>
      <c r="E38" s="15"/>
      <c r="F38" s="15"/>
      <c r="G3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1" t="s">
        <v>15</v>
      </c>
      <c r="B2" s="32" t="s">
        <v>45</v>
      </c>
      <c r="C2" s="32" t="s">
        <v>17</v>
      </c>
      <c r="D2" s="32" t="s">
        <v>114</v>
      </c>
      <c r="E2" s="119" t="s">
        <v>66</v>
      </c>
      <c r="F2" s="119" t="s">
        <v>46</v>
      </c>
      <c r="G2" s="32" t="s">
        <v>51</v>
      </c>
      <c r="H2" s="32" t="s">
        <v>57</v>
      </c>
      <c r="I2" s="73" t="s">
        <v>49</v>
      </c>
    </row>
    <row r="3" spans="1:9" ht="15" customHeight="1">
      <c r="A3" s="72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5" t="s">
        <v>150</v>
      </c>
      <c r="C4" s="106"/>
      <c r="D4" s="106"/>
      <c r="E4" s="106"/>
      <c r="F4" s="106"/>
      <c r="G4" s="106"/>
      <c r="H4" s="106"/>
      <c r="I4" s="106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6">
        <v>52.03</v>
      </c>
      <c r="C6" s="86">
        <v>73.56</v>
      </c>
      <c r="D6" s="86">
        <v>91.15</v>
      </c>
      <c r="E6" s="86">
        <v>65.64</v>
      </c>
      <c r="F6" s="86">
        <v>94.53</v>
      </c>
      <c r="G6" s="86">
        <v>69.4</v>
      </c>
      <c r="H6" s="86">
        <v>40.85</v>
      </c>
      <c r="I6" s="86">
        <v>41.68</v>
      </c>
    </row>
    <row r="7" spans="1:9" ht="15.75">
      <c r="A7" s="15" t="s">
        <v>69</v>
      </c>
      <c r="B7" s="86">
        <v>32.16</v>
      </c>
      <c r="C7" s="86">
        <v>37.1</v>
      </c>
      <c r="D7" s="86">
        <v>50.24</v>
      </c>
      <c r="E7" s="86">
        <v>39.54</v>
      </c>
      <c r="F7" s="86">
        <v>78.49</v>
      </c>
      <c r="G7" s="86">
        <v>32.75</v>
      </c>
      <c r="H7" s="86">
        <v>26.72</v>
      </c>
      <c r="I7" s="86">
        <v>25.47</v>
      </c>
    </row>
    <row r="8" spans="1:9" ht="15.75">
      <c r="A8" s="15" t="s">
        <v>71</v>
      </c>
      <c r="B8" s="86">
        <v>35.95</v>
      </c>
      <c r="C8" s="86">
        <v>40.27</v>
      </c>
      <c r="D8" s="86">
        <v>52.8</v>
      </c>
      <c r="E8" s="86">
        <v>42.88</v>
      </c>
      <c r="F8" s="86">
        <v>59.62</v>
      </c>
      <c r="G8" s="86">
        <v>39.29</v>
      </c>
      <c r="H8" s="86">
        <v>31.99</v>
      </c>
      <c r="I8" s="86">
        <v>32.26</v>
      </c>
    </row>
    <row r="9" spans="1:9" ht="15.75">
      <c r="A9" s="15" t="s">
        <v>72</v>
      </c>
      <c r="B9" s="86">
        <v>53.2</v>
      </c>
      <c r="C9" s="86">
        <v>54.5</v>
      </c>
      <c r="D9" s="86">
        <v>86.12</v>
      </c>
      <c r="E9" s="86">
        <v>58.68</v>
      </c>
      <c r="F9" s="86">
        <v>77.24</v>
      </c>
      <c r="G9" s="86">
        <v>60.76</v>
      </c>
      <c r="H9" s="86">
        <v>51.52</v>
      </c>
      <c r="I9" s="86">
        <v>51.34</v>
      </c>
    </row>
    <row r="10" spans="1:9" ht="15.75">
      <c r="A10" s="15" t="s">
        <v>83</v>
      </c>
      <c r="B10" s="86">
        <v>51.9</v>
      </c>
      <c r="C10" s="86">
        <v>53.22</v>
      </c>
      <c r="D10" s="86">
        <v>83.2</v>
      </c>
      <c r="E10" s="86">
        <v>57.19</v>
      </c>
      <c r="F10" s="86">
        <v>100.15</v>
      </c>
      <c r="G10" s="86">
        <v>56.09</v>
      </c>
      <c r="H10" s="86">
        <v>48.11</v>
      </c>
      <c r="I10" s="86">
        <v>50.33</v>
      </c>
    </row>
    <row r="11" spans="1:9" ht="15.75">
      <c r="A11" s="15" t="s">
        <v>118</v>
      </c>
      <c r="B11" s="86">
        <v>47.13</v>
      </c>
      <c r="C11" s="86">
        <v>48.6</v>
      </c>
      <c r="D11" s="86">
        <v>65.87</v>
      </c>
      <c r="E11" s="86">
        <v>56.17</v>
      </c>
      <c r="F11" s="86">
        <v>91.83</v>
      </c>
      <c r="G11" s="86">
        <v>46.66</v>
      </c>
      <c r="H11" s="86">
        <v>51.8</v>
      </c>
      <c r="I11" s="86">
        <v>43.24</v>
      </c>
    </row>
    <row r="12" spans="1:9" ht="15.75">
      <c r="A12" s="15" t="s">
        <v>126</v>
      </c>
      <c r="B12" s="86">
        <v>38.23</v>
      </c>
      <c r="C12" s="86">
        <v>60.66</v>
      </c>
      <c r="D12" s="86">
        <v>59.12</v>
      </c>
      <c r="E12" s="86">
        <v>43.7</v>
      </c>
      <c r="F12" s="86">
        <v>68.23</v>
      </c>
      <c r="G12" s="86">
        <v>39.43</v>
      </c>
      <c r="H12" s="86">
        <v>43.93</v>
      </c>
      <c r="I12" s="86">
        <v>39.76</v>
      </c>
    </row>
    <row r="13" spans="1:9" ht="15.75">
      <c r="A13" s="15" t="s">
        <v>129</v>
      </c>
      <c r="B13" s="86">
        <v>31.6</v>
      </c>
      <c r="C13" s="86">
        <v>45.74</v>
      </c>
      <c r="D13" s="86">
        <v>66.72</v>
      </c>
      <c r="E13" s="86">
        <v>37.81</v>
      </c>
      <c r="F13" s="86">
        <v>57.96</v>
      </c>
      <c r="G13" s="86">
        <v>37.48</v>
      </c>
      <c r="H13" s="86">
        <v>33.43</v>
      </c>
      <c r="I13" s="86">
        <v>31.36</v>
      </c>
    </row>
    <row r="14" spans="1:9" ht="15.75">
      <c r="A14" s="15" t="s">
        <v>140</v>
      </c>
      <c r="B14" s="86">
        <v>29.86</v>
      </c>
      <c r="C14" s="86">
        <v>45.87</v>
      </c>
      <c r="D14" s="86">
        <v>57.81</v>
      </c>
      <c r="E14" s="86">
        <v>35.27</v>
      </c>
      <c r="F14" s="86">
        <v>58.26</v>
      </c>
      <c r="G14" s="86">
        <v>39.25</v>
      </c>
      <c r="H14" s="86">
        <v>32.23</v>
      </c>
      <c r="I14" s="86">
        <v>30.07</v>
      </c>
    </row>
    <row r="15" spans="1:9" ht="18.75">
      <c r="A15" s="15" t="s">
        <v>159</v>
      </c>
      <c r="B15" s="86">
        <v>32.55</v>
      </c>
      <c r="C15" s="86">
        <v>40.92</v>
      </c>
      <c r="D15" s="86">
        <v>53.54</v>
      </c>
      <c r="E15" s="86">
        <v>38.73</v>
      </c>
      <c r="F15" s="86">
        <v>66.73</v>
      </c>
      <c r="G15" s="86">
        <v>37.43</v>
      </c>
      <c r="H15" s="86">
        <v>33.07</v>
      </c>
      <c r="I15" s="86">
        <v>34.75</v>
      </c>
    </row>
    <row r="16" spans="1:9" ht="18.75">
      <c r="A16" s="15" t="s">
        <v>169</v>
      </c>
      <c r="B16" s="55" t="s">
        <v>171</v>
      </c>
      <c r="C16" s="55" t="s">
        <v>174</v>
      </c>
      <c r="D16" s="55" t="s">
        <v>175</v>
      </c>
      <c r="E16" s="55" t="s">
        <v>176</v>
      </c>
      <c r="F16" s="55" t="s">
        <v>177</v>
      </c>
      <c r="G16" s="55" t="s">
        <v>178</v>
      </c>
      <c r="H16" s="55" t="s">
        <v>179</v>
      </c>
      <c r="I16" s="55" t="s">
        <v>180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6"/>
      <c r="C18" s="86"/>
      <c r="D18" s="86"/>
      <c r="E18" s="86"/>
      <c r="F18" s="86"/>
      <c r="G18" s="86"/>
      <c r="H18" s="86"/>
      <c r="I18" s="86"/>
    </row>
    <row r="19" spans="1:15" ht="15.75">
      <c r="A19" s="15" t="s">
        <v>74</v>
      </c>
      <c r="B19" s="86">
        <v>33.86</v>
      </c>
      <c r="C19" s="86">
        <v>44.875</v>
      </c>
      <c r="D19" s="86">
        <v>56</v>
      </c>
      <c r="E19" s="86">
        <v>38.94</v>
      </c>
      <c r="F19" s="86">
        <v>64.88</v>
      </c>
      <c r="G19" s="86">
        <v>36.22</v>
      </c>
      <c r="H19" s="86">
        <v>34</v>
      </c>
      <c r="I19" s="86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6">
        <v>34.52</v>
      </c>
      <c r="C20" s="86">
        <v>45.8125</v>
      </c>
      <c r="D20" s="86">
        <v>56</v>
      </c>
      <c r="E20" s="86">
        <v>39.25</v>
      </c>
      <c r="F20" s="86">
        <v>66</v>
      </c>
      <c r="G20" s="86">
        <v>36.83</v>
      </c>
      <c r="H20" s="86" t="s">
        <v>10</v>
      </c>
      <c r="I20" s="86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6">
        <v>35.57</v>
      </c>
      <c r="C21" s="86">
        <v>46.4</v>
      </c>
      <c r="D21" s="86">
        <v>56</v>
      </c>
      <c r="E21" s="86">
        <v>40.2</v>
      </c>
      <c r="F21" s="86">
        <v>63.1</v>
      </c>
      <c r="G21" s="86">
        <v>38.12</v>
      </c>
      <c r="H21" s="86">
        <v>31</v>
      </c>
      <c r="I21" s="86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6">
        <v>33.58</v>
      </c>
      <c r="C22" s="86">
        <v>44.5625</v>
      </c>
      <c r="D22" s="86">
        <v>56</v>
      </c>
      <c r="E22" s="86">
        <v>38.69</v>
      </c>
      <c r="F22" s="86">
        <v>62.88</v>
      </c>
      <c r="G22" s="86">
        <v>37.89</v>
      </c>
      <c r="H22" s="86">
        <v>30.1</v>
      </c>
      <c r="I22" s="86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6">
        <v>32</v>
      </c>
      <c r="C23" s="86">
        <v>41.5</v>
      </c>
      <c r="D23" s="86">
        <v>55</v>
      </c>
      <c r="E23" s="86">
        <v>37.25</v>
      </c>
      <c r="F23" s="86">
        <v>63.13</v>
      </c>
      <c r="G23" s="86">
        <v>38.11</v>
      </c>
      <c r="H23" s="86" t="s">
        <v>10</v>
      </c>
      <c r="I23" s="86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6">
        <v>30.86</v>
      </c>
      <c r="C24" s="86">
        <v>39.45</v>
      </c>
      <c r="D24" s="86">
        <v>52</v>
      </c>
      <c r="E24" s="86">
        <v>37.3</v>
      </c>
      <c r="F24" s="86">
        <v>65.8</v>
      </c>
      <c r="G24" s="86">
        <v>37.9</v>
      </c>
      <c r="H24" s="86" t="s">
        <v>10</v>
      </c>
      <c r="I24" s="86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6">
        <v>29.57</v>
      </c>
      <c r="C25" s="86">
        <v>37.5625</v>
      </c>
      <c r="D25" s="86">
        <v>51</v>
      </c>
      <c r="E25" s="86">
        <v>36.13</v>
      </c>
      <c r="F25" s="86">
        <v>69.69</v>
      </c>
      <c r="G25" s="86">
        <v>37.63</v>
      </c>
      <c r="H25" s="86" t="s">
        <v>10</v>
      </c>
      <c r="I25" s="86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6">
        <v>30.6</v>
      </c>
      <c r="C26" s="86">
        <v>38.625</v>
      </c>
      <c r="D26" s="86">
        <v>50.5</v>
      </c>
      <c r="E26" s="86">
        <v>37.06</v>
      </c>
      <c r="F26" s="86">
        <v>70.75</v>
      </c>
      <c r="G26" s="86">
        <v>37.71</v>
      </c>
      <c r="H26" s="86" t="s">
        <v>10</v>
      </c>
      <c r="I26" s="86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6">
        <v>30.74</v>
      </c>
      <c r="C27" s="86">
        <v>38.6</v>
      </c>
      <c r="D27" s="86">
        <v>50.8</v>
      </c>
      <c r="E27" s="86">
        <v>37.85</v>
      </c>
      <c r="F27" s="86">
        <v>76.2</v>
      </c>
      <c r="G27" s="86">
        <v>38</v>
      </c>
      <c r="H27" s="86">
        <v>34.5</v>
      </c>
      <c r="I27" s="86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6">
        <v>32.82</v>
      </c>
      <c r="C28" s="86">
        <v>38.875</v>
      </c>
      <c r="D28" s="86">
        <v>51.25</v>
      </c>
      <c r="E28" s="86">
        <v>39.75</v>
      </c>
      <c r="F28" s="86">
        <v>75.75</v>
      </c>
      <c r="G28" s="86">
        <v>37.53</v>
      </c>
      <c r="H28" s="86" t="s">
        <v>10</v>
      </c>
      <c r="I28" s="86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6">
        <v>33.17</v>
      </c>
      <c r="C29" s="86">
        <v>36.375</v>
      </c>
      <c r="D29" s="86">
        <v>52.75</v>
      </c>
      <c r="E29" s="86">
        <v>41.19</v>
      </c>
      <c r="F29" s="86">
        <v>69.63</v>
      </c>
      <c r="G29" s="86">
        <v>36.75</v>
      </c>
      <c r="H29" s="86" t="s">
        <v>10</v>
      </c>
      <c r="I29" s="86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6">
        <v>33.28</v>
      </c>
      <c r="C30" s="86">
        <v>38.45</v>
      </c>
      <c r="D30" s="86">
        <v>55.2</v>
      </c>
      <c r="E30" s="86">
        <v>41.15</v>
      </c>
      <c r="F30" s="86">
        <v>66.6</v>
      </c>
      <c r="G30" s="86">
        <v>36.48</v>
      </c>
      <c r="H30" s="86">
        <v>35.75</v>
      </c>
      <c r="I30" s="86">
        <v>35.08</v>
      </c>
      <c r="K30" s="7"/>
      <c r="L30" s="7"/>
      <c r="M30" s="7"/>
      <c r="N30" s="7"/>
      <c r="O30" s="7"/>
    </row>
    <row r="31" spans="1:9" ht="15.75">
      <c r="A31" s="17"/>
      <c r="B31" s="86"/>
      <c r="C31" s="86"/>
      <c r="D31" s="86"/>
      <c r="E31" s="86"/>
      <c r="F31" s="86"/>
      <c r="G31" s="86"/>
      <c r="H31" s="86"/>
      <c r="I31" s="86"/>
    </row>
    <row r="32" spans="1:9" ht="15.75">
      <c r="A32" s="15" t="s">
        <v>170</v>
      </c>
      <c r="B32" s="86"/>
      <c r="C32" s="86"/>
      <c r="D32" s="86"/>
      <c r="E32" s="86"/>
      <c r="F32" s="86"/>
      <c r="G32" s="86"/>
      <c r="H32" s="86"/>
      <c r="I32" s="86"/>
    </row>
    <row r="33" spans="1:9" ht="15.75">
      <c r="A33" s="14" t="s">
        <v>74</v>
      </c>
      <c r="B33" s="87">
        <v>35.35</v>
      </c>
      <c r="C33" s="87">
        <v>37.06</v>
      </c>
      <c r="D33" s="87">
        <v>56</v>
      </c>
      <c r="E33" s="87">
        <v>39.06</v>
      </c>
      <c r="F33" s="87">
        <v>65.44</v>
      </c>
      <c r="G33" s="87">
        <v>34.96</v>
      </c>
      <c r="H33" s="87">
        <v>36</v>
      </c>
      <c r="I33" s="87">
        <v>32.06</v>
      </c>
    </row>
    <row r="34" spans="1:9" ht="18.75">
      <c r="A34" s="43" t="s">
        <v>138</v>
      </c>
      <c r="B34" s="9"/>
      <c r="C34" s="9"/>
      <c r="D34" s="9"/>
      <c r="E34" s="9"/>
      <c r="F34" s="9"/>
      <c r="G34" s="9"/>
      <c r="H34" s="9"/>
      <c r="I34" s="9"/>
    </row>
    <row r="35" spans="1:9" ht="18.75">
      <c r="A35" s="15" t="s">
        <v>139</v>
      </c>
      <c r="B35" s="9"/>
      <c r="C35" s="9"/>
      <c r="D35" s="9"/>
      <c r="E35" s="9"/>
      <c r="F35" s="9"/>
      <c r="G35" s="9"/>
      <c r="H35" s="9"/>
      <c r="I35" s="9"/>
    </row>
    <row r="36" spans="1:9" ht="15.75">
      <c r="A36" s="15" t="s">
        <v>93</v>
      </c>
      <c r="B36" s="15"/>
      <c r="C36" s="15"/>
      <c r="D36" s="15"/>
      <c r="E36" s="15"/>
      <c r="F36" s="36"/>
      <c r="G36" s="15"/>
      <c r="H36" s="15"/>
      <c r="I36" s="15"/>
    </row>
    <row r="37" spans="1:9" ht="15.75">
      <c r="A37" s="15" t="s">
        <v>26</v>
      </c>
      <c r="B37" s="97">
        <f ca="1">NOW()</f>
        <v>43052.74469270834</v>
      </c>
      <c r="D37" s="15"/>
      <c r="E37" s="15"/>
      <c r="F37" s="15"/>
      <c r="G37" s="15"/>
      <c r="H37" s="15"/>
      <c r="I37" s="15"/>
    </row>
    <row r="38" spans="3:9" ht="15.75">
      <c r="C38" s="15"/>
      <c r="G38" s="15"/>
      <c r="H38" s="15"/>
      <c r="I38" s="15"/>
    </row>
    <row r="39" spans="3:9" ht="15.75">
      <c r="C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H55" s="15"/>
      <c r="I55" s="15"/>
    </row>
    <row r="56" spans="3:9" ht="15.75">
      <c r="C56" s="15"/>
      <c r="H56" s="15"/>
      <c r="I56" s="15"/>
    </row>
    <row r="57" spans="3:9" ht="15.75">
      <c r="C57" s="15"/>
      <c r="F57" s="54"/>
      <c r="H57" s="15"/>
      <c r="I57" s="15"/>
    </row>
    <row r="58" spans="6:9" ht="15.75">
      <c r="F58" s="54"/>
      <c r="H58" s="15"/>
      <c r="I58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5" t="s">
        <v>151</v>
      </c>
      <c r="C4" s="106"/>
      <c r="D4" s="106"/>
      <c r="E4" s="106"/>
      <c r="F4" s="106"/>
      <c r="G4" s="106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6">
        <v>335.94</v>
      </c>
      <c r="C6" s="86">
        <v>253.81</v>
      </c>
      <c r="D6" s="86">
        <v>172.81</v>
      </c>
      <c r="E6" s="63" t="s">
        <v>10</v>
      </c>
      <c r="F6" s="86">
        <v>251.32</v>
      </c>
      <c r="G6" s="86">
        <v>228.81</v>
      </c>
      <c r="H6" s="54"/>
    </row>
    <row r="7" spans="1:8" ht="15.75">
      <c r="A7" s="15" t="s">
        <v>69</v>
      </c>
      <c r="B7" s="86">
        <v>331.17</v>
      </c>
      <c r="C7" s="86">
        <v>255.23</v>
      </c>
      <c r="D7" s="86">
        <v>152.46</v>
      </c>
      <c r="E7" s="63" t="s">
        <v>10</v>
      </c>
      <c r="F7" s="86">
        <v>248.82</v>
      </c>
      <c r="G7" s="86">
        <v>220.89</v>
      </c>
      <c r="H7" s="54"/>
    </row>
    <row r="8" spans="1:8" ht="15.75">
      <c r="A8" s="15" t="s">
        <v>71</v>
      </c>
      <c r="B8" s="86">
        <v>311.27</v>
      </c>
      <c r="C8" s="86">
        <v>220.9</v>
      </c>
      <c r="D8" s="86">
        <v>151.04</v>
      </c>
      <c r="E8" s="63" t="s">
        <v>10</v>
      </c>
      <c r="F8" s="86">
        <v>224.92</v>
      </c>
      <c r="G8" s="86">
        <v>209.23</v>
      </c>
      <c r="H8" s="54"/>
    </row>
    <row r="9" spans="1:8" ht="15.75">
      <c r="A9" s="15" t="s">
        <v>72</v>
      </c>
      <c r="B9" s="86">
        <v>345.52</v>
      </c>
      <c r="C9" s="86">
        <v>273.84</v>
      </c>
      <c r="D9" s="86">
        <v>219.72</v>
      </c>
      <c r="E9" s="63" t="s">
        <v>10</v>
      </c>
      <c r="F9" s="86">
        <v>263.63</v>
      </c>
      <c r="G9" s="86">
        <v>240.65</v>
      </c>
      <c r="H9" s="54"/>
    </row>
    <row r="10" spans="1:8" ht="15.75">
      <c r="A10" s="15" t="s">
        <v>83</v>
      </c>
      <c r="B10" s="86">
        <v>393.53</v>
      </c>
      <c r="C10" s="86">
        <v>275.13</v>
      </c>
      <c r="D10" s="86">
        <v>246.75</v>
      </c>
      <c r="E10" s="63" t="s">
        <v>10</v>
      </c>
      <c r="F10" s="86">
        <v>307.59</v>
      </c>
      <c r="G10" s="86">
        <v>265.68</v>
      </c>
      <c r="H10" s="54"/>
    </row>
    <row r="11" spans="1:8" ht="15.75">
      <c r="A11" s="15" t="s">
        <v>118</v>
      </c>
      <c r="B11" s="86">
        <v>468.11</v>
      </c>
      <c r="C11" s="86">
        <v>331.52</v>
      </c>
      <c r="D11" s="86">
        <v>241.57</v>
      </c>
      <c r="E11" s="63" t="s">
        <v>10</v>
      </c>
      <c r="F11" s="86">
        <v>354.22</v>
      </c>
      <c r="G11" s="86">
        <v>329.31</v>
      </c>
      <c r="H11" s="54"/>
    </row>
    <row r="12" spans="1:8" ht="15.75">
      <c r="A12" s="15" t="s">
        <v>126</v>
      </c>
      <c r="B12" s="86">
        <v>489.94</v>
      </c>
      <c r="C12" s="86">
        <v>377.71</v>
      </c>
      <c r="D12" s="86">
        <v>238.87</v>
      </c>
      <c r="E12" s="63" t="s">
        <v>10</v>
      </c>
      <c r="F12" s="86">
        <v>359.7</v>
      </c>
      <c r="G12" s="86">
        <v>337.23</v>
      </c>
      <c r="H12" s="54"/>
    </row>
    <row r="13" spans="1:8" ht="15.75">
      <c r="A13" s="15" t="s">
        <v>129</v>
      </c>
      <c r="B13" s="86">
        <v>368.49</v>
      </c>
      <c r="C13" s="86">
        <v>304.27</v>
      </c>
      <c r="D13" s="86">
        <v>209.97</v>
      </c>
      <c r="E13" s="63" t="s">
        <v>10</v>
      </c>
      <c r="F13" s="86">
        <v>301.2</v>
      </c>
      <c r="G13" s="86">
        <v>256.58</v>
      </c>
      <c r="H13" s="54"/>
    </row>
    <row r="14" spans="1:7" ht="15.75">
      <c r="A14" s="15" t="s">
        <v>140</v>
      </c>
      <c r="B14" s="86">
        <v>324.56</v>
      </c>
      <c r="C14" s="86">
        <v>261.19</v>
      </c>
      <c r="D14" s="86">
        <v>153.17</v>
      </c>
      <c r="E14" s="63" t="s">
        <v>10</v>
      </c>
      <c r="F14" s="86">
        <v>262.2</v>
      </c>
      <c r="G14" s="86">
        <v>260.23</v>
      </c>
    </row>
    <row r="15" spans="1:7" ht="18.75">
      <c r="A15" s="15" t="s">
        <v>159</v>
      </c>
      <c r="B15" s="86">
        <v>316.88</v>
      </c>
      <c r="C15" s="86">
        <v>208.61</v>
      </c>
      <c r="D15" s="86">
        <v>145.1</v>
      </c>
      <c r="E15" s="63" t="s">
        <v>10</v>
      </c>
      <c r="F15" s="86">
        <v>267.94</v>
      </c>
      <c r="G15" s="86">
        <v>282.49</v>
      </c>
    </row>
    <row r="16" spans="1:7" ht="18.75">
      <c r="A16" s="15" t="s">
        <v>169</v>
      </c>
      <c r="B16" s="86" t="s">
        <v>185</v>
      </c>
      <c r="C16" s="86" t="s">
        <v>186</v>
      </c>
      <c r="D16" s="86" t="s">
        <v>187</v>
      </c>
      <c r="E16" s="63" t="s">
        <v>10</v>
      </c>
      <c r="F16" s="86" t="s">
        <v>188</v>
      </c>
      <c r="G16" s="86" t="s">
        <v>173</v>
      </c>
    </row>
    <row r="17" spans="1:8" ht="15.75">
      <c r="A17" s="51"/>
      <c r="B17" s="86"/>
      <c r="C17" s="86"/>
      <c r="D17" s="86"/>
      <c r="E17" s="63"/>
      <c r="F17" s="86"/>
      <c r="G17" s="86"/>
      <c r="H17" s="13"/>
    </row>
    <row r="18" spans="1:8" ht="15.75">
      <c r="A18" s="15" t="s">
        <v>163</v>
      </c>
      <c r="B18" s="86"/>
      <c r="C18" s="86"/>
      <c r="D18" s="86"/>
      <c r="E18" s="63"/>
      <c r="F18" s="86"/>
      <c r="G18" s="86"/>
      <c r="H18" s="13"/>
    </row>
    <row r="19" spans="1:13" ht="15.75">
      <c r="A19" s="15" t="s">
        <v>74</v>
      </c>
      <c r="B19" s="86">
        <v>323.27</v>
      </c>
      <c r="C19" s="86">
        <v>241.88</v>
      </c>
      <c r="D19" s="86">
        <v>148.75</v>
      </c>
      <c r="E19" s="63" t="s">
        <v>10</v>
      </c>
      <c r="F19" s="86">
        <v>225.05</v>
      </c>
      <c r="G19" s="86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6">
        <v>322.41</v>
      </c>
      <c r="C20" s="86">
        <v>221</v>
      </c>
      <c r="D20" s="86">
        <v>140.5</v>
      </c>
      <c r="E20" s="63" t="s">
        <v>10</v>
      </c>
      <c r="F20" s="86">
        <v>234.78</v>
      </c>
      <c r="G20" s="86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6">
        <v>321.02</v>
      </c>
      <c r="C21" s="86">
        <v>217.5</v>
      </c>
      <c r="D21" s="86">
        <v>145</v>
      </c>
      <c r="E21" s="63" t="s">
        <v>10</v>
      </c>
      <c r="F21" s="86">
        <v>243.3</v>
      </c>
      <c r="G21" s="86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6">
        <v>332.34</v>
      </c>
      <c r="C22" s="86">
        <v>223.5</v>
      </c>
      <c r="D22" s="86">
        <v>159</v>
      </c>
      <c r="E22" s="63" t="s">
        <v>10</v>
      </c>
      <c r="F22" s="86">
        <v>267.41</v>
      </c>
      <c r="G22" s="86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6">
        <v>334.42</v>
      </c>
      <c r="C23" s="86">
        <v>221.88</v>
      </c>
      <c r="D23" s="86">
        <v>161.88</v>
      </c>
      <c r="E23" s="63" t="s">
        <v>10</v>
      </c>
      <c r="F23" s="86">
        <v>276.9</v>
      </c>
      <c r="G23" s="86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6">
        <v>320.34</v>
      </c>
      <c r="C24" s="86">
        <v>210.63</v>
      </c>
      <c r="D24" s="86">
        <v>155</v>
      </c>
      <c r="E24" s="63" t="s">
        <v>10</v>
      </c>
      <c r="F24" s="86">
        <v>276.33</v>
      </c>
      <c r="G24" s="86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6">
        <v>305.67</v>
      </c>
      <c r="C25" s="86">
        <v>195</v>
      </c>
      <c r="D25" s="86">
        <v>147.5</v>
      </c>
      <c r="E25" s="63" t="s">
        <v>10</v>
      </c>
      <c r="F25" s="86">
        <v>270.66</v>
      </c>
      <c r="G25" s="86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6">
        <v>307.63</v>
      </c>
      <c r="C26" s="86">
        <v>179.5</v>
      </c>
      <c r="D26" s="86">
        <v>144</v>
      </c>
      <c r="E26" s="63" t="s">
        <v>10</v>
      </c>
      <c r="F26" s="86">
        <v>279.64</v>
      </c>
      <c r="G26" s="86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6">
        <v>300.72</v>
      </c>
      <c r="C27" s="86">
        <v>179.38</v>
      </c>
      <c r="D27" s="86">
        <v>140</v>
      </c>
      <c r="E27" s="63" t="s">
        <v>10</v>
      </c>
      <c r="F27" s="86">
        <v>281.66</v>
      </c>
      <c r="G27" s="86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6">
        <v>326.04</v>
      </c>
      <c r="C28" s="86">
        <v>200.83</v>
      </c>
      <c r="D28" s="86">
        <v>130.63</v>
      </c>
      <c r="E28" s="63" t="s">
        <v>10</v>
      </c>
      <c r="F28" s="86">
        <v>307.73</v>
      </c>
      <c r="G28" s="86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6">
        <v>301.05</v>
      </c>
      <c r="C29" s="86">
        <v>198.5</v>
      </c>
      <c r="D29" s="86">
        <v>134.5</v>
      </c>
      <c r="E29" s="63" t="s">
        <v>10</v>
      </c>
      <c r="F29" s="86">
        <v>289.45</v>
      </c>
      <c r="G29" s="86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6">
        <v>307.7</v>
      </c>
      <c r="C30" s="86">
        <v>213.75</v>
      </c>
      <c r="D30" s="86">
        <v>134.38</v>
      </c>
      <c r="E30" s="63" t="s">
        <v>10</v>
      </c>
      <c r="F30" s="86">
        <v>262.33</v>
      </c>
      <c r="G30" s="86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6"/>
      <c r="C31" s="86"/>
      <c r="D31" s="86"/>
      <c r="E31" s="63"/>
      <c r="F31" s="86"/>
      <c r="G31" s="86"/>
      <c r="H31" s="13"/>
    </row>
    <row r="32" spans="1:8" ht="15.75">
      <c r="A32" s="15" t="s">
        <v>170</v>
      </c>
      <c r="B32" s="86"/>
      <c r="C32" s="86"/>
      <c r="D32" s="86"/>
      <c r="E32" s="63"/>
      <c r="F32" s="86"/>
      <c r="G32" s="86"/>
      <c r="H32" s="13"/>
    </row>
    <row r="33" spans="1:8" ht="15.75">
      <c r="A33" s="44" t="s">
        <v>74</v>
      </c>
      <c r="B33" s="87">
        <v>315.23</v>
      </c>
      <c r="C33" s="87">
        <v>229</v>
      </c>
      <c r="D33" s="87">
        <v>153</v>
      </c>
      <c r="E33" s="62" t="s">
        <v>10</v>
      </c>
      <c r="F33" s="87">
        <v>257.73</v>
      </c>
      <c r="G33" s="87">
        <v>214</v>
      </c>
      <c r="H33" s="13"/>
    </row>
    <row r="34" spans="1:13" ht="18.75">
      <c r="A34" s="43" t="s">
        <v>116</v>
      </c>
      <c r="B34" s="37"/>
      <c r="C34" s="37"/>
      <c r="D34" s="37"/>
      <c r="E34" s="37"/>
      <c r="F34" s="37"/>
      <c r="G34" s="37"/>
      <c r="I34" s="6"/>
      <c r="J34" s="6"/>
      <c r="K34" s="6"/>
      <c r="L34" s="6"/>
      <c r="M34" s="6"/>
    </row>
    <row r="35" spans="1:13" ht="18.75">
      <c r="A35" s="43" t="s">
        <v>117</v>
      </c>
      <c r="B35" s="38"/>
      <c r="C35" s="38"/>
      <c r="D35" s="38"/>
      <c r="E35" s="38"/>
      <c r="F35" s="38"/>
      <c r="G35" s="38"/>
      <c r="I35" s="11"/>
      <c r="J35" s="6"/>
      <c r="K35" s="6"/>
      <c r="L35" s="6"/>
      <c r="M35" s="6"/>
    </row>
    <row r="36" spans="1:13" ht="15.75">
      <c r="A36" s="15" t="s">
        <v>115</v>
      </c>
      <c r="B36" s="38"/>
      <c r="C36" s="38"/>
      <c r="D36" s="38"/>
      <c r="E36" s="38"/>
      <c r="F36" s="38"/>
      <c r="G36" s="38"/>
      <c r="I36" s="11"/>
      <c r="J36" s="6"/>
      <c r="K36" s="6"/>
      <c r="L36" s="6"/>
      <c r="M36" s="6"/>
    </row>
    <row r="37" spans="1:13" ht="15.75">
      <c r="A37" s="15" t="s">
        <v>100</v>
      </c>
      <c r="B37" s="15"/>
      <c r="C37" s="15"/>
      <c r="D37" s="15"/>
      <c r="E37" s="15"/>
      <c r="F37" s="15"/>
      <c r="G37" s="15"/>
      <c r="H37" s="1"/>
      <c r="I37" s="11"/>
      <c r="J37" s="6"/>
      <c r="K37" s="6"/>
      <c r="L37" s="6"/>
      <c r="M37" s="6"/>
    </row>
    <row r="38" spans="1:13" ht="15.75">
      <c r="A38" s="15" t="s">
        <v>26</v>
      </c>
      <c r="B38" s="25">
        <f ca="1">NOW()</f>
        <v>43052.74469270834</v>
      </c>
      <c r="C38" s="15"/>
      <c r="D38" s="15"/>
      <c r="E38" s="15"/>
      <c r="F38" s="15"/>
      <c r="G38" s="15"/>
      <c r="I38" s="11"/>
      <c r="J38" s="6"/>
      <c r="K38" s="6"/>
      <c r="L38" s="6"/>
      <c r="M38" s="6"/>
    </row>
    <row r="39" spans="6:13" ht="15.75">
      <c r="F39" s="15"/>
      <c r="I39" s="12"/>
      <c r="J39" s="8"/>
      <c r="K39" s="8"/>
      <c r="L39" s="8"/>
      <c r="M39" s="8"/>
    </row>
    <row r="40" spans="6:13" ht="15.75">
      <c r="F40" s="15"/>
      <c r="I40" s="12"/>
      <c r="J40" s="8"/>
      <c r="K40" s="8"/>
      <c r="L40" s="8"/>
      <c r="M40" s="8"/>
    </row>
    <row r="41" spans="9:13" ht="12.75">
      <c r="I41" s="11"/>
      <c r="J41" s="11"/>
      <c r="K41" s="6"/>
      <c r="L41" s="6"/>
      <c r="M41" s="6"/>
    </row>
    <row r="42" spans="9:13" ht="12.75">
      <c r="I42" s="11"/>
      <c r="J42" s="11"/>
      <c r="K42" s="6"/>
      <c r="L42" s="6"/>
      <c r="M42" s="6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8" spans="9:13" ht="12.75">
      <c r="I48" s="9"/>
      <c r="J48" s="9"/>
      <c r="K48" s="9"/>
      <c r="L48" s="9"/>
      <c r="M48" s="9"/>
    </row>
    <row r="49" spans="9:13" ht="12.75">
      <c r="I49" s="9"/>
      <c r="J49" s="9"/>
      <c r="K49" s="9"/>
      <c r="L49" s="9"/>
      <c r="M49" s="9"/>
    </row>
    <row r="50" ht="12.75">
      <c r="J50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90" customWidth="1"/>
  </cols>
  <sheetData>
    <row r="1" spans="1:6" ht="15.75">
      <c r="A1" s="15" t="s">
        <v>198</v>
      </c>
      <c r="B1" s="98" t="s">
        <v>1</v>
      </c>
      <c r="C1" s="10" t="s">
        <v>199</v>
      </c>
      <c r="D1" s="10"/>
      <c r="E1" s="10"/>
      <c r="F1" s="10"/>
    </row>
    <row r="2" spans="2:3" ht="15.75">
      <c r="B2" s="15" t="s">
        <v>153</v>
      </c>
      <c r="C2" s="10" t="s">
        <v>101</v>
      </c>
    </row>
    <row r="3" spans="1:6" ht="12.75">
      <c r="A3" s="147" t="s">
        <v>72</v>
      </c>
      <c r="B3" s="127">
        <v>4157</v>
      </c>
      <c r="C3" s="127">
        <v>3312</v>
      </c>
      <c r="D3" s="127"/>
      <c r="E3" s="127"/>
      <c r="F3" s="127"/>
    </row>
    <row r="4" spans="1:6" ht="12.75">
      <c r="A4" s="147" t="s">
        <v>83</v>
      </c>
      <c r="B4" s="127">
        <v>3659</v>
      </c>
      <c r="C4" s="127">
        <v>3386</v>
      </c>
      <c r="D4" s="127"/>
      <c r="E4" s="127"/>
      <c r="F4" s="127"/>
    </row>
    <row r="5" spans="1:6" ht="12.75">
      <c r="A5" s="147" t="s">
        <v>118</v>
      </c>
      <c r="B5" s="127">
        <v>6754</v>
      </c>
      <c r="C5" s="127">
        <v>4211</v>
      </c>
      <c r="D5" s="127"/>
      <c r="E5" s="127"/>
      <c r="F5" s="127"/>
    </row>
    <row r="6" spans="1:3" ht="12.75">
      <c r="A6" s="147" t="s">
        <v>126</v>
      </c>
      <c r="B6" s="127">
        <v>4173</v>
      </c>
      <c r="C6" s="127">
        <v>4001</v>
      </c>
    </row>
    <row r="7" spans="1:3" ht="12.75">
      <c r="A7" s="147" t="s">
        <v>129</v>
      </c>
      <c r="B7" s="127">
        <v>5189</v>
      </c>
      <c r="C7" s="127">
        <v>3923</v>
      </c>
    </row>
    <row r="8" spans="1:3" ht="12.75">
      <c r="A8" s="147" t="s">
        <v>140</v>
      </c>
      <c r="B8" s="127">
        <v>6001</v>
      </c>
      <c r="C8" s="127">
        <v>3845</v>
      </c>
    </row>
    <row r="9" spans="1:3" ht="12.75">
      <c r="A9" s="147" t="s">
        <v>163</v>
      </c>
      <c r="B9" s="127">
        <v>5582</v>
      </c>
      <c r="C9" s="127">
        <v>3634</v>
      </c>
    </row>
    <row r="10" spans="1:3" ht="12.75">
      <c r="A10" s="147" t="s">
        <v>170</v>
      </c>
      <c r="B10" s="127">
        <v>7639</v>
      </c>
      <c r="C10" s="127">
        <v>4176</v>
      </c>
    </row>
    <row r="11" spans="1:3" ht="12.75">
      <c r="A11" s="131"/>
      <c r="B11" s="127"/>
      <c r="C11" s="13"/>
    </row>
    <row r="12" spans="1:3" ht="12.75">
      <c r="A12" s="131"/>
      <c r="B12" s="127"/>
      <c r="C12" s="13"/>
    </row>
    <row r="13" spans="1:3" ht="12.75">
      <c r="A13" s="131"/>
      <c r="B13" s="127"/>
      <c r="C13" s="13"/>
    </row>
    <row r="14" spans="1:3" ht="12.75">
      <c r="A14" s="131"/>
      <c r="B14" s="127"/>
      <c r="C14" s="13"/>
    </row>
    <row r="15" spans="1:3" ht="12.75">
      <c r="A15" s="131"/>
      <c r="B15" s="127"/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5.75">
      <c r="A21" s="130"/>
    </row>
    <row r="22" ht="15.75">
      <c r="A22" s="130"/>
    </row>
    <row r="28" spans="1:2" ht="12.75">
      <c r="A28" s="116"/>
      <c r="B28" s="117"/>
    </row>
    <row r="29" spans="1:2" ht="12.75">
      <c r="A29" s="116"/>
      <c r="B29" s="117"/>
    </row>
    <row r="30" spans="1:2" ht="12.75">
      <c r="A30" s="116"/>
      <c r="B30" s="117"/>
    </row>
    <row r="31" spans="1:2" ht="12.75">
      <c r="A31" s="116"/>
      <c r="B31" s="117"/>
    </row>
    <row r="32" spans="1:2" ht="12.75">
      <c r="A32" s="116"/>
      <c r="B32" s="117"/>
    </row>
    <row r="33" spans="1:2" ht="12.75">
      <c r="A33" s="116"/>
      <c r="B33" s="117"/>
    </row>
    <row r="34" spans="1:2" ht="12.75">
      <c r="A34" s="116"/>
      <c r="B34" s="117"/>
    </row>
    <row r="35" spans="1:2" ht="12.75">
      <c r="A35" s="116"/>
      <c r="B35" s="117"/>
    </row>
    <row r="36" spans="1:2" ht="12.75">
      <c r="A36" s="116"/>
      <c r="B36" s="117"/>
    </row>
    <row r="37" spans="1:2" ht="12.75">
      <c r="A37" s="116"/>
      <c r="B37" s="117"/>
    </row>
    <row r="38" spans="1:2" ht="12.75">
      <c r="A38" s="116"/>
      <c r="B38" s="117"/>
    </row>
    <row r="39" spans="1:2" ht="12.75">
      <c r="A39" s="116"/>
      <c r="B39" s="117"/>
    </row>
    <row r="40" spans="1:2" ht="12.75">
      <c r="A40" s="116"/>
      <c r="B40" s="117"/>
    </row>
    <row r="41" spans="1:2" ht="12.75">
      <c r="A41" s="116"/>
      <c r="B41" s="117"/>
    </row>
    <row r="42" spans="1:2" ht="12.75">
      <c r="A42" s="116"/>
      <c r="B42" s="117"/>
    </row>
    <row r="43" spans="1:2" ht="12.75">
      <c r="A43" s="116"/>
      <c r="B43" s="117"/>
    </row>
    <row r="44" spans="1:2" ht="12.75">
      <c r="A44" s="116"/>
      <c r="B44" s="117"/>
    </row>
    <row r="45" spans="1:2" ht="12.75">
      <c r="A45" s="116"/>
      <c r="B45" s="117"/>
    </row>
    <row r="46" spans="1:2" ht="12.75">
      <c r="A46" s="116"/>
      <c r="B46" s="117"/>
    </row>
    <row r="47" spans="1:2" ht="12.75">
      <c r="A47" s="116"/>
      <c r="B47" s="117"/>
    </row>
    <row r="48" spans="1:2" ht="12.75">
      <c r="A48" s="116"/>
      <c r="B48" s="117"/>
    </row>
    <row r="49" spans="1:2" ht="12.75">
      <c r="A49" s="116"/>
      <c r="B49" s="117"/>
    </row>
    <row r="50" spans="1:2" ht="12.75">
      <c r="A50" s="116"/>
      <c r="B50" s="117"/>
    </row>
    <row r="51" spans="1:2" ht="12.75">
      <c r="A51" s="116"/>
      <c r="B51" s="117"/>
    </row>
    <row r="52" spans="1:2" ht="12.75">
      <c r="A52" s="116"/>
      <c r="B52" s="117"/>
    </row>
    <row r="53" spans="1:2" ht="12.75">
      <c r="A53" s="116"/>
      <c r="B53" s="117"/>
    </row>
    <row r="54" spans="1:2" ht="12.75">
      <c r="A54" s="116"/>
      <c r="B54" s="117"/>
    </row>
    <row r="55" spans="1:2" ht="12.75">
      <c r="A55" s="116"/>
      <c r="B55" s="116"/>
    </row>
    <row r="56" spans="1:2" ht="12.75">
      <c r="A56" s="64"/>
      <c r="B56" s="64"/>
    </row>
    <row r="57" spans="1:2" ht="12.75">
      <c r="A57" s="64"/>
      <c r="B57" s="64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OCS-17k, November 2017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2017-11-13T22:59:28Z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