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K:\ERS Projects- Active\Monthly Outlook Reports\Oil Crops Outlook\"/>
    </mc:Choice>
  </mc:AlternateContent>
  <xr:revisionPtr revIDLastSave="0" documentId="13_ncr:1_{53208AAB-CAA6-4B88-8E84-6AF0DB787986}" xr6:coauthVersionLast="47" xr6:coauthVersionMax="47" xr10:uidLastSave="{00000000-0000-0000-0000-000000000000}"/>
  <bookViews>
    <workbookView xWindow="-108" yWindow="-108" windowWidth="23256" windowHeight="12456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92" r:id="rId9"/>
    <sheet name="Figure 2" sheetId="188" r:id="rId10"/>
    <sheet name="Figure 3" sheetId="191" r:id="rId11"/>
  </sheets>
  <definedNames>
    <definedName name="_xlnm.Print_Area" localSheetId="1">'Table 1'!$A$1:$N$44</definedName>
    <definedName name="_xlnm.Print_Area" localSheetId="7">'Table 10'!$A$1:$G$48</definedName>
    <definedName name="_xlnm.Print_Area" localSheetId="2">'Table 2'!$A$1:$J$36</definedName>
    <definedName name="_xlnm.Print_Area" localSheetId="3">'Table 3'!$A$1:$L$49</definedName>
    <definedName name="_xlnm.Print_Area" localSheetId="5">'Table 8'!$A$1:$G$47</definedName>
    <definedName name="_xlnm.Print_Area" localSheetId="6">'Table 9'!$A$1:$I$49</definedName>
    <definedName name="_xlnm.Print_Area" localSheetId="4">'Tables 4-7'!$A$1:$O$52</definedName>
    <definedName name="WASDE_Updated" localSheetId="0">Contents!#REF!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J34" i="9" l="1"/>
  <c r="D34" i="9"/>
  <c r="H34" i="2"/>
  <c r="D34" i="2"/>
  <c r="L42" i="1"/>
  <c r="G42" i="1"/>
  <c r="B34" i="9" l="1"/>
  <c r="E34" i="9" s="1"/>
  <c r="K34" i="9" s="1"/>
  <c r="G34" i="9" s="1"/>
  <c r="B34" i="2"/>
  <c r="E34" i="2" s="1"/>
  <c r="I34" i="2" s="1"/>
  <c r="G34" i="2" s="1"/>
  <c r="J42" i="1"/>
  <c r="J40" i="1"/>
  <c r="B11" i="9"/>
  <c r="E14" i="1"/>
  <c r="D15" i="9"/>
  <c r="B11" i="2" l="1"/>
  <c r="L6" i="9"/>
  <c r="H23" i="9"/>
  <c r="B22" i="9"/>
  <c r="B26" i="9" l="1"/>
  <c r="B12" i="9"/>
  <c r="E7" i="1"/>
  <c r="E33" i="1"/>
  <c r="H20" i="2" l="1"/>
  <c r="H11" i="2"/>
  <c r="H23" i="2"/>
  <c r="L40" i="1" l="1"/>
  <c r="H33" i="2"/>
  <c r="J33" i="9"/>
  <c r="D33" i="9"/>
  <c r="D33" i="2"/>
  <c r="B33" i="2"/>
  <c r="E33" i="2" s="1"/>
  <c r="I33" i="2" s="1"/>
  <c r="G33" i="2" s="1"/>
  <c r="G40" i="1"/>
  <c r="B33" i="9"/>
  <c r="E33" i="9" s="1"/>
  <c r="K33" i="9" s="1"/>
  <c r="G33" i="9" s="1"/>
  <c r="I33" i="9" s="1"/>
  <c r="G11" i="1"/>
  <c r="L34" i="1"/>
  <c r="L32" i="1"/>
  <c r="L31" i="1"/>
  <c r="L30" i="1"/>
  <c r="L27" i="1"/>
  <c r="L25" i="1"/>
  <c r="L24" i="1"/>
  <c r="L23" i="1"/>
  <c r="L21" i="1"/>
  <c r="L20" i="1"/>
  <c r="L19" i="1"/>
  <c r="L17" i="1"/>
  <c r="L16" i="1"/>
  <c r="L15" i="1"/>
  <c r="L13" i="1"/>
  <c r="L12" i="1"/>
  <c r="L11" i="1"/>
  <c r="H22" i="2"/>
  <c r="H28" i="2"/>
  <c r="H27" i="2"/>
  <c r="H26" i="2"/>
  <c r="H21" i="2"/>
  <c r="H19" i="2"/>
  <c r="H18" i="2"/>
  <c r="H17" i="2"/>
  <c r="H16" i="2"/>
  <c r="H15" i="2"/>
  <c r="H14" i="2"/>
  <c r="H13" i="2"/>
  <c r="H12" i="2"/>
  <c r="J28" i="9"/>
  <c r="J27" i="9"/>
  <c r="J26" i="9"/>
  <c r="J23" i="9"/>
  <c r="J22" i="9"/>
  <c r="J21" i="9"/>
  <c r="J20" i="9"/>
  <c r="J19" i="9"/>
  <c r="J18" i="9"/>
  <c r="J17" i="9"/>
  <c r="J16" i="9"/>
  <c r="J15" i="9"/>
  <c r="J14" i="9"/>
  <c r="J13" i="9"/>
  <c r="J11" i="9"/>
  <c r="D28" i="9"/>
  <c r="D26" i="9"/>
  <c r="D23" i="9"/>
  <c r="D22" i="9"/>
  <c r="D21" i="9"/>
  <c r="D20" i="9"/>
  <c r="D19" i="9"/>
  <c r="D18" i="9"/>
  <c r="D16" i="9"/>
  <c r="D12" i="9"/>
  <c r="D28" i="2"/>
  <c r="D27" i="2"/>
  <c r="D26" i="2"/>
  <c r="D23" i="2"/>
  <c r="D21" i="2"/>
  <c r="D20" i="2"/>
  <c r="D19" i="2"/>
  <c r="D18" i="2"/>
  <c r="D17" i="2"/>
  <c r="D16" i="2"/>
  <c r="D15" i="2"/>
  <c r="D14" i="2"/>
  <c r="D13" i="2"/>
  <c r="G35" i="1"/>
  <c r="G34" i="1"/>
  <c r="G32" i="1"/>
  <c r="G31" i="1"/>
  <c r="G30" i="1"/>
  <c r="G27" i="1"/>
  <c r="G6" i="1" s="1"/>
  <c r="G25" i="1"/>
  <c r="G24" i="1"/>
  <c r="G23" i="1"/>
  <c r="G21" i="1"/>
  <c r="G20" i="1"/>
  <c r="G19" i="1"/>
  <c r="G16" i="1"/>
  <c r="G15" i="1"/>
  <c r="G12" i="1"/>
  <c r="E41" i="1"/>
  <c r="D32" i="9"/>
  <c r="D32" i="2"/>
  <c r="G39" i="1"/>
  <c r="J32" i="9"/>
  <c r="H31" i="2"/>
  <c r="H32" i="2"/>
  <c r="B32" i="2"/>
  <c r="L39" i="1"/>
  <c r="L38" i="1"/>
  <c r="L41" i="1" s="1"/>
  <c r="E32" i="2" l="1"/>
  <c r="I32" i="2" s="1"/>
  <c r="G32" i="2" s="1"/>
  <c r="B32" i="9"/>
  <c r="E32" i="9" s="1"/>
  <c r="K32" i="9" s="1"/>
  <c r="G32" i="9" s="1"/>
  <c r="I32" i="9" s="1"/>
  <c r="J39" i="1"/>
  <c r="J31" i="9" l="1"/>
  <c r="D31" i="9"/>
  <c r="B31" i="9"/>
  <c r="D31" i="2"/>
  <c r="B31" i="2"/>
  <c r="E31" i="2" s="1"/>
  <c r="I31" i="2" s="1"/>
  <c r="G31" i="2" s="1"/>
  <c r="J38" i="1"/>
  <c r="J41" i="1" s="1"/>
  <c r="G38" i="1"/>
  <c r="G41" i="1" s="1"/>
  <c r="H41" i="1" s="1"/>
  <c r="M41" i="1" s="1"/>
  <c r="K41" i="1" l="1"/>
  <c r="E31" i="9"/>
  <c r="K31" i="9" s="1"/>
  <c r="G31" i="9" s="1"/>
  <c r="I31" i="9" s="1"/>
  <c r="M7" i="1" l="1"/>
  <c r="D7" i="1"/>
  <c r="D6" i="1"/>
  <c r="I7" i="2"/>
  <c r="J6" i="2"/>
  <c r="G7" i="9"/>
  <c r="K7" i="9" s="1"/>
  <c r="B7" i="9"/>
  <c r="E7" i="9" s="1"/>
  <c r="N45" i="3"/>
  <c r="H44" i="3"/>
  <c r="N44" i="3" s="1"/>
  <c r="L44" i="3" s="1"/>
  <c r="D45" i="3"/>
  <c r="D44" i="3"/>
  <c r="I32" i="3"/>
  <c r="I31" i="3"/>
  <c r="E31" i="3"/>
  <c r="I20" i="3"/>
  <c r="B20" i="3"/>
  <c r="E20" i="3" s="1"/>
  <c r="E19" i="3"/>
  <c r="G19" i="3" s="1"/>
  <c r="I19" i="3" s="1"/>
  <c r="J7" i="3"/>
  <c r="B7" i="3"/>
  <c r="E7" i="3" s="1"/>
  <c r="E6" i="3"/>
  <c r="J6" i="3" s="1"/>
  <c r="I6" i="3" s="1"/>
  <c r="L7" i="9" l="1"/>
  <c r="J31" i="3"/>
  <c r="B32" i="3" s="1"/>
  <c r="E32" i="3" s="1"/>
  <c r="J32" i="3" s="1"/>
  <c r="B7" i="2"/>
  <c r="E7" i="2" s="1"/>
  <c r="J7" i="2" s="1"/>
  <c r="J20" i="3"/>
  <c r="K7" i="3"/>
  <c r="I33" i="3" l="1"/>
  <c r="J30" i="9" l="1"/>
  <c r="H30" i="2"/>
  <c r="L36" i="1"/>
  <c r="D30" i="9"/>
  <c r="D30" i="2"/>
  <c r="G36" i="1"/>
  <c r="J36" i="1"/>
  <c r="B30" i="9" l="1"/>
  <c r="E30" i="9" s="1"/>
  <c r="K30" i="9" s="1"/>
  <c r="G30" i="9" s="1"/>
  <c r="I30" i="9" s="1"/>
  <c r="B30" i="2"/>
  <c r="E30" i="2" s="1"/>
  <c r="I30" i="2" s="1"/>
  <c r="E37" i="1"/>
  <c r="G30" i="2" l="1"/>
  <c r="I8" i="2"/>
  <c r="J8" i="3"/>
  <c r="J29" i="9"/>
  <c r="D29" i="9"/>
  <c r="H29" i="2"/>
  <c r="D29" i="2"/>
  <c r="L35" i="1"/>
  <c r="J35" i="1" l="1"/>
  <c r="B29" i="2"/>
  <c r="E29" i="2" s="1"/>
  <c r="I29" i="2" s="1"/>
  <c r="B29" i="9"/>
  <c r="E29" i="9" s="1"/>
  <c r="K29" i="9" s="1"/>
  <c r="G29" i="9" s="1"/>
  <c r="I29" i="9" s="1"/>
  <c r="G29" i="2" l="1"/>
  <c r="G37" i="1" l="1"/>
  <c r="H37" i="1" s="1"/>
  <c r="M37" i="1" s="1"/>
  <c r="L37" i="1"/>
  <c r="B28" i="9" l="1"/>
  <c r="E28" i="9" s="1"/>
  <c r="K28" i="9" s="1"/>
  <c r="G28" i="9" s="1"/>
  <c r="I28" i="9" s="1"/>
  <c r="B28" i="2"/>
  <c r="E28" i="2" s="1"/>
  <c r="I28" i="2" s="1"/>
  <c r="G28" i="2" s="1"/>
  <c r="J34" i="1"/>
  <c r="J37" i="1" s="1"/>
  <c r="K37" i="1" s="1"/>
  <c r="K8" i="9" l="1"/>
  <c r="D27" i="9" l="1"/>
  <c r="J32" i="1"/>
  <c r="B27" i="2" l="1"/>
  <c r="E27" i="2" s="1"/>
  <c r="I27" i="2" s="1"/>
  <c r="G27" i="2" s="1"/>
  <c r="B27" i="9"/>
  <c r="E27" i="9" s="1"/>
  <c r="K27" i="9" s="1"/>
  <c r="G27" i="9" s="1"/>
  <c r="I27" i="9" s="1"/>
  <c r="J31" i="1" l="1"/>
  <c r="H6" i="9" l="1"/>
  <c r="B8" i="9" l="1"/>
  <c r="J6" i="9"/>
  <c r="D6" i="9"/>
  <c r="C23" i="9"/>
  <c r="E22" i="9"/>
  <c r="K22" i="9" s="1"/>
  <c r="B21" i="9"/>
  <c r="B20" i="9"/>
  <c r="B19" i="9"/>
  <c r="B18" i="9"/>
  <c r="E18" i="9" s="1"/>
  <c r="K18" i="9" s="1"/>
  <c r="G18" i="9" s="1"/>
  <c r="I18" i="9" s="1"/>
  <c r="D17" i="9"/>
  <c r="B17" i="9"/>
  <c r="B16" i="9"/>
  <c r="B15" i="9"/>
  <c r="D14" i="9"/>
  <c r="B14" i="9"/>
  <c r="E14" i="9" s="1"/>
  <c r="K14" i="9" s="1"/>
  <c r="D13" i="9"/>
  <c r="B13" i="9"/>
  <c r="J12" i="9"/>
  <c r="D11" i="9"/>
  <c r="B26" i="2"/>
  <c r="E26" i="2" s="1"/>
  <c r="I26" i="2" s="1"/>
  <c r="G26" i="2" s="1"/>
  <c r="H6" i="2"/>
  <c r="D6" i="2"/>
  <c r="C23" i="2"/>
  <c r="C6" i="2" s="1"/>
  <c r="D22" i="2"/>
  <c r="B22" i="2"/>
  <c r="B21" i="2"/>
  <c r="B20" i="2"/>
  <c r="E20" i="2" s="1"/>
  <c r="I20" i="2" s="1"/>
  <c r="G20" i="2" s="1"/>
  <c r="B19" i="2"/>
  <c r="B18" i="2"/>
  <c r="B17" i="2"/>
  <c r="B16" i="2"/>
  <c r="B15" i="2"/>
  <c r="E15" i="2" s="1"/>
  <c r="I15" i="2" s="1"/>
  <c r="G15" i="2" s="1"/>
  <c r="B14" i="2"/>
  <c r="B13" i="2"/>
  <c r="D12" i="2"/>
  <c r="B12" i="2"/>
  <c r="E12" i="2" s="1"/>
  <c r="I12" i="2" s="1"/>
  <c r="G12" i="2" s="1"/>
  <c r="D11" i="2"/>
  <c r="E11" i="2" s="1"/>
  <c r="I11" i="2" s="1"/>
  <c r="C6" i="9" l="1"/>
  <c r="E23" i="9"/>
  <c r="E6" i="9" s="1"/>
  <c r="K6" i="9" s="1"/>
  <c r="G6" i="9" s="1"/>
  <c r="I6" i="9" s="1"/>
  <c r="E6" i="2"/>
  <c r="I6" i="2" s="1"/>
  <c r="E12" i="9"/>
  <c r="K12" i="9" s="1"/>
  <c r="G12" i="9" s="1"/>
  <c r="I12" i="9" s="1"/>
  <c r="E16" i="9"/>
  <c r="K16" i="9" s="1"/>
  <c r="G16" i="9" s="1"/>
  <c r="I16" i="9" s="1"/>
  <c r="E20" i="9"/>
  <c r="K20" i="9" s="1"/>
  <c r="G20" i="9" s="1"/>
  <c r="I20" i="9" s="1"/>
  <c r="E16" i="2"/>
  <c r="I16" i="2" s="1"/>
  <c r="G16" i="2" s="1"/>
  <c r="E19" i="9"/>
  <c r="K19" i="9" s="1"/>
  <c r="G19" i="9" s="1"/>
  <c r="I19" i="9" s="1"/>
  <c r="E19" i="2"/>
  <c r="I19" i="2" s="1"/>
  <c r="G19" i="2" s="1"/>
  <c r="E13" i="9"/>
  <c r="K13" i="9" s="1"/>
  <c r="G13" i="9" s="1"/>
  <c r="I13" i="9" s="1"/>
  <c r="E14" i="2"/>
  <c r="I14" i="2" s="1"/>
  <c r="G14" i="2" s="1"/>
  <c r="E18" i="2"/>
  <c r="I18" i="2" s="1"/>
  <c r="G18" i="2" s="1"/>
  <c r="E22" i="2"/>
  <c r="I22" i="2" s="1"/>
  <c r="G22" i="2" s="1"/>
  <c r="E23" i="2"/>
  <c r="G11" i="2"/>
  <c r="E17" i="9"/>
  <c r="K17" i="9" s="1"/>
  <c r="G17" i="9" s="1"/>
  <c r="I17" i="9" s="1"/>
  <c r="G22" i="9"/>
  <c r="I22" i="9" s="1"/>
  <c r="E15" i="9"/>
  <c r="K15" i="9" s="1"/>
  <c r="G15" i="9" s="1"/>
  <c r="I15" i="9" s="1"/>
  <c r="G14" i="9"/>
  <c r="I14" i="9" s="1"/>
  <c r="E21" i="9"/>
  <c r="K21" i="9" s="1"/>
  <c r="G21" i="9" s="1"/>
  <c r="I21" i="9" s="1"/>
  <c r="E11" i="9"/>
  <c r="K11" i="9" s="1"/>
  <c r="E13" i="2"/>
  <c r="I13" i="2" s="1"/>
  <c r="G13" i="2" s="1"/>
  <c r="E17" i="2"/>
  <c r="I17" i="2" s="1"/>
  <c r="G17" i="2" s="1"/>
  <c r="E21" i="2"/>
  <c r="I21" i="2" s="1"/>
  <c r="G21" i="2" s="1"/>
  <c r="J17" i="1"/>
  <c r="B45" i="1"/>
  <c r="N46" i="3"/>
  <c r="G23" i="2" l="1"/>
  <c r="K23" i="9"/>
  <c r="G23" i="9" s="1"/>
  <c r="I23" i="9" s="1"/>
  <c r="G11" i="9"/>
  <c r="I11" i="9" s="1"/>
  <c r="I23" i="2"/>
  <c r="G6" i="2"/>
  <c r="G33" i="1" l="1"/>
  <c r="L33" i="1"/>
  <c r="H33" i="1" l="1"/>
  <c r="M33" i="1" s="1"/>
  <c r="J30" i="1"/>
  <c r="J33" i="1" s="1"/>
  <c r="K33" i="1" l="1"/>
  <c r="L6" i="1"/>
  <c r="H6" i="1"/>
  <c r="M6" i="1" s="1"/>
  <c r="J25" i="1"/>
  <c r="J24" i="1"/>
  <c r="J23" i="1"/>
  <c r="E26" i="1"/>
  <c r="J21" i="1"/>
  <c r="J20" i="1"/>
  <c r="J19" i="1"/>
  <c r="N18" i="1"/>
  <c r="E22" i="1" s="1"/>
  <c r="G17" i="1"/>
  <c r="J16" i="1"/>
  <c r="J15" i="1"/>
  <c r="N14" i="1"/>
  <c r="E18" i="1" s="1"/>
  <c r="J13" i="1"/>
  <c r="G13" i="1"/>
  <c r="J12" i="1"/>
  <c r="J11" i="1"/>
  <c r="L14" i="1" l="1"/>
  <c r="L18" i="1"/>
  <c r="G26" i="1"/>
  <c r="H26" i="1" s="1"/>
  <c r="M26" i="1" s="1"/>
  <c r="G14" i="1"/>
  <c r="H14" i="1" s="1"/>
  <c r="M14" i="1" s="1"/>
  <c r="J22" i="1"/>
  <c r="L22" i="1"/>
  <c r="G18" i="1"/>
  <c r="H18" i="1" s="1"/>
  <c r="M18" i="1" s="1"/>
  <c r="J18" i="1"/>
  <c r="J26" i="1"/>
  <c r="L26" i="1"/>
  <c r="G22" i="1"/>
  <c r="H22" i="1" s="1"/>
  <c r="M22" i="1" s="1"/>
  <c r="K22" i="1" s="1"/>
  <c r="J14" i="1"/>
  <c r="K14" i="1" l="1"/>
  <c r="K18" i="1"/>
  <c r="K26" i="1"/>
  <c r="J27" i="1"/>
  <c r="J6" i="1" s="1"/>
  <c r="K6" i="1" s="1"/>
  <c r="M8" i="1" l="1"/>
  <c r="I21" i="3" l="1"/>
  <c r="E26" i="9" l="1"/>
  <c r="K26" i="9" s="1"/>
  <c r="G26" i="9" s="1"/>
  <c r="I26" i="9" s="1"/>
  <c r="B50" i="6" l="1"/>
  <c r="B50" i="5"/>
  <c r="B49" i="4"/>
  <c r="B50" i="3"/>
  <c r="B37" i="9"/>
  <c r="B37" i="2"/>
  <c r="H7" i="1" l="1"/>
  <c r="N7" i="1" s="1"/>
  <c r="E8" i="1" s="1"/>
  <c r="E45" i="3"/>
  <c r="H45" i="3" s="1"/>
  <c r="O45" i="3" s="1"/>
  <c r="E46" i="3" s="1"/>
  <c r="H46" i="3" l="1"/>
  <c r="O46" i="3" s="1"/>
  <c r="B21" i="3"/>
  <c r="E21" i="3" s="1"/>
  <c r="J21" i="3" s="1"/>
  <c r="H8" i="1" l="1"/>
  <c r="N8" i="1" s="1"/>
  <c r="B33" i="3" l="1"/>
  <c r="E33" i="3" s="1"/>
  <c r="J33" i="3" s="1"/>
  <c r="E8" i="9" l="1"/>
  <c r="L8" i="9" s="1"/>
  <c r="B8" i="3" l="1"/>
  <c r="E8" i="3" s="1"/>
  <c r="K8" i="3" s="1"/>
  <c r="B8" i="2" l="1"/>
  <c r="E8" i="2" s="1"/>
  <c r="J8" i="2" s="1"/>
</calcChain>
</file>

<file path=xl/sharedStrings.xml><?xml version="1.0" encoding="utf-8"?>
<sst xmlns="http://schemas.openxmlformats.org/spreadsheetml/2006/main" count="581" uniqueCount="187">
  <si>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</si>
  <si>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</si>
  <si>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</si>
  <si>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</si>
  <si>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</si>
  <si>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</si>
  <si>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</si>
  <si>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</si>
  <si>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</si>
  <si>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</si>
  <si>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</si>
  <si>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Maria Bukowski; Bryn Swearingen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</si>
  <si>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</si>
  <si>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</si>
  <si>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</si>
  <si>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</si>
  <si>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</si>
  <si>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</si>
  <si>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</si>
  <si>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</si>
  <si>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</si>
  <si>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</si>
  <si>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</si>
  <si>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</si>
  <si>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</si>
  <si>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</si>
  <si>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</si>
  <si>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</si>
  <si>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</si>
  <si>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</si>
  <si>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</si>
  <si>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</si>
  <si>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</si>
  <si>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</si>
  <si>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2021/22</t>
  </si>
  <si>
    <r>
      <t>2022/23</t>
    </r>
    <r>
      <rPr>
        <vertAlign val="superscript"/>
        <sz val="11"/>
        <rFont val="Arial"/>
        <family val="2"/>
      </rPr>
      <t>1</t>
    </r>
  </si>
  <si>
    <r>
      <t>2023/24</t>
    </r>
    <r>
      <rPr>
        <vertAlign val="superscript"/>
        <sz val="11"/>
        <rFont val="Arial"/>
        <family val="2"/>
      </rPr>
      <t>2</t>
    </r>
  </si>
  <si>
    <t>2022/23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</si>
  <si>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</si>
  <si>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</si>
  <si>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</si>
  <si>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</si>
  <si>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</si>
  <si>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</si>
  <si>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</si>
  <si>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</si>
  <si>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</si>
  <si>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</si>
  <si>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</si>
  <si>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</si>
  <si>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</si>
  <si>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</si>
  <si>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</si>
  <si>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</si>
  <si>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2023/24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</si>
  <si>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36.74371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</si>
  <si>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</si>
  <si>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</si>
  <si>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</si>
  <si>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</si>
  <si>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</si>
  <si>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</si>
  <si>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</si>
  <si>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</si>
  <si>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</si>
  <si>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</si>
  <si>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</si>
  <si>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</si>
  <si>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</si>
  <si>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</si>
  <si>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</si>
  <si>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</si>
  <si>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</si>
  <si>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</si>
  <si>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</si>
  <si>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</si>
  <si>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</si>
  <si>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</si>
  <si>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</si>
  <si>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</si>
  <si>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</si>
  <si>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</si>
  <si>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</si>
  <si>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</si>
  <si>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</si>
  <si>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</si>
  <si>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</si>
  <si>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</si>
  <si>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</si>
  <si>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</si>
  <si>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</si>
  <si>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</si>
  <si>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</si>
  <si>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>Pounds per acre</t>
  </si>
  <si>
    <t xml:space="preserve">      Million pounds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</si>
  <si>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</si>
  <si>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</si>
  <si>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</si>
  <si>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</si>
  <si>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</si>
  <si>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</si>
  <si>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</si>
  <si>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</si>
  <si>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</si>
  <si>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</si>
  <si>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</si>
  <si>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</si>
  <si>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</si>
  <si>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</si>
  <si>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</si>
  <si>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</si>
  <si>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</si>
  <si>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</si>
  <si>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</si>
  <si>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</si>
  <si>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</si>
  <si>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</si>
  <si>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</si>
  <si>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</si>
  <si>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r>
      <t>2023/24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</si>
  <si>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</si>
  <si>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</si>
  <si>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</si>
  <si>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</si>
  <si>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</si>
  <si>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</si>
  <si>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</si>
  <si>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</si>
  <si>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</si>
  <si>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</si>
  <si>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</si>
  <si>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</si>
  <si>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</si>
  <si>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</si>
  <si>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</si>
  <si>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</si>
  <si>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</si>
  <si>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2023/24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</si>
  <si>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</si>
  <si>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</si>
  <si>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</si>
  <si>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</si>
  <si>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</si>
  <si>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</si>
  <si>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</si>
  <si>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</si>
  <si>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</si>
  <si>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</si>
  <si>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</si>
  <si>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</si>
  <si>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</si>
  <si>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</si>
  <si>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</si>
  <si>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</si>
  <si>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r>
      <t>2024/25</t>
    </r>
    <r>
      <rPr>
        <vertAlign val="superscript"/>
        <sz val="11"/>
        <rFont val="Arial"/>
        <family val="2"/>
      </rPr>
      <t>4</t>
    </r>
  </si>
  <si>
    <r>
      <t>2023/24</t>
    </r>
    <r>
      <rPr>
        <vertAlign val="superscript"/>
        <sz val="11"/>
        <rFont val="Arial"/>
        <family val="2"/>
      </rPr>
      <t>1</t>
    </r>
  </si>
  <si>
    <r>
      <t>2024/25</t>
    </r>
    <r>
      <rPr>
        <vertAlign val="superscript"/>
        <sz val="11"/>
        <rFont val="Arial"/>
        <family val="2"/>
      </rPr>
      <t>2</t>
    </r>
  </si>
  <si>
    <r>
      <t>2024/25</t>
    </r>
    <r>
      <rPr>
        <vertAlign val="superscript"/>
        <sz val="11"/>
        <rFont val="Arial"/>
        <family val="2"/>
      </rPr>
      <t>7</t>
    </r>
  </si>
  <si>
    <t xml:space="preserve"> March-May</t>
  </si>
  <si>
    <t>2021/2022</t>
  </si>
  <si>
    <t>Period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</si>
  <si>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</si>
  <si>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</si>
  <si>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</si>
  <si>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</si>
  <si>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</si>
  <si>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</si>
  <si>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</si>
  <si>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</si>
  <si>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</si>
  <si>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</si>
  <si>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</si>
  <si>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</si>
  <si>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</si>
  <si>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</si>
  <si>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</si>
  <si>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</si>
  <si>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2024/25</t>
  </si>
  <si>
    <t>2022/2023</t>
  </si>
  <si>
    <t>2023/2024</t>
  </si>
  <si>
    <t>2024/2025 July*</t>
  </si>
  <si>
    <t>2024/2025 Aug*</t>
  </si>
  <si>
    <t>Russia</t>
  </si>
  <si>
    <t>Ukraine</t>
  </si>
  <si>
    <t>European Union</t>
  </si>
  <si>
    <t>Sunflowerseed Production</t>
  </si>
  <si>
    <t>2024/2025*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</si>
</sst>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0000"/>
    <numFmt numFmtId="175" formatCode="0.000000"/>
    <numFmt numFmtId="176" formatCode="0.0000000"/>
    <numFmt numFmtId="177" formatCode="0.000"/>
    <numFmt numFmtId="178" formatCode="#,##0.000"/>
  </numFmts>
  <fonts count="1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6"/>
      <name val="Calibri"/>
      <family val="2"/>
    </font>
    <font>
      <b/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u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name val="Helv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7">
    <xf numFmtId="0" fontId="0" fillId="0" borderId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48" fillId="0" borderId="0"/>
    <xf numFmtId="0" fontId="48" fillId="0" borderId="0"/>
    <xf numFmtId="0" fontId="48" fillId="0" borderId="0"/>
    <xf numFmtId="0" fontId="59" fillId="0" borderId="0"/>
    <xf numFmtId="9" fontId="47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0" fontId="47" fillId="0" borderId="0"/>
    <xf numFmtId="0" fontId="61" fillId="0" borderId="0"/>
    <xf numFmtId="0" fontId="46" fillId="0" borderId="0"/>
    <xf numFmtId="0" fontId="45" fillId="0" borderId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43" fontId="43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1" fillId="0" borderId="0"/>
    <xf numFmtId="0" fontId="40" fillId="0" borderId="0"/>
    <xf numFmtId="43" fontId="40" fillId="0" borderId="0" applyFont="0" applyFill="0" applyBorder="0" applyAlignment="0" applyProtection="0"/>
    <xf numFmtId="0" fontId="39" fillId="0" borderId="0"/>
    <xf numFmtId="44" fontId="47" fillId="0" borderId="0" applyFont="0" applyFill="0" applyBorder="0" applyAlignment="0" applyProtection="0"/>
    <xf numFmtId="0" fontId="38" fillId="0" borderId="0"/>
    <xf numFmtId="0" fontId="37" fillId="0" borderId="0"/>
    <xf numFmtId="0" fontId="36" fillId="0" borderId="0"/>
    <xf numFmtId="0" fontId="35" fillId="0" borderId="0"/>
    <xf numFmtId="43" fontId="34" fillId="0" borderId="0" applyFont="0" applyFill="0" applyBorder="0" applyAlignment="0" applyProtection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43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6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9" fillId="0" borderId="8" applyNumberFormat="0" applyFont="0" applyProtection="0">
      <alignment wrapText="1"/>
    </xf>
    <xf numFmtId="43" fontId="6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/>
    <xf numFmtId="0" fontId="69" fillId="0" borderId="0" applyNumberFormat="0" applyProtection="0">
      <alignment vertical="top" wrapText="1"/>
    </xf>
    <xf numFmtId="0" fontId="69" fillId="0" borderId="9" applyNumberFormat="0" applyProtection="0">
      <alignment vertical="top" wrapText="1"/>
    </xf>
    <xf numFmtId="0" fontId="71" fillId="0" borderId="7" applyNumberFormat="0" applyProtection="0">
      <alignment wrapText="1"/>
    </xf>
    <xf numFmtId="0" fontId="71" fillId="0" borderId="10" applyNumberFormat="0" applyProtection="0">
      <alignment horizontal="left" wrapText="1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11" applyNumberFormat="0" applyProtection="0">
      <alignment wrapText="1"/>
    </xf>
    <xf numFmtId="0" fontId="69" fillId="0" borderId="12" applyNumberFormat="0" applyFont="0" applyFill="0" applyProtection="0">
      <alignment wrapText="1"/>
    </xf>
    <xf numFmtId="0" fontId="71" fillId="0" borderId="13" applyNumberFormat="0" applyFill="0" applyProtection="0">
      <alignment wrapText="1"/>
    </xf>
    <xf numFmtId="0" fontId="73" fillId="0" borderId="0" applyNumberFormat="0" applyProtection="0">
      <alignment horizontal="left"/>
    </xf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0" borderId="14" applyNumberFormat="0" applyFill="0" applyAlignment="0" applyProtection="0"/>
    <xf numFmtId="0" fontId="77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79" fillId="4" borderId="0" applyNumberFormat="0" applyBorder="0" applyAlignment="0" applyProtection="0"/>
    <xf numFmtId="0" fontId="80" fillId="5" borderId="0" applyNumberFormat="0" applyBorder="0" applyAlignment="0" applyProtection="0"/>
    <xf numFmtId="0" fontId="81" fillId="6" borderId="16" applyNumberFormat="0" applyAlignment="0" applyProtection="0"/>
    <xf numFmtId="0" fontId="82" fillId="7" borderId="17" applyNumberFormat="0" applyAlignment="0" applyProtection="0"/>
    <xf numFmtId="0" fontId="83" fillId="7" borderId="16" applyNumberFormat="0" applyAlignment="0" applyProtection="0"/>
    <xf numFmtId="0" fontId="84" fillId="0" borderId="18" applyNumberFormat="0" applyFill="0" applyAlignment="0" applyProtection="0"/>
    <xf numFmtId="0" fontId="85" fillId="8" borderId="19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21" applyNumberFormat="0" applyFill="0" applyAlignment="0" applyProtection="0"/>
    <xf numFmtId="0" fontId="8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8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8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8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8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8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7" fillId="55" borderId="32" applyNumberFormat="0" applyFont="0" applyAlignment="0" applyProtection="0"/>
    <xf numFmtId="0" fontId="47" fillId="55" borderId="40" applyNumberFormat="0" applyFont="0" applyAlignment="0" applyProtection="0"/>
    <xf numFmtId="0" fontId="99" fillId="52" borderId="39" applyNumberFormat="0" applyAlignment="0" applyProtection="0"/>
    <xf numFmtId="0" fontId="5" fillId="9" borderId="20" applyNumberFormat="0" applyFont="0" applyAlignment="0" applyProtection="0"/>
    <xf numFmtId="0" fontId="99" fillId="52" borderId="31" applyNumberFormat="0" applyAlignment="0" applyProtection="0"/>
    <xf numFmtId="0" fontId="90" fillId="0" borderId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89" fillId="33" borderId="0" applyNumberFormat="0" applyBorder="0" applyAlignment="0" applyProtection="0"/>
    <xf numFmtId="43" fontId="92" fillId="0" borderId="0" applyFont="0" applyFill="0" applyBorder="0" applyAlignment="0" applyProtection="0"/>
    <xf numFmtId="0" fontId="89" fillId="29" borderId="0" applyNumberFormat="0" applyBorder="0" applyAlignment="0" applyProtection="0"/>
    <xf numFmtId="43" fontId="5" fillId="0" borderId="0" applyFont="0" applyFill="0" applyBorder="0" applyAlignment="0" applyProtection="0"/>
    <xf numFmtId="0" fontId="89" fillId="25" borderId="0" applyNumberFormat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89" fillId="21" borderId="0" applyNumberFormat="0" applyBorder="0" applyAlignment="0" applyProtection="0"/>
    <xf numFmtId="43" fontId="92" fillId="0" borderId="0" applyFont="0" applyFill="0" applyBorder="0" applyAlignment="0" applyProtection="0"/>
    <xf numFmtId="0" fontId="89" fillId="17" borderId="0" applyNumberFormat="0" applyBorder="0" applyAlignment="0" applyProtection="0"/>
    <xf numFmtId="43" fontId="92" fillId="0" borderId="0" applyFont="0" applyFill="0" applyBorder="0" applyAlignment="0" applyProtection="0"/>
    <xf numFmtId="0" fontId="89" fillId="13" borderId="0" applyNumberFormat="0" applyBorder="0" applyAlignment="0" applyProtection="0"/>
    <xf numFmtId="43" fontId="92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93" fillId="5" borderId="0" applyNumberFormat="0" applyBorder="0" applyAlignment="0" applyProtection="0"/>
    <xf numFmtId="0" fontId="90" fillId="0" borderId="0"/>
    <xf numFmtId="0" fontId="90" fillId="0" borderId="0"/>
    <xf numFmtId="0" fontId="47" fillId="0" borderId="0">
      <alignment vertical="center"/>
    </xf>
    <xf numFmtId="0" fontId="5" fillId="0" borderId="0"/>
    <xf numFmtId="0" fontId="5" fillId="9" borderId="20" applyNumberFormat="0" applyFont="0" applyAlignment="0" applyProtection="0"/>
    <xf numFmtId="0" fontId="94" fillId="0" borderId="0" applyNumberFormat="0" applyFill="0" applyBorder="0" applyAlignment="0" applyProtection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9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89" fillId="21" borderId="0" applyNumberFormat="0" applyBorder="0" applyAlignment="0" applyProtection="0"/>
    <xf numFmtId="0" fontId="89" fillId="25" borderId="0" applyNumberFormat="0" applyBorder="0" applyAlignment="0" applyProtection="0"/>
    <xf numFmtId="0" fontId="89" fillId="33" borderId="0" applyNumberFormat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0" fillId="0" borderId="0"/>
    <xf numFmtId="0" fontId="95" fillId="0" borderId="0"/>
    <xf numFmtId="0" fontId="5" fillId="0" borderId="0"/>
    <xf numFmtId="0" fontId="5" fillId="9" borderId="20" applyNumberFormat="0" applyFont="0" applyAlignment="0" applyProtection="0"/>
    <xf numFmtId="0" fontId="5" fillId="9" borderId="20" applyNumberFormat="0" applyFont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89" fillId="21" borderId="0" applyNumberFormat="0" applyBorder="0" applyAlignment="0" applyProtection="0"/>
    <xf numFmtId="0" fontId="89" fillId="25" borderId="0" applyNumberFormat="0" applyBorder="0" applyAlignment="0" applyProtection="0"/>
    <xf numFmtId="0" fontId="89" fillId="33" borderId="0" applyNumberFormat="0" applyBorder="0" applyAlignment="0" applyProtection="0"/>
    <xf numFmtId="0" fontId="5" fillId="0" borderId="0"/>
    <xf numFmtId="0" fontId="5" fillId="9" borderId="20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43" fontId="5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9" borderId="20" applyNumberFormat="0" applyFont="0" applyAlignment="0" applyProtection="0"/>
    <xf numFmtId="0" fontId="92" fillId="34" borderId="0" applyNumberFormat="0" applyBorder="0" applyAlignment="0" applyProtection="0"/>
    <xf numFmtId="0" fontId="92" fillId="35" borderId="0" applyNumberFormat="0" applyBorder="0" applyAlignment="0" applyProtection="0"/>
    <xf numFmtId="0" fontId="92" fillId="36" borderId="0" applyNumberFormat="0" applyBorder="0" applyAlignment="0" applyProtection="0"/>
    <xf numFmtId="0" fontId="92" fillId="37" borderId="0" applyNumberFormat="0" applyBorder="0" applyAlignment="0" applyProtection="0"/>
    <xf numFmtId="0" fontId="92" fillId="38" borderId="0" applyNumberFormat="0" applyBorder="0" applyAlignment="0" applyProtection="0"/>
    <xf numFmtId="0" fontId="92" fillId="39" borderId="0" applyNumberFormat="0" applyBorder="0" applyAlignment="0" applyProtection="0"/>
    <xf numFmtId="0" fontId="92" fillId="40" borderId="0" applyNumberFormat="0" applyBorder="0" applyAlignment="0" applyProtection="0"/>
    <xf numFmtId="0" fontId="92" fillId="41" borderId="0" applyNumberFormat="0" applyBorder="0" applyAlignment="0" applyProtection="0"/>
    <xf numFmtId="0" fontId="92" fillId="42" borderId="0" applyNumberFormat="0" applyBorder="0" applyAlignment="0" applyProtection="0"/>
    <xf numFmtId="0" fontId="92" fillId="37" borderId="0" applyNumberFormat="0" applyBorder="0" applyAlignment="0" applyProtection="0"/>
    <xf numFmtId="0" fontId="92" fillId="40" borderId="0" applyNumberFormat="0" applyBorder="0" applyAlignment="0" applyProtection="0"/>
    <xf numFmtId="0" fontId="92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0" fontId="98" fillId="35" borderId="0" applyNumberFormat="0" applyBorder="0" applyAlignment="0" applyProtection="0"/>
    <xf numFmtId="0" fontId="99" fillId="52" borderId="22" applyNumberFormat="0" applyAlignment="0" applyProtection="0"/>
    <xf numFmtId="0" fontId="100" fillId="53" borderId="23" applyNumberFormat="0" applyAlignment="0" applyProtection="0"/>
    <xf numFmtId="43" fontId="47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36" borderId="0" applyNumberFormat="0" applyBorder="0" applyAlignment="0" applyProtection="0"/>
    <xf numFmtId="0" fontId="103" fillId="0" borderId="24" applyNumberFormat="0" applyFill="0" applyAlignment="0" applyProtection="0"/>
    <xf numFmtId="0" fontId="104" fillId="0" borderId="25" applyNumberFormat="0" applyFill="0" applyAlignment="0" applyProtection="0"/>
    <xf numFmtId="0" fontId="105" fillId="0" borderId="26" applyNumberFormat="0" applyFill="0" applyAlignment="0" applyProtection="0"/>
    <xf numFmtId="0" fontId="105" fillId="0" borderId="0" applyNumberFormat="0" applyFill="0" applyBorder="0" applyAlignment="0" applyProtection="0"/>
    <xf numFmtId="0" fontId="106" fillId="39" borderId="22" applyNumberFormat="0" applyAlignment="0" applyProtection="0"/>
    <xf numFmtId="0" fontId="107" fillId="0" borderId="27" applyNumberFormat="0" applyFill="0" applyAlignment="0" applyProtection="0"/>
    <xf numFmtId="0" fontId="108" fillId="54" borderId="0" applyNumberFormat="0" applyBorder="0" applyAlignment="0" applyProtection="0"/>
    <xf numFmtId="0" fontId="47" fillId="0" borderId="0"/>
    <xf numFmtId="0" fontId="47" fillId="55" borderId="28" applyNumberFormat="0" applyFont="0" applyAlignment="0" applyProtection="0"/>
    <xf numFmtId="0" fontId="47" fillId="55" borderId="28" applyNumberFormat="0" applyFont="0" applyAlignment="0" applyProtection="0"/>
    <xf numFmtId="0" fontId="109" fillId="52" borderId="29" applyNumberFormat="0" applyAlignment="0" applyProtection="0"/>
    <xf numFmtId="9" fontId="47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0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9" borderId="20" applyNumberFormat="0" applyFont="0" applyAlignment="0" applyProtection="0"/>
    <xf numFmtId="0" fontId="94" fillId="0" borderId="0" applyNumberFormat="0" applyFill="0" applyBorder="0" applyAlignment="0" applyProtection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20" applyNumberFormat="0" applyFont="0" applyAlignment="0" applyProtection="0"/>
    <xf numFmtId="0" fontId="5" fillId="9" borderId="20" applyNumberFormat="0" applyFont="0" applyAlignment="0" applyProtection="0"/>
    <xf numFmtId="0" fontId="5" fillId="0" borderId="0"/>
    <xf numFmtId="0" fontId="5" fillId="9" borderId="20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9" borderId="20" applyNumberFormat="0" applyFont="0" applyAlignment="0" applyProtection="0"/>
    <xf numFmtId="0" fontId="106" fillId="39" borderId="39" applyNumberFormat="0" applyAlignment="0" applyProtection="0"/>
    <xf numFmtId="0" fontId="47" fillId="55" borderId="36" applyNumberFormat="0" applyFont="0" applyAlignment="0" applyProtection="0"/>
    <xf numFmtId="0" fontId="109" fillId="52" borderId="37" applyNumberFormat="0" applyAlignment="0" applyProtection="0"/>
    <xf numFmtId="0" fontId="109" fillId="52" borderId="41" applyNumberFormat="0" applyAlignment="0" applyProtection="0"/>
    <xf numFmtId="0" fontId="111" fillId="0" borderId="42" applyNumberFormat="0" applyFill="0" applyAlignment="0" applyProtection="0"/>
    <xf numFmtId="0" fontId="111" fillId="0" borderId="34" applyNumberFormat="0" applyFill="0" applyAlignment="0" applyProtection="0"/>
    <xf numFmtId="0" fontId="47" fillId="55" borderId="40" applyNumberFormat="0" applyFont="0" applyAlignment="0" applyProtection="0"/>
    <xf numFmtId="0" fontId="99" fillId="52" borderId="35" applyNumberFormat="0" applyAlignment="0" applyProtection="0"/>
    <xf numFmtId="0" fontId="47" fillId="55" borderId="32" applyNumberFormat="0" applyFont="0" applyAlignment="0" applyProtection="0"/>
    <xf numFmtId="0" fontId="111" fillId="0" borderId="38" applyNumberFormat="0" applyFill="0" applyAlignment="0" applyProtection="0"/>
    <xf numFmtId="0" fontId="106" fillId="39" borderId="31" applyNumberFormat="0" applyAlignment="0" applyProtection="0"/>
    <xf numFmtId="0" fontId="47" fillId="55" borderId="36" applyNumberFormat="0" applyFont="0" applyAlignment="0" applyProtection="0"/>
    <xf numFmtId="0" fontId="109" fillId="52" borderId="33" applyNumberFormat="0" applyAlignment="0" applyProtection="0"/>
    <xf numFmtId="0" fontId="106" fillId="39" borderId="35" applyNumberFormat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48" fillId="0" borderId="0" xfId="8"/>
    <xf numFmtId="0" fontId="49" fillId="0" borderId="0" xfId="8" applyFont="1"/>
    <xf numFmtId="0" fontId="54" fillId="0" borderId="0" xfId="8" applyFont="1"/>
    <xf numFmtId="0" fontId="55" fillId="0" borderId="0" xfId="8" applyFont="1"/>
    <xf numFmtId="169" fontId="56" fillId="0" borderId="0" xfId="1" applyNumberFormat="1" applyFont="1" applyFill="1" applyBorder="1" applyAlignment="1">
      <alignment horizontal="center"/>
    </xf>
    <xf numFmtId="169" fontId="56" fillId="0" borderId="0" xfId="1" applyNumberFormat="1" applyFont="1" applyFill="1" applyBorder="1" applyAlignment="1">
      <alignment horizontal="right" indent="1"/>
    </xf>
    <xf numFmtId="0" fontId="62" fillId="0" borderId="0" xfId="7" applyFont="1" applyAlignment="1">
      <alignment horizontal="left"/>
    </xf>
    <xf numFmtId="0" fontId="63" fillId="0" borderId="0" xfId="5" applyFont="1" applyAlignment="1" applyProtection="1"/>
    <xf numFmtId="14" fontId="62" fillId="0" borderId="0" xfId="7" applyNumberFormat="1" applyFont="1" applyAlignment="1">
      <alignment horizontal="left"/>
    </xf>
    <xf numFmtId="0" fontId="63" fillId="0" borderId="0" xfId="4" applyFont="1" applyAlignment="1" applyProtection="1"/>
    <xf numFmtId="0" fontId="56" fillId="0" borderId="0" xfId="7" quotePrefix="1" applyFont="1" applyAlignment="1">
      <alignment horizontal="left"/>
    </xf>
    <xf numFmtId="0" fontId="56" fillId="0" borderId="0" xfId="8" applyFont="1" applyAlignment="1">
      <alignment wrapText="1"/>
    </xf>
    <xf numFmtId="169" fontId="56" fillId="0" borderId="0" xfId="1" applyNumberFormat="1" applyFont="1" applyFill="1" applyBorder="1" applyAlignment="1">
      <alignment horizontal="right"/>
    </xf>
    <xf numFmtId="0" fontId="56" fillId="0" borderId="1" xfId="0" applyFont="1" applyBorder="1"/>
    <xf numFmtId="0" fontId="56" fillId="0" borderId="0" xfId="0" applyFont="1"/>
    <xf numFmtId="0" fontId="56" fillId="0" borderId="2" xfId="0" applyFont="1" applyBorder="1" applyAlignment="1">
      <alignment horizontal="right"/>
    </xf>
    <xf numFmtId="0" fontId="56" fillId="0" borderId="0" xfId="0" applyFont="1" applyAlignment="1">
      <alignment horizontal="center"/>
    </xf>
    <xf numFmtId="0" fontId="0" fillId="0" borderId="2" xfId="0" applyBorder="1"/>
    <xf numFmtId="0" fontId="56" fillId="0" borderId="2" xfId="0" applyFont="1" applyBorder="1" applyAlignment="1">
      <alignment horizontal="left"/>
    </xf>
    <xf numFmtId="0" fontId="56" fillId="0" borderId="0" xfId="0" applyFont="1" applyAlignment="1">
      <alignment horizontal="right"/>
    </xf>
    <xf numFmtId="16" fontId="56" fillId="0" borderId="1" xfId="0" quotePrefix="1" applyNumberFormat="1" applyFont="1" applyBorder="1"/>
    <xf numFmtId="16" fontId="56" fillId="0" borderId="1" xfId="0" applyNumberFormat="1" applyFont="1" applyBorder="1"/>
    <xf numFmtId="0" fontId="56" fillId="0" borderId="1" xfId="0" applyFont="1" applyBorder="1" applyAlignment="1">
      <alignment horizontal="center"/>
    </xf>
    <xf numFmtId="0" fontId="56" fillId="0" borderId="1" xfId="0" applyFont="1" applyBorder="1" applyAlignment="1">
      <alignment horizontal="right"/>
    </xf>
    <xf numFmtId="0" fontId="56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57" fillId="0" borderId="0" xfId="0" quotePrefix="1" applyFont="1" applyAlignment="1">
      <alignment horizontal="right"/>
    </xf>
    <xf numFmtId="164" fontId="56" fillId="0" borderId="0" xfId="1" applyNumberFormat="1" applyFont="1" applyFill="1" applyBorder="1"/>
    <xf numFmtId="164" fontId="56" fillId="0" borderId="0" xfId="1" applyNumberFormat="1" applyFont="1" applyFill="1" applyBorder="1" applyAlignment="1">
      <alignment horizontal="right"/>
    </xf>
    <xf numFmtId="0" fontId="62" fillId="0" borderId="0" xfId="0" applyFont="1"/>
    <xf numFmtId="169" fontId="56" fillId="0" borderId="0" xfId="1" quotePrefix="1" applyNumberFormat="1" applyFont="1" applyFill="1" applyBorder="1" applyAlignment="1">
      <alignment horizontal="right"/>
    </xf>
    <xf numFmtId="164" fontId="56" fillId="0" borderId="0" xfId="1" applyNumberFormat="1" applyFont="1" applyFill="1" applyBorder="1" applyAlignment="1">
      <alignment horizontal="center"/>
    </xf>
    <xf numFmtId="164" fontId="56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4" fontId="56" fillId="0" borderId="0" xfId="1" applyNumberFormat="1" applyFont="1" applyFill="1"/>
    <xf numFmtId="14" fontId="56" fillId="0" borderId="0" xfId="0" applyNumberFormat="1" applyFont="1" applyAlignment="1">
      <alignment horizontal="left"/>
    </xf>
    <xf numFmtId="3" fontId="56" fillId="0" borderId="0" xfId="1" applyNumberFormat="1" applyFont="1" applyFill="1" applyAlignment="1">
      <alignment horizontal="right" indent="1"/>
    </xf>
    <xf numFmtId="3" fontId="56" fillId="0" borderId="0" xfId="1" applyNumberFormat="1" applyFont="1" applyFill="1" applyAlignment="1">
      <alignment horizontal="center"/>
    </xf>
    <xf numFmtId="169" fontId="56" fillId="0" borderId="0" xfId="1" applyNumberFormat="1" applyFont="1" applyFill="1" applyBorder="1" applyAlignment="1">
      <alignment horizontal="right" indent="2"/>
    </xf>
    <xf numFmtId="0" fontId="58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5" fontId="56" fillId="0" borderId="1" xfId="1" applyNumberFormat="1" applyFont="1" applyFill="1" applyBorder="1" applyAlignment="1">
      <alignment horizontal="right"/>
    </xf>
    <xf numFmtId="16" fontId="56" fillId="0" borderId="0" xfId="0" applyNumberFormat="1" applyFont="1"/>
    <xf numFmtId="0" fontId="57" fillId="0" borderId="0" xfId="0" applyFont="1" applyAlignment="1">
      <alignment horizontal="center"/>
    </xf>
    <xf numFmtId="2" fontId="56" fillId="0" borderId="0" xfId="0" applyNumberFormat="1" applyFont="1" applyAlignment="1">
      <alignment horizontal="right" indent="2"/>
    </xf>
    <xf numFmtId="43" fontId="56" fillId="0" borderId="0" xfId="1" quotePrefix="1" applyFont="1" applyFill="1" applyBorder="1" applyAlignment="1">
      <alignment horizontal="center"/>
    </xf>
    <xf numFmtId="166" fontId="56" fillId="0" borderId="0" xfId="1" quotePrefix="1" applyNumberFormat="1" applyFont="1" applyFill="1" applyBorder="1" applyAlignment="1">
      <alignment horizontal="center"/>
    </xf>
    <xf numFmtId="43" fontId="56" fillId="0" borderId="0" xfId="1" applyFont="1" applyFill="1" applyBorder="1" applyAlignment="1">
      <alignment horizontal="center"/>
    </xf>
    <xf numFmtId="0" fontId="62" fillId="0" borderId="0" xfId="0" quotePrefix="1" applyFont="1"/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 indent="1"/>
    </xf>
    <xf numFmtId="0" fontId="56" fillId="0" borderId="3" xfId="0" applyFont="1" applyBorder="1" applyAlignment="1">
      <alignment horizontal="center"/>
    </xf>
    <xf numFmtId="0" fontId="56" fillId="0" borderId="1" xfId="0" applyFont="1" applyBorder="1" applyAlignment="1">
      <alignment horizontal="left"/>
    </xf>
    <xf numFmtId="0" fontId="57" fillId="0" borderId="3" xfId="0" quotePrefix="1" applyFont="1" applyBorder="1"/>
    <xf numFmtId="0" fontId="57" fillId="0" borderId="3" xfId="0" applyFont="1" applyBorder="1"/>
    <xf numFmtId="2" fontId="56" fillId="0" borderId="0" xfId="0" applyNumberFormat="1" applyFont="1" applyAlignment="1">
      <alignment horizontal="center"/>
    </xf>
    <xf numFmtId="43" fontId="56" fillId="0" borderId="0" xfId="0" applyNumberFormat="1" applyFont="1"/>
    <xf numFmtId="0" fontId="51" fillId="0" borderId="0" xfId="0" applyFont="1"/>
    <xf numFmtId="2" fontId="0" fillId="0" borderId="0" xfId="0" applyNumberFormat="1"/>
    <xf numFmtId="165" fontId="56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60" fillId="0" borderId="0" xfId="0" applyFont="1" applyAlignment="1">
      <alignment vertical="center"/>
    </xf>
    <xf numFmtId="2" fontId="56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56" fillId="0" borderId="3" xfId="0" applyFont="1" applyBorder="1"/>
    <xf numFmtId="165" fontId="56" fillId="0" borderId="0" xfId="1" applyNumberFormat="1" applyFont="1" applyFill="1"/>
    <xf numFmtId="37" fontId="56" fillId="0" borderId="0" xfId="1" applyNumberFormat="1" applyFont="1" applyFill="1" applyBorder="1" applyAlignment="1">
      <alignment horizontal="center"/>
    </xf>
    <xf numFmtId="165" fontId="56" fillId="0" borderId="0" xfId="1" applyNumberFormat="1" applyFont="1" applyFill="1" applyBorder="1"/>
    <xf numFmtId="9" fontId="56" fillId="0" borderId="0" xfId="12" applyFont="1" applyFill="1"/>
    <xf numFmtId="0" fontId="57" fillId="0" borderId="4" xfId="0" applyFont="1" applyBorder="1" applyAlignment="1">
      <alignment horizontal="center"/>
    </xf>
    <xf numFmtId="14" fontId="56" fillId="0" borderId="0" xfId="0" applyNumberFormat="1" applyFont="1" applyAlignment="1">
      <alignment horizontal="right" inden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169" fontId="56" fillId="0" borderId="0" xfId="1" applyNumberFormat="1" applyFont="1" applyFill="1" applyAlignment="1">
      <alignment horizontal="center"/>
    </xf>
    <xf numFmtId="0" fontId="58" fillId="0" borderId="3" xfId="0" applyFont="1" applyBorder="1"/>
    <xf numFmtId="164" fontId="56" fillId="0" borderId="3" xfId="0" applyNumberFormat="1" applyFont="1" applyBorder="1"/>
    <xf numFmtId="171" fontId="0" fillId="0" borderId="0" xfId="1" applyNumberFormat="1" applyFont="1" applyFill="1" applyBorder="1"/>
    <xf numFmtId="0" fontId="47" fillId="0" borderId="0" xfId="8" applyFont="1"/>
    <xf numFmtId="0" fontId="47" fillId="0" borderId="0" xfId="0" applyFont="1"/>
    <xf numFmtId="4" fontId="65" fillId="0" borderId="0" xfId="0" applyNumberFormat="1" applyFont="1"/>
    <xf numFmtId="172" fontId="51" fillId="0" borderId="0" xfId="12" applyNumberFormat="1" applyFont="1" applyFill="1"/>
    <xf numFmtId="4" fontId="0" fillId="0" borderId="0" xfId="0" applyNumberFormat="1"/>
    <xf numFmtId="173" fontId="65" fillId="0" borderId="0" xfId="0" applyNumberFormat="1" applyFont="1"/>
    <xf numFmtId="164" fontId="56" fillId="2" borderId="0" xfId="1" applyNumberFormat="1" applyFont="1" applyFill="1" applyBorder="1" applyAlignment="1">
      <alignment horizontal="center"/>
    </xf>
    <xf numFmtId="2" fontId="64" fillId="0" borderId="0" xfId="0" applyNumberFormat="1" applyFont="1" applyAlignment="1">
      <alignment horizontal="center"/>
    </xf>
    <xf numFmtId="37" fontId="56" fillId="0" borderId="0" xfId="0" applyNumberFormat="1" applyFont="1" applyAlignment="1">
      <alignment vertical="center" wrapText="1"/>
    </xf>
    <xf numFmtId="172" fontId="0" fillId="0" borderId="0" xfId="12" applyNumberFormat="1" applyFont="1"/>
    <xf numFmtId="2" fontId="64" fillId="0" borderId="0" xfId="0" applyNumberFormat="1" applyFont="1" applyAlignment="1">
      <alignment horizontal="right" indent="2"/>
    </xf>
    <xf numFmtId="9" fontId="0" fillId="0" borderId="0" xfId="12" applyFont="1"/>
    <xf numFmtId="3" fontId="64" fillId="0" borderId="0" xfId="1" applyNumberFormat="1" applyFont="1" applyFill="1" applyBorder="1" applyAlignment="1">
      <alignment horizontal="right"/>
    </xf>
    <xf numFmtId="3" fontId="47" fillId="0" borderId="0" xfId="0" applyNumberFormat="1" applyFont="1"/>
    <xf numFmtId="3" fontId="56" fillId="0" borderId="0" xfId="1" quotePrefix="1" applyNumberFormat="1" applyFont="1" applyFill="1" applyBorder="1" applyAlignment="1">
      <alignment horizontal="right"/>
    </xf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169" fontId="56" fillId="0" borderId="0" xfId="1" applyNumberFormat="1" applyFont="1" applyAlignment="1">
      <alignment horizontal="right" indent="1"/>
    </xf>
    <xf numFmtId="167" fontId="56" fillId="0" borderId="0" xfId="0" applyNumberFormat="1" applyFont="1"/>
    <xf numFmtId="169" fontId="64" fillId="0" borderId="0" xfId="1" applyNumberFormat="1" applyFont="1" applyFill="1" applyBorder="1" applyAlignment="1">
      <alignment horizontal="right" indent="1"/>
    </xf>
    <xf numFmtId="0" fontId="66" fillId="0" borderId="0" xfId="0" applyFont="1"/>
    <xf numFmtId="169" fontId="56" fillId="0" borderId="0" xfId="1" applyNumberFormat="1" applyFont="1" applyFill="1" applyAlignment="1">
      <alignment horizontal="right" indent="1"/>
    </xf>
    <xf numFmtId="172" fontId="56" fillId="0" borderId="0" xfId="12" applyNumberFormat="1" applyFont="1" applyFill="1" applyBorder="1"/>
    <xf numFmtId="164" fontId="64" fillId="0" borderId="0" xfId="1" applyNumberFormat="1" applyFont="1"/>
    <xf numFmtId="169" fontId="56" fillId="2" borderId="0" xfId="1" applyNumberFormat="1" applyFont="1" applyFill="1" applyBorder="1" applyAlignment="1">
      <alignment horizontal="right" indent="2"/>
    </xf>
    <xf numFmtId="169" fontId="56" fillId="2" borderId="0" xfId="1" applyNumberFormat="1" applyFont="1" applyFill="1" applyBorder="1" applyAlignment="1">
      <alignment horizontal="right" indent="1"/>
    </xf>
    <xf numFmtId="169" fontId="67" fillId="0" borderId="0" xfId="1" applyNumberFormat="1" applyFont="1" applyFill="1" applyBorder="1" applyAlignment="1">
      <alignment horizontal="right"/>
    </xf>
    <xf numFmtId="169" fontId="64" fillId="0" borderId="0" xfId="1" applyNumberFormat="1" applyFont="1" applyFill="1" applyBorder="1" applyAlignment="1">
      <alignment horizontal="right"/>
    </xf>
    <xf numFmtId="37" fontId="0" fillId="0" borderId="0" xfId="0" applyNumberFormat="1"/>
    <xf numFmtId="43" fontId="56" fillId="0" borderId="3" xfId="0" applyNumberFormat="1" applyFont="1" applyBorder="1"/>
    <xf numFmtId="0" fontId="0" fillId="0" borderId="3" xfId="0" applyBorder="1"/>
    <xf numFmtId="168" fontId="56" fillId="0" borderId="3" xfId="0" applyNumberFormat="1" applyFont="1" applyBorder="1"/>
    <xf numFmtId="164" fontId="64" fillId="0" borderId="0" xfId="1" applyNumberFormat="1" applyFont="1" applyAlignment="1">
      <alignment horizontal="right"/>
    </xf>
    <xf numFmtId="164" fontId="56" fillId="0" borderId="0" xfId="1" applyNumberFormat="1" applyFont="1" applyFill="1" applyBorder="1" applyAlignment="1">
      <alignment horizontal="right" indent="1"/>
    </xf>
    <xf numFmtId="0" fontId="56" fillId="0" borderId="2" xfId="0" applyFont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57" fillId="0" borderId="3" xfId="0" quotePrefix="1" applyFont="1" applyBorder="1" applyAlignment="1">
      <alignment horizontal="center"/>
    </xf>
    <xf numFmtId="9" fontId="0" fillId="0" borderId="0" xfId="12" applyFont="1" applyFill="1"/>
    <xf numFmtId="0" fontId="47" fillId="0" borderId="0" xfId="20"/>
    <xf numFmtId="2" fontId="66" fillId="0" borderId="0" xfId="0" applyNumberFormat="1" applyFont="1"/>
    <xf numFmtId="177" fontId="0" fillId="0" borderId="0" xfId="0" applyNumberFormat="1"/>
    <xf numFmtId="178" fontId="0" fillId="0" borderId="0" xfId="0" applyNumberFormat="1"/>
    <xf numFmtId="167" fontId="56" fillId="0" borderId="0" xfId="0" applyNumberFormat="1" applyFont="1" applyAlignment="1">
      <alignment horizontal="center"/>
    </xf>
    <xf numFmtId="165" fontId="56" fillId="0" borderId="0" xfId="1" applyNumberFormat="1" applyFont="1" applyFill="1" applyAlignment="1">
      <alignment horizontal="left"/>
    </xf>
    <xf numFmtId="165" fontId="56" fillId="0" borderId="0" xfId="1" applyNumberFormat="1" applyFont="1" applyFill="1" applyAlignment="1">
      <alignment horizontal="center"/>
    </xf>
    <xf numFmtId="3" fontId="56" fillId="0" borderId="0" xfId="1" applyNumberFormat="1" applyFont="1" applyFill="1" applyBorder="1" applyAlignment="1">
      <alignment horizontal="right" indent="1"/>
    </xf>
    <xf numFmtId="3" fontId="56" fillId="0" borderId="0" xfId="1" applyNumberFormat="1" applyFont="1" applyFill="1" applyAlignment="1">
      <alignment horizontal="right" indent="2"/>
    </xf>
    <xf numFmtId="3" fontId="65" fillId="0" borderId="0" xfId="0" applyNumberFormat="1" applyFont="1"/>
    <xf numFmtId="173" fontId="0" fillId="0" borderId="0" xfId="0" applyNumberFormat="1"/>
    <xf numFmtId="3" fontId="64" fillId="0" borderId="0" xfId="1" applyNumberFormat="1" applyFont="1" applyFill="1" applyAlignment="1">
      <alignment horizontal="right" indent="1"/>
    </xf>
    <xf numFmtId="3" fontId="56" fillId="0" borderId="0" xfId="1" applyNumberFormat="1" applyFont="1" applyFill="1" applyAlignment="1">
      <alignment horizontal="right"/>
    </xf>
    <xf numFmtId="37" fontId="56" fillId="0" borderId="0" xfId="1" applyNumberFormat="1" applyFont="1" applyFill="1" applyBorder="1" applyAlignment="1">
      <alignment horizontal="right" indent="2"/>
    </xf>
    <xf numFmtId="37" fontId="56" fillId="0" borderId="0" xfId="1" applyNumberFormat="1" applyFont="1" applyFill="1" applyBorder="1" applyAlignment="1">
      <alignment horizontal="right" indent="1"/>
    </xf>
    <xf numFmtId="37" fontId="56" fillId="0" borderId="0" xfId="1" applyNumberFormat="1" applyFont="1" applyFill="1" applyAlignment="1">
      <alignment horizontal="center"/>
    </xf>
    <xf numFmtId="37" fontId="56" fillId="0" borderId="0" xfId="0" applyNumberFormat="1" applyFont="1"/>
    <xf numFmtId="1" fontId="56" fillId="0" borderId="0" xfId="0" applyNumberFormat="1" applyFont="1" applyAlignment="1">
      <alignment horizontal="center"/>
    </xf>
    <xf numFmtId="170" fontId="56" fillId="0" borderId="0" xfId="0" applyNumberFormat="1" applyFont="1"/>
    <xf numFmtId="3" fontId="56" fillId="0" borderId="0" xfId="1" applyNumberFormat="1" applyFont="1" applyAlignment="1">
      <alignment horizontal="right" indent="1"/>
    </xf>
    <xf numFmtId="165" fontId="0" fillId="0" borderId="0" xfId="1" applyNumberFormat="1" applyFont="1" applyAlignment="1">
      <alignment horizontal="left" indent="1"/>
    </xf>
    <xf numFmtId="0" fontId="62" fillId="0" borderId="1" xfId="20" applyFont="1" applyBorder="1" applyAlignment="1">
      <alignment wrapText="1"/>
    </xf>
    <xf numFmtId="0" fontId="62" fillId="0" borderId="1" xfId="20" applyFont="1" applyBorder="1"/>
    <xf numFmtId="0" fontId="62" fillId="0" borderId="0" xfId="20" applyFont="1"/>
    <xf numFmtId="0" fontId="56" fillId="0" borderId="0" xfId="20" applyFont="1"/>
    <xf numFmtId="0" fontId="56" fillId="0" borderId="0" xfId="20" applyFont="1" applyAlignment="1">
      <alignment vertical="center"/>
    </xf>
    <xf numFmtId="3" fontId="56" fillId="0" borderId="0" xfId="20" applyNumberFormat="1" applyFont="1"/>
    <xf numFmtId="4" fontId="64" fillId="0" borderId="0" xfId="20" applyNumberFormat="1" applyFont="1"/>
    <xf numFmtId="3" fontId="64" fillId="0" borderId="0" xfId="20" applyNumberFormat="1" applyFont="1"/>
    <xf numFmtId="4" fontId="56" fillId="0" borderId="0" xfId="20" applyNumberFormat="1" applyFont="1"/>
    <xf numFmtId="41" fontId="64" fillId="0" borderId="0" xfId="20" applyNumberFormat="1" applyFont="1"/>
    <xf numFmtId="17" fontId="56" fillId="0" borderId="0" xfId="20" applyNumberFormat="1" applyFont="1" applyAlignment="1">
      <alignment horizontal="left"/>
    </xf>
    <xf numFmtId="0" fontId="113" fillId="0" borderId="1" xfId="386" applyFont="1" applyBorder="1" applyAlignment="1">
      <alignment horizontal="left" wrapText="1"/>
    </xf>
    <xf numFmtId="4" fontId="47" fillId="0" borderId="0" xfId="20" applyNumberFormat="1"/>
    <xf numFmtId="164" fontId="56" fillId="0" borderId="0" xfId="1" applyNumberFormat="1" applyFont="1"/>
    <xf numFmtId="165" fontId="64" fillId="0" borderId="0" xfId="1" applyNumberFormat="1" applyFont="1" applyFill="1" applyAlignment="1">
      <alignment horizontal="center"/>
    </xf>
    <xf numFmtId="165" fontId="0" fillId="0" borderId="0" xfId="0" applyNumberFormat="1"/>
    <xf numFmtId="167" fontId="0" fillId="0" borderId="0" xfId="0" applyNumberFormat="1"/>
    <xf numFmtId="2" fontId="56" fillId="2" borderId="0" xfId="0" applyNumberFormat="1" applyFont="1" applyFill="1" applyAlignment="1">
      <alignment horizontal="right" indent="2"/>
    </xf>
    <xf numFmtId="0" fontId="56" fillId="2" borderId="0" xfId="0" applyFont="1" applyFill="1"/>
    <xf numFmtId="0" fontId="0" fillId="2" borderId="0" xfId="0" applyFill="1"/>
    <xf numFmtId="2" fontId="47" fillId="0" borderId="0" xfId="0" applyNumberFormat="1" applyFont="1"/>
    <xf numFmtId="3" fontId="0" fillId="0" borderId="0" xfId="0" applyNumberFormat="1"/>
    <xf numFmtId="172" fontId="0" fillId="0" borderId="0" xfId="12" applyNumberFormat="1" applyFont="1" applyFill="1"/>
    <xf numFmtId="10" fontId="0" fillId="0" borderId="0" xfId="12" applyNumberFormat="1" applyFont="1" applyFill="1"/>
    <xf numFmtId="37" fontId="56" fillId="0" borderId="1" xfId="1" applyNumberFormat="1" applyFont="1" applyFill="1" applyBorder="1" applyAlignment="1">
      <alignment horizontal="center"/>
    </xf>
    <xf numFmtId="37" fontId="56" fillId="0" borderId="1" xfId="1" applyNumberFormat="1" applyFont="1" applyFill="1" applyBorder="1" applyAlignment="1">
      <alignment horizontal="right" indent="2"/>
    </xf>
    <xf numFmtId="165" fontId="56" fillId="0" borderId="1" xfId="1" applyNumberFormat="1" applyFont="1" applyFill="1" applyBorder="1"/>
    <xf numFmtId="37" fontId="56" fillId="0" borderId="1" xfId="1" applyNumberFormat="1" applyFont="1" applyFill="1" applyBorder="1" applyAlignment="1">
      <alignment horizontal="right" indent="1"/>
    </xf>
    <xf numFmtId="1" fontId="56" fillId="0" borderId="1" xfId="0" applyNumberFormat="1" applyFont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57" fillId="0" borderId="2" xfId="0" quotePrefix="1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57" fillId="0" borderId="5" xfId="0" quotePrefix="1" applyFont="1" applyBorder="1" applyAlignment="1">
      <alignment horizontal="center"/>
    </xf>
    <xf numFmtId="0" fontId="57" fillId="0" borderId="6" xfId="0" applyFont="1" applyBorder="1" applyAlignment="1">
      <alignment horizontal="center"/>
    </xf>
    <xf numFmtId="0" fontId="57" fillId="0" borderId="5" xfId="0" applyFont="1" applyBorder="1" applyAlignment="1">
      <alignment horizontal="center"/>
    </xf>
  </cellXfs>
  <cellStyles count="387">
    <cellStyle name="20% - Accent1" xfId="114" builtinId="30" customBuiltin="1"/>
    <cellStyle name="20% - Accent1 2" xfId="147" xr:uid="{94824244-2101-4E75-A751-7E1198CB157D}"/>
    <cellStyle name="20% - Accent1 2 2" xfId="175" xr:uid="{808E7508-1BBA-4B9C-A53F-432B8933B411}"/>
    <cellStyle name="20% - Accent1 2 2 2" xfId="322" xr:uid="{CBBD6C44-D91F-4F39-AF67-A26598412FDF}"/>
    <cellStyle name="20% - Accent1 2 3" xfId="243" xr:uid="{DFAACE0A-DDD2-4424-B740-BFF9BF44F6DE}"/>
    <cellStyle name="20% - Accent1 2 3 2" xfId="356" xr:uid="{89AF0E59-C980-4D73-AD5F-E64685BF5A39}"/>
    <cellStyle name="20% - Accent1 2 4" xfId="311" xr:uid="{83F36799-25DE-43C1-8B40-C38E43B06862}"/>
    <cellStyle name="20% - Accent1 3" xfId="176" xr:uid="{32B0355E-6EDE-4BFF-8288-D97DAF58BA3D}"/>
    <cellStyle name="20% - Accent1 3 2" xfId="323" xr:uid="{8B8A3324-DDA2-4DDC-A40B-277C58DF2E59}"/>
    <cellStyle name="20% - Accent1 4" xfId="252" xr:uid="{7CEC33F6-0A54-4986-816D-B5CD86F3443E}"/>
    <cellStyle name="20% - Accent1 5" xfId="298" xr:uid="{81C6ED3D-ADA8-4DD1-AB90-65CBC92DDD4E}"/>
    <cellStyle name="20% - Accent2" xfId="118" builtinId="34" customBuiltin="1"/>
    <cellStyle name="20% - Accent2 2" xfId="149" xr:uid="{3A6892BC-603E-44F6-A4CD-BDB954335613}"/>
    <cellStyle name="20% - Accent2 2 2" xfId="177" xr:uid="{A4E0B261-34A6-43CE-86A6-B3FE20F6C2EE}"/>
    <cellStyle name="20% - Accent2 2 2 2" xfId="324" xr:uid="{F6DF797F-3B58-4E26-A117-90F2DC8C6BE8}"/>
    <cellStyle name="20% - Accent2 2 3" xfId="244" xr:uid="{50C5342E-7F4E-4DA0-8BB2-B9DC64C75676}"/>
    <cellStyle name="20% - Accent2 2 3 2" xfId="357" xr:uid="{A9E457CE-E606-46C1-BAD6-9F04036F9737}"/>
    <cellStyle name="20% - Accent2 2 4" xfId="312" xr:uid="{A2CC103D-9803-49B7-AFE1-C11F6B1DCEA6}"/>
    <cellStyle name="20% - Accent2 3" xfId="178" xr:uid="{6C171EA5-10E1-4380-B85D-BD9AB947C93B}"/>
    <cellStyle name="20% - Accent2 3 2" xfId="325" xr:uid="{8D668A50-5F39-4645-A90D-54BF2D4958AE}"/>
    <cellStyle name="20% - Accent2 4" xfId="253" xr:uid="{237A4AE0-05DB-4BBC-9FC6-21F8CB9985F9}"/>
    <cellStyle name="20% - Accent2 5" xfId="300" xr:uid="{C5ABCD5F-0592-416F-9073-4C31AB0B7D76}"/>
    <cellStyle name="20% - Accent3" xfId="122" builtinId="38" customBuiltin="1"/>
    <cellStyle name="20% - Accent3 2" xfId="148" xr:uid="{26D9BC36-F860-4DB0-92BA-5CCE7700904E}"/>
    <cellStyle name="20% - Accent3 2 2" xfId="179" xr:uid="{C6940E12-74F9-4A68-A3FA-9C0A9AF8C855}"/>
    <cellStyle name="20% - Accent3 2 2 2" xfId="326" xr:uid="{00219586-1666-4D5E-9C8F-7927F6CFFF8D}"/>
    <cellStyle name="20% - Accent3 2 3" xfId="245" xr:uid="{2125FD0B-95F0-4249-A4C0-85785EC5E189}"/>
    <cellStyle name="20% - Accent3 2 3 2" xfId="358" xr:uid="{A7994EDF-6D4F-4DD2-AA80-E7ECD9EC5D2A}"/>
    <cellStyle name="20% - Accent3 2 4" xfId="313" xr:uid="{A392E008-3993-4913-9A74-2289F3F558F7}"/>
    <cellStyle name="20% - Accent3 3" xfId="180" xr:uid="{AE82C847-78D6-4B97-8441-AA51646614B2}"/>
    <cellStyle name="20% - Accent3 3 2" xfId="327" xr:uid="{E4842C73-CF9A-46A7-A8D4-C720BAFECC2A}"/>
    <cellStyle name="20% - Accent3 4" xfId="254" xr:uid="{40569062-D533-4274-94AE-C7B495BBBAF4}"/>
    <cellStyle name="20% - Accent3 5" xfId="302" xr:uid="{75FC9417-6D6F-4BEC-BBB5-1652C952A4F2}"/>
    <cellStyle name="20% - Accent4" xfId="126" builtinId="42" customBuiltin="1"/>
    <cellStyle name="20% - Accent4 2" xfId="146" xr:uid="{EFF20614-19C6-4818-8163-E651A637CA6E}"/>
    <cellStyle name="20% - Accent4 2 2" xfId="181" xr:uid="{C477F807-EE2A-4236-A0C5-E1401A15E84A}"/>
    <cellStyle name="20% - Accent4 2 2 2" xfId="328" xr:uid="{1D429CA1-7B52-4EEB-B7A7-4DE1398B029E}"/>
    <cellStyle name="20% - Accent4 2 3" xfId="246" xr:uid="{838D636A-4D49-422F-90B8-C14A3182ECA3}"/>
    <cellStyle name="20% - Accent4 2 3 2" xfId="359" xr:uid="{2D26635D-7002-48A3-80B5-01782ECEA560}"/>
    <cellStyle name="20% - Accent4 2 4" xfId="314" xr:uid="{413645D3-3617-43F7-8ECE-552A73C745C5}"/>
    <cellStyle name="20% - Accent4 3" xfId="182" xr:uid="{77FDE77B-07DD-4466-9C33-45F5E347F898}"/>
    <cellStyle name="20% - Accent4 3 2" xfId="329" xr:uid="{930BA819-24FD-4A10-BCCB-54EEAB1CF8E2}"/>
    <cellStyle name="20% - Accent4 4" xfId="255" xr:uid="{334DB917-1D99-4C5B-BA46-F86B4E671325}"/>
    <cellStyle name="20% - Accent4 5" xfId="304" xr:uid="{2A33F46A-D1F4-4B8C-A158-560DBF1B8215}"/>
    <cellStyle name="20% - Accent5" xfId="130" builtinId="46" customBuiltin="1"/>
    <cellStyle name="20% - Accent5 2" xfId="183" xr:uid="{657F8E32-39A3-4638-8EC1-DDD924C4D6B4}"/>
    <cellStyle name="20% - Accent5 2 2" xfId="330" xr:uid="{3FA1D9DA-02FB-410D-8295-71E299A736BC}"/>
    <cellStyle name="20% - Accent5 3" xfId="236" xr:uid="{40BC7363-BC63-477D-A10D-0F2E3F55AA99}"/>
    <cellStyle name="20% - Accent5 3 2" xfId="350" xr:uid="{8732B83C-2480-4354-8CF6-248EE2B9ADCC}"/>
    <cellStyle name="20% - Accent5 4" xfId="256" xr:uid="{51945EF0-DD1C-4DB0-B69C-82333019E54F}"/>
    <cellStyle name="20% - Accent5 5" xfId="306" xr:uid="{546C1E55-CAAA-4E78-BCC7-72F62F6CC03E}"/>
    <cellStyle name="20% - Accent6" xfId="134" builtinId="50" customBuiltin="1"/>
    <cellStyle name="20% - Accent6 2" xfId="184" xr:uid="{278BDC6A-6C88-4EB1-B39B-C6F05663AE81}"/>
    <cellStyle name="20% - Accent6 2 2" xfId="331" xr:uid="{A9B5AC6F-DB0E-48AF-9F7B-76BCEE23EE81}"/>
    <cellStyle name="20% - Accent6 3" xfId="238" xr:uid="{7DBFE8B8-91F0-4793-ABE2-D608172D3176}"/>
    <cellStyle name="20% - Accent6 3 2" xfId="352" xr:uid="{A0B804D4-E275-4465-9F36-8E5FDA8D4B68}"/>
    <cellStyle name="20% - Accent6 4" xfId="257" xr:uid="{B7EE85F8-3FF2-474C-BBAE-44ACD6D57C35}"/>
    <cellStyle name="20% - Accent6 5" xfId="308" xr:uid="{68BBBA63-83F4-44A7-B274-B556A530E939}"/>
    <cellStyle name="40% - Accent1" xfId="115" builtinId="31" customBuiltin="1"/>
    <cellStyle name="40% - Accent1 2" xfId="185" xr:uid="{D0E7E168-7A74-4F97-8D96-02A961818767}"/>
    <cellStyle name="40% - Accent1 2 2" xfId="332" xr:uid="{71A8CAB3-FD14-404B-89D2-ECAE436DDA9C}"/>
    <cellStyle name="40% - Accent1 3" xfId="233" xr:uid="{8C33CEFE-CC5C-41A1-839B-2AAF91F0C1D8}"/>
    <cellStyle name="40% - Accent1 3 2" xfId="347" xr:uid="{5ED618F1-0BEC-46B3-A47C-4FA55A325B90}"/>
    <cellStyle name="40% - Accent1 4" xfId="258" xr:uid="{8B777513-D1B3-4C8B-8CE8-8107E98F2BC1}"/>
    <cellStyle name="40% - Accent1 5" xfId="299" xr:uid="{7827FBB3-A345-4F9A-88F9-27F0AB5A21E0}"/>
    <cellStyle name="40% - Accent2" xfId="119" builtinId="35" customBuiltin="1"/>
    <cellStyle name="40% - Accent2 2" xfId="186" xr:uid="{754258B4-C612-4CDF-96F2-58818E8F97EA}"/>
    <cellStyle name="40% - Accent2 2 2" xfId="333" xr:uid="{05C021A2-4D31-4E37-BD99-BF629CFF9D43}"/>
    <cellStyle name="40% - Accent2 3" xfId="234" xr:uid="{B4CFA444-0118-42F0-9897-949B6223DBF9}"/>
    <cellStyle name="40% - Accent2 3 2" xfId="348" xr:uid="{F3A1CBFD-6F73-46AD-AB1A-D32E4FD21EA8}"/>
    <cellStyle name="40% - Accent2 4" xfId="259" xr:uid="{549F399D-1062-428D-9AC8-FBC8557D9F48}"/>
    <cellStyle name="40% - Accent2 5" xfId="301" xr:uid="{67B23B7D-1D29-42DA-970E-0A43CCBCC567}"/>
    <cellStyle name="40% - Accent3" xfId="123" builtinId="39" customBuiltin="1"/>
    <cellStyle name="40% - Accent3 2" xfId="150" xr:uid="{32E3F91A-ABD0-4825-9502-F257791BA671}"/>
    <cellStyle name="40% - Accent3 2 2" xfId="187" xr:uid="{23F5E177-8A1C-45E2-8843-FEBAA6B62089}"/>
    <cellStyle name="40% - Accent3 2 2 2" xfId="334" xr:uid="{DA7CAD89-95C6-412E-8603-43185A20AD10}"/>
    <cellStyle name="40% - Accent3 2 3" xfId="247" xr:uid="{A2DEB99B-97E6-4EF4-9FD3-29FEFC420526}"/>
    <cellStyle name="40% - Accent3 2 3 2" xfId="360" xr:uid="{02EDD4DA-104B-4770-ABD1-B23BB75CFE57}"/>
    <cellStyle name="40% - Accent3 2 4" xfId="315" xr:uid="{50109117-B1D7-416F-85D2-1905AC7D5D35}"/>
    <cellStyle name="40% - Accent3 3" xfId="188" xr:uid="{9C3CF690-7980-4ECA-8F06-921AB199361D}"/>
    <cellStyle name="40% - Accent3 3 2" xfId="335" xr:uid="{CEBB930C-DF9D-4C47-895D-3C9ED9C9EAA8}"/>
    <cellStyle name="40% - Accent3 4" xfId="260" xr:uid="{80304610-2D8E-4B30-B34D-D8A71CE05920}"/>
    <cellStyle name="40% - Accent3 5" xfId="303" xr:uid="{199ED734-CD86-4C36-AE44-313B54D2560E}"/>
    <cellStyle name="40% - Accent4" xfId="127" builtinId="43" customBuiltin="1"/>
    <cellStyle name="40% - Accent4 2" xfId="189" xr:uid="{2FDE2BFA-4A19-49AA-B1A0-E907432AB3E7}"/>
    <cellStyle name="40% - Accent4 2 2" xfId="336" xr:uid="{5D7CBC29-F770-4205-B1E3-CF1690CEA8CD}"/>
    <cellStyle name="40% - Accent4 3" xfId="235" xr:uid="{22417DB5-E2A1-4D00-B201-B53B427D4D20}"/>
    <cellStyle name="40% - Accent4 3 2" xfId="349" xr:uid="{9A1C5949-45A2-4555-9F6D-FB14F3F248CA}"/>
    <cellStyle name="40% - Accent4 4" xfId="261" xr:uid="{4C8A0805-8AA3-4DB1-98CB-F31F9359EDB0}"/>
    <cellStyle name="40% - Accent4 5" xfId="305" xr:uid="{4B251191-154A-40E7-A5B0-F5FE257BE24F}"/>
    <cellStyle name="40% - Accent5" xfId="131" builtinId="47" customBuiltin="1"/>
    <cellStyle name="40% - Accent5 2" xfId="190" xr:uid="{A1650198-03FA-42BF-9E33-D1C11CEA9719}"/>
    <cellStyle name="40% - Accent5 2 2" xfId="337" xr:uid="{83A0FD24-38C0-4A5B-B7FF-ADCE2F91F758}"/>
    <cellStyle name="40% - Accent5 3" xfId="237" xr:uid="{F38E99A5-6F6D-4DC6-BAEE-A13B30749A74}"/>
    <cellStyle name="40% - Accent5 3 2" xfId="351" xr:uid="{48002B42-4D23-4F44-847A-76BC1AF48B43}"/>
    <cellStyle name="40% - Accent5 4" xfId="262" xr:uid="{B47CD729-C3F7-4D30-A7E7-18FCFB9384B7}"/>
    <cellStyle name="40% - Accent5 5" xfId="307" xr:uid="{BF2053DF-5B31-4B9D-B385-CCAD6C7690C1}"/>
    <cellStyle name="40% - Accent6" xfId="135" builtinId="51" customBuiltin="1"/>
    <cellStyle name="40% - Accent6 2" xfId="191" xr:uid="{E77D6085-764B-4A64-B2FF-0B45BA676D4B}"/>
    <cellStyle name="40% - Accent6 2 2" xfId="338" xr:uid="{BF7F5C97-70A1-4164-9199-815C6A6A59DD}"/>
    <cellStyle name="40% - Accent6 3" xfId="239" xr:uid="{88061550-1FA6-4BD2-B11A-00A693901AF5}"/>
    <cellStyle name="40% - Accent6 3 2" xfId="353" xr:uid="{152B9510-68A0-49D7-8915-5D25E0B9BF37}"/>
    <cellStyle name="40% - Accent6 4" xfId="263" xr:uid="{10120615-3E3F-4139-B9C5-3692E7333EF1}"/>
    <cellStyle name="40% - Accent6 5" xfId="309" xr:uid="{85E09836-C196-48D4-9646-6C568398DFDF}"/>
    <cellStyle name="60% - Accent1" xfId="116" builtinId="32" customBuiltin="1"/>
    <cellStyle name="60% - Accent1 2" xfId="264" xr:uid="{0FBAEF88-07D5-49D6-AD98-021F041A54DD}"/>
    <cellStyle name="60% - Accent1 3" xfId="162" xr:uid="{AAB8EBDA-4861-4239-B111-9C59BD42E424}"/>
    <cellStyle name="60% - Accent2" xfId="120" builtinId="36" customBuiltin="1"/>
    <cellStyle name="60% - Accent2 2" xfId="265" xr:uid="{9E279784-8AA5-413C-98C7-366CEC6DFB32}"/>
    <cellStyle name="60% - Accent2 3" xfId="160" xr:uid="{608067CD-6D8A-4B2C-9F57-BBAF571DB4D4}"/>
    <cellStyle name="60% - Accent3" xfId="124" builtinId="40" customBuiltin="1"/>
    <cellStyle name="60% - Accent3 2" xfId="158" xr:uid="{2020F3C2-610A-42C5-9FF2-702422E251EC}"/>
    <cellStyle name="60% - Accent3 3" xfId="192" xr:uid="{48B78CC3-22E1-491A-AAE0-8BF3E7F3096D}"/>
    <cellStyle name="60% - Accent3 4" xfId="266" xr:uid="{3E54F20D-BB02-485A-8F91-78116B90E5AA}"/>
    <cellStyle name="60% - Accent3 5" xfId="228" xr:uid="{82F0EBB5-36B6-4F66-8E60-14D052D74CD1}"/>
    <cellStyle name="60% - Accent4" xfId="128" builtinId="44" customBuiltin="1"/>
    <cellStyle name="60% - Accent4 2" xfId="155" xr:uid="{4A8164F4-AF29-41C6-8FFA-7C804D1ADC89}"/>
    <cellStyle name="60% - Accent4 3" xfId="193" xr:uid="{FD61FC60-A83C-49B7-9797-A0EE99A83A1F}"/>
    <cellStyle name="60% - Accent4 4" xfId="267" xr:uid="{5D21D77F-6032-461D-94C3-47E6E378BBB3}"/>
    <cellStyle name="60% - Accent4 5" xfId="229" xr:uid="{E3D23C08-4B3A-43DB-9650-87E04C33BFEF}"/>
    <cellStyle name="60% - Accent5" xfId="132" builtinId="48" customBuiltin="1"/>
    <cellStyle name="60% - Accent5 2" xfId="268" xr:uid="{D4FC1A86-B3B4-4426-8B92-F06ECEE35DD7}"/>
    <cellStyle name="60% - Accent5 3" xfId="153" xr:uid="{E92A1F54-DF19-4468-B032-DF406FD2D5A5}"/>
    <cellStyle name="60% - Accent6" xfId="136" builtinId="52" customBuiltin="1"/>
    <cellStyle name="60% - Accent6 2" xfId="151" xr:uid="{9979C036-67CA-4769-9ADD-690967D5B507}"/>
    <cellStyle name="60% - Accent6 3" xfId="194" xr:uid="{A67149EF-37F3-42BD-9B42-2159AA8F54C2}"/>
    <cellStyle name="60% - Accent6 4" xfId="269" xr:uid="{CB875658-47C9-4A7E-AD6A-8813FABE1CD8}"/>
    <cellStyle name="60% - Accent6 5" xfId="230" xr:uid="{75DE898F-B343-4F62-AD73-6DBE3370387A}"/>
    <cellStyle name="Accent1" xfId="113" builtinId="29" customBuiltin="1"/>
    <cellStyle name="Accent1 2" xfId="270" xr:uid="{2F9EBDF8-EFCF-4670-9E73-CF15AA2C8513}"/>
    <cellStyle name="Accent2" xfId="117" builtinId="33" customBuiltin="1"/>
    <cellStyle name="Accent2 2" xfId="271" xr:uid="{4C591FB8-29AF-4AB5-97E2-BC80FDD56DC6}"/>
    <cellStyle name="Accent3" xfId="121" builtinId="37" customBuiltin="1"/>
    <cellStyle name="Accent3 2" xfId="272" xr:uid="{E913A6DA-DC1D-4392-A239-E1BAB359A021}"/>
    <cellStyle name="Accent4" xfId="125" builtinId="41" customBuiltin="1"/>
    <cellStyle name="Accent4 2" xfId="273" xr:uid="{84A5B390-28F3-4436-AD91-01055C82EFB2}"/>
    <cellStyle name="Accent5" xfId="129" builtinId="45" customBuiltin="1"/>
    <cellStyle name="Accent5 2" xfId="274" xr:uid="{C403E7C9-D686-4D0B-A326-885D438A21EA}"/>
    <cellStyle name="Accent6" xfId="133" builtinId="49" customBuiltin="1"/>
    <cellStyle name="Accent6 2" xfId="275" xr:uid="{17A3CF96-693C-4B39-A40E-E7BDAC964E89}"/>
    <cellStyle name="Bad" xfId="103" builtinId="27" customBuiltin="1"/>
    <cellStyle name="Bad 2" xfId="276" xr:uid="{CBADEF3F-2912-4147-A7DD-049F69ECDED7}"/>
    <cellStyle name="Body: normal cell" xfId="84" xr:uid="{AAABD088-1304-47CF-869E-54AFE6064964}"/>
    <cellStyle name="Calculation" xfId="107" builtinId="22" customBuiltin="1"/>
    <cellStyle name="Calculation 2" xfId="277" xr:uid="{BB04E3CF-4234-4B8C-AAB4-125B294BE0F7}"/>
    <cellStyle name="Calculation 2 2" xfId="144" xr:uid="{7B7706B3-9832-4411-865C-5FE3B67A3E7F}"/>
    <cellStyle name="Calculation 2 3" xfId="371" xr:uid="{D22B68E1-6862-4E14-981F-DE6FE40DFACA}"/>
    <cellStyle name="Calculation 2 4" xfId="142" xr:uid="{88FD6DA9-CF0D-401F-8AC0-34AC13E1AC70}"/>
    <cellStyle name="Check Cell" xfId="109" builtinId="23" customBuiltin="1"/>
    <cellStyle name="Check Cell 2" xfId="278" xr:uid="{360C5E20-32B8-430E-9B25-570B7B416A76}"/>
    <cellStyle name="Comma" xfId="1" builtinId="3"/>
    <cellStyle name="Comma 10" xfId="157" xr:uid="{974F5150-03CB-40DC-A5EB-C5EABAD19543}"/>
    <cellStyle name="Comma 11" xfId="196" xr:uid="{173CAE04-9699-45BD-9DFD-2F0B4490C258}"/>
    <cellStyle name="Comma 12" xfId="197" xr:uid="{07973501-D202-4AC4-A6D8-EA2177D037FA}"/>
    <cellStyle name="Comma 13" xfId="198" xr:uid="{A008CAFC-B508-4339-9785-5989C2DBAB39}"/>
    <cellStyle name="Comma 14" xfId="199" xr:uid="{9A4DBDFB-7ECD-48E3-86AC-642A7DB6A7FB}"/>
    <cellStyle name="Comma 15" xfId="200" xr:uid="{346B7324-9C26-4ADD-915E-E702361B1B96}"/>
    <cellStyle name="Comma 16" xfId="201" xr:uid="{8771733F-12D3-4155-B98D-EB9165D7524A}"/>
    <cellStyle name="Comma 17" xfId="202" xr:uid="{D2E828E0-02FA-4337-A075-CA80ADB00C44}"/>
    <cellStyle name="Comma 18" xfId="195" xr:uid="{7F531399-A568-451C-98EA-DFCBE4BF4564}"/>
    <cellStyle name="Comma 19" xfId="38" xr:uid="{DDCE393F-1348-4189-A747-6A37252868C8}"/>
    <cellStyle name="Comma 19 2" xfId="355" xr:uid="{11616344-594E-43BD-B3D3-2A8BBDD24E9E}"/>
    <cellStyle name="Comma 19 3" xfId="241" xr:uid="{09364125-AA71-40DB-B3C6-6BFD41F7464D}"/>
    <cellStyle name="Comma 2" xfId="2" xr:uid="{00000000-0005-0000-0000-000001000000}"/>
    <cellStyle name="Comma 2 2" xfId="14" xr:uid="{1C9077E0-5527-45A6-8EEF-D5F248207782}"/>
    <cellStyle name="Comma 2 2 2" xfId="339" xr:uid="{87C85B73-FB98-445F-B246-EBC9A17A70EC}"/>
    <cellStyle name="Comma 2 2 3" xfId="203" xr:uid="{89AB8884-F733-449C-AE7A-12097AC2A627}"/>
    <cellStyle name="Comma 2 3" xfId="248" xr:uid="{BA8E939A-B93A-4154-91FB-F6AF914A8C02}"/>
    <cellStyle name="Comma 2 3 2" xfId="361" xr:uid="{F1ED8589-0281-46E3-B46B-177F35A05B8D}"/>
    <cellStyle name="Comma 2 4" xfId="279" xr:uid="{3681BAD9-AD19-4234-B953-6B890ACD5432}"/>
    <cellStyle name="Comma 2 5" xfId="316" xr:uid="{0C178AA8-28C5-4254-B134-FAA54793A4FC}"/>
    <cellStyle name="Comma 2 6" xfId="154" xr:uid="{F70197A6-DA58-43B6-943A-AD1DCB6219F8}"/>
    <cellStyle name="Comma 20" xfId="321" xr:uid="{66FB9168-665A-4C7D-B9AF-CB5BAA389156}"/>
    <cellStyle name="Comma 21" xfId="173" xr:uid="{47A8C6B7-D99C-4630-BD41-EF9115ACF656}"/>
    <cellStyle name="Comma 22" xfId="139" xr:uid="{EDF07AD8-07D5-4FBC-B7E6-4AC4E228E6E2}"/>
    <cellStyle name="Comma 23" xfId="380" xr:uid="{AD33C9F0-2C09-4802-8291-6B3F5B9ECF61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4 2" xfId="59" xr:uid="{1962B490-9A00-4E27-9643-2FC54AC437E3}"/>
    <cellStyle name="Comma 4 2 2" xfId="340" xr:uid="{7BF1C912-7D37-46C0-9ECA-902C2637F2EA}"/>
    <cellStyle name="Comma 4 3" xfId="204" xr:uid="{64B597EF-614B-48C9-9308-DFFB65FAF003}"/>
    <cellStyle name="Comma 5" xfId="28" xr:uid="{70FA35DD-5A4C-4F46-9C0F-4EF98207937B}"/>
    <cellStyle name="Comma 5 2" xfId="31" xr:uid="{1A54A7D5-5C84-48D6-943B-F788A3F8D756}"/>
    <cellStyle name="Comma 5 2 2" xfId="64" xr:uid="{52820DF5-9A1A-4F65-811C-12E350C4A452}"/>
    <cellStyle name="Comma 5 2 3" xfId="70" xr:uid="{17847922-091E-4DA5-900B-99E8548E890C}"/>
    <cellStyle name="Comma 5 3" xfId="61" xr:uid="{66B0EFF1-9B5C-4010-8FFD-B7EBF2B47072}"/>
    <cellStyle name="Comma 5 4" xfId="152" xr:uid="{5DE1518C-9089-4D79-B9B5-C5286E6C9486}"/>
    <cellStyle name="Comma 6" xfId="74" xr:uid="{5AE75EFE-983D-4415-ABF1-C4602BF3FD8A}"/>
    <cellStyle name="Comma 6 2" xfId="163" xr:uid="{B4B23E05-5195-41A3-90BF-42849054B808}"/>
    <cellStyle name="Comma 7" xfId="85" xr:uid="{89556A3A-0567-43CE-A6FB-D4B1BAA3DD4E}"/>
    <cellStyle name="Comma 7 2" xfId="161" xr:uid="{02598CF4-B928-4226-945D-64F9B7ACCE5A}"/>
    <cellStyle name="Comma 8" xfId="159" xr:uid="{B00CD39B-8D0A-45F0-83E5-E0B0D26C09C8}"/>
    <cellStyle name="Comma 9" xfId="156" xr:uid="{E6D79CAB-76B5-43F7-8F35-C72F70247B21}"/>
    <cellStyle name="Currency 2" xfId="33" xr:uid="{8219487F-D241-4C0D-8320-8F18D40FD705}"/>
    <cellStyle name="Explanatory Text" xfId="111" builtinId="53" customBuiltin="1"/>
    <cellStyle name="Explanatory Text 2" xfId="280" xr:uid="{C94C4120-995B-42E5-AA29-196F3D294F3F}"/>
    <cellStyle name="Followed Hyperlink 2" xfId="86" xr:uid="{2AABDBBF-5861-44C2-B8CD-B4B39E048C61}"/>
    <cellStyle name="Font: Calibri, 9pt regular" xfId="87" xr:uid="{93F2A3A3-0F15-45D7-8E50-6DD1381DFC7F}"/>
    <cellStyle name="Footnotes: all except top row" xfId="88" xr:uid="{EE6C687A-2487-4788-A031-C0108D2935BA}"/>
    <cellStyle name="Footnotes: top row" xfId="89" xr:uid="{4F149294-B9D2-4009-9057-CD6A7F7B001A}"/>
    <cellStyle name="Good" xfId="102" builtinId="26" customBuiltin="1"/>
    <cellStyle name="Good 2" xfId="281" xr:uid="{1E99981B-F077-4E18-81A8-D74F5B17D5A1}"/>
    <cellStyle name="Header: bottom row" xfId="90" xr:uid="{D4B17AAD-4BD3-4462-AC0F-7F8590C3748C}"/>
    <cellStyle name="Header: top rows" xfId="91" xr:uid="{005404BA-63BC-4393-AABC-6C19CD87D840}"/>
    <cellStyle name="Heading 1" xfId="98" builtinId="16" customBuiltin="1"/>
    <cellStyle name="Heading 1 2" xfId="282" xr:uid="{7AEE7AEE-9447-408E-8437-9315EAE63F61}"/>
    <cellStyle name="Heading 2" xfId="99" builtinId="17" customBuiltin="1"/>
    <cellStyle name="Heading 2 2" xfId="283" xr:uid="{C92A699F-D084-464D-B420-ABE0BE484C8C}"/>
    <cellStyle name="Heading 3" xfId="100" builtinId="18" customBuiltin="1"/>
    <cellStyle name="Heading 3 2" xfId="284" xr:uid="{518823A6-45BC-47F1-B155-738DE517DFE9}"/>
    <cellStyle name="Heading 4" xfId="101" builtinId="19" customBuiltin="1"/>
    <cellStyle name="Heading 4 2" xfId="285" xr:uid="{B7D84DC7-608E-4152-974D-29C0719719BB}"/>
    <cellStyle name="Hyperlink" xfId="4" builtinId="8"/>
    <cellStyle name="Hyperlink 2" xfId="5" xr:uid="{00000000-0005-0000-0000-000004000000}"/>
    <cellStyle name="Hyperlink 2 2" xfId="249" xr:uid="{7FAD3A58-790F-4ED0-8D4A-AB7B6D7E6BD7}"/>
    <cellStyle name="Hyperlink 3" xfId="6" xr:uid="{00000000-0005-0000-0000-000005000000}"/>
    <cellStyle name="Hyperlink 3 2" xfId="242" xr:uid="{E8BFBA16-071E-4BDC-AF6C-C92DAA0BB06A}"/>
    <cellStyle name="Hyperlink 4" xfId="92" xr:uid="{3670B919-B3BB-4E75-9930-7D6F569E3C0E}"/>
    <cellStyle name="Hyperlink 4 2" xfId="164" xr:uid="{EC59D5CE-C330-4E4D-849B-4EECA6AA0335}"/>
    <cellStyle name="Input" xfId="105" builtinId="20" customBuiltin="1"/>
    <cellStyle name="Input 2" xfId="286" xr:uid="{7B58C08A-19AD-4A8C-8221-CED672E83884}"/>
    <cellStyle name="Input 2 2" xfId="374" xr:uid="{524081B4-428E-4FAD-BAED-75EDEB7C75CB}"/>
    <cellStyle name="Input 2 3" xfId="377" xr:uid="{710D73DB-794E-47B8-B9FF-E2E3E61B92CB}"/>
    <cellStyle name="Input 2 4" xfId="364" xr:uid="{5173D68A-B994-45B6-A40F-C4B6DCE1236A}"/>
    <cellStyle name="Linked Cell" xfId="108" builtinId="24" customBuiltin="1"/>
    <cellStyle name="Linked Cell 2" xfId="287" xr:uid="{0A4AFD6D-084D-4E85-8F45-FE4F57D325B9}"/>
    <cellStyle name="Neutral" xfId="104" builtinId="28" customBuiltin="1"/>
    <cellStyle name="Neutral 2" xfId="288" xr:uid="{7D349BF1-96FC-4376-98F3-D0609127254C}"/>
    <cellStyle name="Neutral 3" xfId="165" xr:uid="{2E34183E-493C-4078-91F7-C3680CD19886}"/>
    <cellStyle name="Normal" xfId="0" builtinId="0"/>
    <cellStyle name="Normal 10" xfId="27" xr:uid="{89A3A5E2-F786-4249-BED3-9C369DE53169}"/>
    <cellStyle name="Normal 10 2" xfId="60" xr:uid="{E126FF74-8F35-46C0-B499-BB9FB7C0492D}"/>
    <cellStyle name="Normal 10 3" xfId="205" xr:uid="{2C4D7787-381F-41EE-BCB9-07068866B7E2}"/>
    <cellStyle name="Normal 11" xfId="29" xr:uid="{4B9E3B86-F018-48E8-A1B7-B09DE503DA20}"/>
    <cellStyle name="Normal 11 10" xfId="48" xr:uid="{B0B7CAAA-7091-450F-85C9-52BED8D28969}"/>
    <cellStyle name="Normal 11 10 2" xfId="68" xr:uid="{9A95CB22-B964-41F2-92CA-C3C560A238E3}"/>
    <cellStyle name="Normal 11 11" xfId="62" xr:uid="{E3FE90C6-7CCC-48DA-835F-769A18F811F8}"/>
    <cellStyle name="Normal 11 12" xfId="66" xr:uid="{24A271D4-02AB-41AD-A39D-32AAEBED943C}"/>
    <cellStyle name="Normal 11 13" xfId="72" xr:uid="{D8E7C54E-9648-4EBA-A6E5-9F8B28FE758E}"/>
    <cellStyle name="Normal 11 14" xfId="77" xr:uid="{FBCA5CF9-91AF-4274-8B94-2F05ECCBC4AB}"/>
    <cellStyle name="Normal 11 15" xfId="78" xr:uid="{F199BEED-3A97-42C5-BE5E-3CAE11A245B2}"/>
    <cellStyle name="Normal 11 16" xfId="80" xr:uid="{20AE4923-93D2-4A0A-A99C-F322F52DB714}"/>
    <cellStyle name="Normal 11 17" xfId="81" xr:uid="{5DA86BD8-8610-4DFE-8E4B-9978D765DE5A}"/>
    <cellStyle name="Normal 11 18" xfId="82" xr:uid="{F12195B6-594D-47B4-9073-432DB3C44860}"/>
    <cellStyle name="Normal 11 19" xfId="206" xr:uid="{85C4D507-476D-43A0-82DF-71DDD8B7D3C5}"/>
    <cellStyle name="Normal 11 2" xfId="30" xr:uid="{75FDC25E-C28E-497B-82EF-A28CA2584098}"/>
    <cellStyle name="Normal 11 2 2" xfId="40" xr:uid="{AF392839-9EFD-46E7-9522-B670F46A3E86}"/>
    <cellStyle name="Normal 11 2 3" xfId="63" xr:uid="{862C7908-EC11-44E3-B785-2E62204B1971}"/>
    <cellStyle name="Normal 11 2 4" xfId="69" xr:uid="{700D960B-D0C4-4589-82DE-BB9482D721FE}"/>
    <cellStyle name="Normal 11 2 4 2" xfId="71" xr:uid="{A6A8C7A5-2C7B-4223-AE63-040A272724A0}"/>
    <cellStyle name="Normal 11 20" xfId="378" xr:uid="{C0BDACBF-3619-4FBE-8B6C-5F7DC0F97B12}"/>
    <cellStyle name="Normal 11 3" xfId="32" xr:uid="{5440E113-77DF-4DAD-9026-4858CCB03DB9}"/>
    <cellStyle name="Normal 11 3 2" xfId="43" xr:uid="{8321DB1C-E877-443D-8A22-A2E591665B83}"/>
    <cellStyle name="Normal 11 3 2 2" xfId="76" xr:uid="{0E6AB9D7-72A7-4FF5-A7F1-271F29BBDBD3}"/>
    <cellStyle name="Normal 11 3 2 2 2" xfId="383" xr:uid="{0B0260D0-DD49-4387-9999-E9B1B6A18FB5}"/>
    <cellStyle name="Normal 11 3 3" xfId="65" xr:uid="{4E905B9F-EF70-4EAF-9DFC-D3D7C0096B62}"/>
    <cellStyle name="Normal 11 4" xfId="34" xr:uid="{A40234E1-3048-4174-AD15-1523030C134E}"/>
    <cellStyle name="Normal 11 4 2" xfId="386" xr:uid="{4396524B-9ED0-49DF-8F29-874B0BB004EC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3 2 2" xfId="50" xr:uid="{EE3659D5-A709-4860-9D3D-5E6D362E2A99}"/>
    <cellStyle name="Normal 11 6 3 2 3" xfId="51" xr:uid="{025CF3BB-6F64-4E4B-ADF3-415CE346BA0F}"/>
    <cellStyle name="Normal 11 6 3 2 4" xfId="67" xr:uid="{9D78D10E-E269-408B-B6A3-E1A70287BFD8}"/>
    <cellStyle name="Normal 11 6 3 3" xfId="385" xr:uid="{22F6C968-E729-4542-A5F8-49C2B25E9079}"/>
    <cellStyle name="Normal 11 6 4" xfId="46" xr:uid="{8BEB9B88-2ECA-4F90-BDBA-C56B823B5754}"/>
    <cellStyle name="Normal 11 6 4 2" xfId="382" xr:uid="{E35375AA-E205-4716-B41F-9DAAC86A63D1}"/>
    <cellStyle name="Normal 11 6 4 3" xfId="384" xr:uid="{2CD41167-0A76-4530-B037-E4CBB634296A}"/>
    <cellStyle name="Normal 11 6 5" xfId="73" xr:uid="{5081E91F-DB7D-4380-8B4D-4A87175D4BD0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12" xfId="75" xr:uid="{35957245-A0B2-4B95-BCE2-DFC85ECCD621}"/>
    <cellStyle name="Normal 12 2" xfId="207" xr:uid="{3E1767D0-6B40-4A5B-8FAB-6DEF2ECBFBE5}"/>
    <cellStyle name="Normal 13" xfId="79" xr:uid="{9E2AFF03-0374-4DAB-9B4E-F3E30AAD9A78}"/>
    <cellStyle name="Normal 13 2" xfId="208" xr:uid="{5A4175F5-C1BB-41BA-9779-D3876062B4C9}"/>
    <cellStyle name="Normal 14" xfId="83" xr:uid="{BAB90E85-6B6D-45C8-8BC4-D96E3F711A33}"/>
    <cellStyle name="Normal 14 2" xfId="209" xr:uid="{90BF5225-74E6-4131-BFF1-818FEA15BE96}"/>
    <cellStyle name="Normal 15" xfId="210" xr:uid="{2611E386-557A-45FD-A072-E557E32BD723}"/>
    <cellStyle name="Normal 16" xfId="211" xr:uid="{E584E80A-0AC0-4BA4-972E-F77FC3AC618B}"/>
    <cellStyle name="Normal 17" xfId="174" xr:uid="{82B278D5-1A1A-4E42-AEBD-22B80ED8F858}"/>
    <cellStyle name="Normal 18" xfId="231" xr:uid="{01500EEB-E236-40E6-B24D-636C7D545421}"/>
    <cellStyle name="Normal 18 2" xfId="345" xr:uid="{6D9B38BC-E55C-47F7-92C2-7A55AA88F965}"/>
    <cellStyle name="Normal 19" xfId="310" xr:uid="{85F2347C-2F58-47B0-AAF4-DA11F271F632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20" xfId="297" xr:uid="{5675D048-D926-4D76-A9C5-0E9E74212AD8}"/>
    <cellStyle name="Normal 21" xfId="145" xr:uid="{57311FF5-2538-45E7-80A5-22F4407D22EE}"/>
    <cellStyle name="Normal 22" xfId="137" xr:uid="{34355714-1B6B-473D-B1EE-A7F5E53EA421}"/>
    <cellStyle name="Normal 23" xfId="379" xr:uid="{3C180D01-4C5F-437C-AB00-FA7095AF426B}"/>
    <cellStyle name="Normal 3" xfId="9" xr:uid="{00000000-0005-0000-0000-000009000000}"/>
    <cellStyle name="Normal 3 2" xfId="21" xr:uid="{70607CDE-CC71-4B27-B690-3D2401DD0B38}"/>
    <cellStyle name="Normal 3 3" xfId="166" xr:uid="{24016708-ACDF-4123-AC81-090C466438EA}"/>
    <cellStyle name="Normal 4" xfId="10" xr:uid="{00000000-0005-0000-0000-00000A000000}"/>
    <cellStyle name="Normal 4 2" xfId="15" xr:uid="{4805FFD6-0377-46EF-881C-FDB9DF487011}"/>
    <cellStyle name="Normal 4 3" xfId="167" xr:uid="{32C3AD38-24EB-4CDC-B98B-A91F4D2A626A}"/>
    <cellStyle name="Normal 5" xfId="11" xr:uid="{00000000-0005-0000-0000-00000B000000}"/>
    <cellStyle name="Normal 5 2" xfId="22" xr:uid="{906AD1FA-0DAF-4AED-832F-0612469F913A}"/>
    <cellStyle name="Normal 5 2 2" xfId="55" xr:uid="{6901B104-248D-416D-85BF-60E7D7CCEE23}"/>
    <cellStyle name="Normal 5 3" xfId="52" xr:uid="{61D29457-DAC5-44A6-B4DB-3F6E4FD534E7}"/>
    <cellStyle name="Normal 5 4" xfId="168" xr:uid="{72593085-5AF4-4127-9467-36099588CA02}"/>
    <cellStyle name="Normal 6" xfId="13" xr:uid="{EBE75F6A-C88B-45B8-A8CA-B04BAAF6B28C}"/>
    <cellStyle name="Normal 6 2" xfId="212" xr:uid="{1A367DA1-9CC0-42DA-9119-E74336950E8C}"/>
    <cellStyle name="Normal 6 2 2" xfId="341" xr:uid="{E20501AB-0A1D-45EC-8D74-124F36BB4B07}"/>
    <cellStyle name="Normal 6 3" xfId="250" xr:uid="{946EAB2F-3003-438D-AECA-E36A970A2718}"/>
    <cellStyle name="Normal 6 3 2" xfId="362" xr:uid="{12BACF06-EA48-4382-91FB-563037CC3A6F}"/>
    <cellStyle name="Normal 6 4" xfId="289" xr:uid="{0EC8BBF7-2579-442B-B652-39916CBF4B7C}"/>
    <cellStyle name="Normal 6 5" xfId="317" xr:uid="{2E522AAE-3A43-4D85-9BC9-D75DF67CA993}"/>
    <cellStyle name="Normal 6 6" xfId="169" xr:uid="{808CEDD4-B41F-4D2C-982F-C9996D1BAA59}"/>
    <cellStyle name="Normal 7" xfId="16" xr:uid="{3D34A042-2E55-4E8C-B59D-A542FFF81875}"/>
    <cellStyle name="Normal 7 2" xfId="213" xr:uid="{820CAB25-D625-44C5-95BC-3DAC14BF070F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2 2 2" xfId="57" xr:uid="{60A7680C-AE12-46D5-BD48-348BB207A242}"/>
    <cellStyle name="Normal 8 2 3" xfId="54" xr:uid="{111A3AB0-B470-4C6E-9913-EE396C483F4D}"/>
    <cellStyle name="Normal 8 3" xfId="23" xr:uid="{A94EEB1A-B27E-4B51-9834-B757898F882E}"/>
    <cellStyle name="Normal 8 3 2" xfId="56" xr:uid="{456F379F-7F49-43B2-8FF0-6AAF56B0FC27}"/>
    <cellStyle name="Normal 8 4" xfId="53" xr:uid="{81805300-0E1D-454A-9D60-0F01D6190D6C}"/>
    <cellStyle name="Normal 8 5" xfId="214" xr:uid="{2576F2E6-EAB3-416F-A6AD-5298A27898D5}"/>
    <cellStyle name="Normal 9" xfId="25" xr:uid="{AF562AB2-2E7D-4C04-814F-6AC30A92CE3A}"/>
    <cellStyle name="Normal 9 2" xfId="58" xr:uid="{9E080DFC-9773-4552-A43C-01793D50B659}"/>
    <cellStyle name="Normal 9 2 2" xfId="342" xr:uid="{62794239-764B-447C-ABD6-07E51E756932}"/>
    <cellStyle name="Normal 9 3" xfId="215" xr:uid="{6F223409-C652-4E49-AD52-D3363DDC15E9}"/>
    <cellStyle name="Note 2" xfId="170" xr:uid="{C3F208D1-D7F4-4FA1-9DDC-24DCCAF00B13}"/>
    <cellStyle name="Note 2 2" xfId="216" xr:uid="{D1F5C7A0-2A37-4AEC-B6E7-1061E205B394}"/>
    <cellStyle name="Note 2 2 2" xfId="343" xr:uid="{BE6495D6-013F-4019-8749-17BC74715577}"/>
    <cellStyle name="Note 2 3" xfId="251" xr:uid="{FD29B074-0975-4C84-B020-F6AFF1851528}"/>
    <cellStyle name="Note 2 3 2" xfId="363" xr:uid="{50FF0CC4-B61A-4B7C-A7A5-65EFC15AC715}"/>
    <cellStyle name="Note 2 4" xfId="291" xr:uid="{B26BB074-7925-4B7D-8117-A3CAC5FCB62F}"/>
    <cellStyle name="Note 2 4 2" xfId="140" xr:uid="{CD338698-8C7F-41B4-BFCC-7A91B33CA405}"/>
    <cellStyle name="Note 2 4 3" xfId="365" xr:uid="{27FEE197-3F21-42C7-B439-6EEE26B30AE5}"/>
    <cellStyle name="Note 2 4 4" xfId="370" xr:uid="{E345255D-CBE2-4B3B-BDE4-FBDA6A4F6C58}"/>
    <cellStyle name="Note 2 5" xfId="318" xr:uid="{B3F27023-4B65-487D-85FA-119154F7A601}"/>
    <cellStyle name="Note 3" xfId="217" xr:uid="{A7C0021F-FA46-4B96-89A8-7F34D94EC6D7}"/>
    <cellStyle name="Note 3 2" xfId="344" xr:uid="{C8A3A4EC-5754-4556-B45B-E9F0EB3392A3}"/>
    <cellStyle name="Note 4" xfId="232" xr:uid="{674244FC-6EC5-411F-89FA-4B0E9038DE2A}"/>
    <cellStyle name="Note 4 2" xfId="346" xr:uid="{476131BE-25DB-416D-A65E-21EF7F48DC69}"/>
    <cellStyle name="Note 5" xfId="290" xr:uid="{49675C76-00C1-4D5F-A92B-FB5C643FAD50}"/>
    <cellStyle name="Note 5 2" xfId="372" xr:uid="{1D4303E1-BA87-49AF-BEBD-66461DE983B6}"/>
    <cellStyle name="Note 5 3" xfId="375" xr:uid="{18B60FC2-E969-4468-8CAB-3005B7F7D8F5}"/>
    <cellStyle name="Note 5 4" xfId="141" xr:uid="{96A6F1D8-69F2-4049-89FA-0FCDB1B3A5B9}"/>
    <cellStyle name="Note 6" xfId="143" xr:uid="{76A629B7-C611-430C-B43D-08A666E8CF1D}"/>
    <cellStyle name="Output" xfId="106" builtinId="21" customBuiltin="1"/>
    <cellStyle name="Output 2" xfId="292" xr:uid="{F0F7321F-71EB-4A8C-8C89-2F60FECB46B8}"/>
    <cellStyle name="Output 2 2" xfId="376" xr:uid="{90A23603-FA65-4F0B-AAB1-E7BE1B0B7B4D}"/>
    <cellStyle name="Output 2 3" xfId="366" xr:uid="{D7F1167F-3E6F-43C6-84FD-662AF9CC9FFC}"/>
    <cellStyle name="Output 2 4" xfId="367" xr:uid="{0E6E46EF-85D7-42C9-9F6B-65DAE1A4A407}"/>
    <cellStyle name="Parent row" xfId="93" xr:uid="{1E35CEB2-0821-4BF1-BD95-43226D3AD920}"/>
    <cellStyle name="Percent" xfId="12" builtinId="5"/>
    <cellStyle name="Percent 10" xfId="219" xr:uid="{92F77126-7B32-4F8C-B344-7B37D151D0C7}"/>
    <cellStyle name="Percent 11" xfId="218" xr:uid="{F7D15F6F-81BB-4D3E-B697-27C670C1CDD2}"/>
    <cellStyle name="Percent 12" xfId="240" xr:uid="{741C9297-9E27-4399-A400-2F12719101AC}"/>
    <cellStyle name="Percent 12 2" xfId="354" xr:uid="{F0A842BE-F717-44AD-80B7-18EB878BCAC3}"/>
    <cellStyle name="Percent 13" xfId="320" xr:uid="{BEB9E956-C81D-440D-9C91-F27DC881370B}"/>
    <cellStyle name="Percent 14" xfId="172" xr:uid="{A6D3652B-46E0-4617-A624-3F55D9D45EF5}"/>
    <cellStyle name="Percent 15" xfId="138" xr:uid="{1EB19C15-2A09-4CDB-B7E1-F0F563AABEDB}"/>
    <cellStyle name="Percent 16" xfId="381" xr:uid="{5E5EE0A9-1D4B-47BE-8361-41A2BA1C8885}"/>
    <cellStyle name="Percent 2" xfId="220" xr:uid="{4E8FF06F-C868-44AB-8B82-DE6FBA9CF0DD}"/>
    <cellStyle name="Percent 2 2" xfId="293" xr:uid="{117EB9A9-FAC7-4563-9DA1-0C6C8C6BE39A}"/>
    <cellStyle name="Percent 3" xfId="221" xr:uid="{9D943620-D73E-4A49-9FE6-D205063B48A5}"/>
    <cellStyle name="Percent 4" xfId="222" xr:uid="{8932F41B-FFB4-4B9C-BAD8-A0A307E40099}"/>
    <cellStyle name="Percent 5" xfId="223" xr:uid="{1B85EFDA-1988-40D7-A863-F101DBBB4422}"/>
    <cellStyle name="Percent 6" xfId="224" xr:uid="{3F95738A-1B06-45D0-81DA-5EE8D7595801}"/>
    <cellStyle name="Percent 7" xfId="225" xr:uid="{0102FDA9-6934-4662-BB9C-D0F83F816AF2}"/>
    <cellStyle name="Percent 8" xfId="226" xr:uid="{142055B5-847B-4C5A-949F-23C062343333}"/>
    <cellStyle name="Percent 9" xfId="227" xr:uid="{2422C149-2921-477B-8821-F9004EA738B7}"/>
    <cellStyle name="Section Break" xfId="94" xr:uid="{EB5B8B72-A3B2-4FD1-9FD6-1F1106690713}"/>
    <cellStyle name="Section Break: parent row" xfId="95" xr:uid="{7C00BD4B-F008-4F1E-A7B5-8C0CA452A3F5}"/>
    <cellStyle name="Table title" xfId="96" xr:uid="{70FFA00A-4881-4DB5-929F-7AB7942E011A}"/>
    <cellStyle name="Title" xfId="97" builtinId="15" customBuiltin="1"/>
    <cellStyle name="Title 2" xfId="294" xr:uid="{962FCC9F-DABB-4175-89CF-C551B91789D2}"/>
    <cellStyle name="Title 3" xfId="319" xr:uid="{B6E17F5F-CA7A-489E-B43B-605634F9C8CA}"/>
    <cellStyle name="Title 4" xfId="171" xr:uid="{500FA8BC-4D95-4D1F-8A33-171C7EC13FD0}"/>
    <cellStyle name="Total" xfId="112" builtinId="25" customBuiltin="1"/>
    <cellStyle name="Total 2" xfId="295" xr:uid="{095124E0-EB53-42E5-A9A7-2724DCDF312E}"/>
    <cellStyle name="Total 2 2" xfId="369" xr:uid="{5B16891E-784B-4B3F-AC81-573F5799E57B}"/>
    <cellStyle name="Total 2 3" xfId="373" xr:uid="{0B1DCB72-05CF-48C0-8681-CABC6DA84842}"/>
    <cellStyle name="Total 2 4" xfId="368" xr:uid="{B3DF6F0E-5675-4F4B-BE9B-E3AE5E425E74}"/>
    <cellStyle name="Warning Text" xfId="110" builtinId="11" customBuiltin="1"/>
    <cellStyle name="Warning Text 2" xfId="296" xr:uid="{EFA92663-19D7-471E-8855-E3A9F964DFF3}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 xr9:uid="{C4CA7E98-DF71-47D1-AD66-48E16269045A}">
      <tableStyleElement type="wholeTable" dxfId="1"/>
      <tableStyleElement type="headerRow" dxfId="0"/>
    </tableStyle>
  </tableStyles>
  <colors>
    <mruColors>
      <color rgb="FFFFCF01"/>
      <color rgb="FFFFFF00"/>
      <color rgb="FFFA6400"/>
      <color rgb="FFFFD966"/>
      <color rgb="FFFF9933"/>
      <color rgb="FFFFFF99"/>
      <color rgb="FF0000FF"/>
      <color rgb="FFFFCC66"/>
      <color rgb="FF00B050"/>
      <color rgb="FFC05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1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Percent of U.S.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soybean crop rated good-to-excellent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141534609429064E-2"/>
          <c:y val="0.1979553676115115"/>
          <c:w val="0.8842046262861567"/>
          <c:h val="0.50133197005984698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1'!$B$1</c:f>
              <c:strCache>
                <c:ptCount val="1"/>
                <c:pt idx="0">
                  <c:v>2019/20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1'!$A$2:$A$17</c:f>
              <c:strCache>
                <c:ptCount val="16"/>
                <c:pt idx="0">
                  <c:v>Week 25</c:v>
                </c:pt>
                <c:pt idx="1">
                  <c:v>Week 26</c:v>
                </c:pt>
                <c:pt idx="2">
                  <c:v>Week 27</c:v>
                </c:pt>
                <c:pt idx="3">
                  <c:v>Week 28</c:v>
                </c:pt>
                <c:pt idx="4">
                  <c:v>Week 29</c:v>
                </c:pt>
                <c:pt idx="5">
                  <c:v>Week 30</c:v>
                </c:pt>
                <c:pt idx="6">
                  <c:v>Week 31</c:v>
                </c:pt>
                <c:pt idx="7">
                  <c:v>Week 32</c:v>
                </c:pt>
                <c:pt idx="8">
                  <c:v>Week 33</c:v>
                </c:pt>
                <c:pt idx="9">
                  <c:v>Week 34</c:v>
                </c:pt>
                <c:pt idx="10">
                  <c:v>Week 35</c:v>
                </c:pt>
                <c:pt idx="11">
                  <c:v>Week 36</c:v>
                </c:pt>
                <c:pt idx="12">
                  <c:v>Week 37</c:v>
                </c:pt>
                <c:pt idx="13">
                  <c:v>Week 38</c:v>
                </c:pt>
                <c:pt idx="14">
                  <c:v>Week 39</c:v>
                </c:pt>
                <c:pt idx="15">
                  <c:v>Week 40</c:v>
                </c:pt>
              </c:strCache>
            </c:strRef>
          </c:cat>
          <c:val>
            <c:numRef>
              <c:f>'Figure 1'!$B$2:$B$17</c:f>
              <c:numCache>
                <c:formatCode>General</c:formatCode>
                <c:ptCount val="16"/>
                <c:pt idx="0">
                  <c:v>54</c:v>
                </c:pt>
                <c:pt idx="1">
                  <c:v>54</c:v>
                </c:pt>
                <c:pt idx="2">
                  <c:v>53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53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54</c:v>
                </c:pt>
                <c:pt idx="13">
                  <c:v>54</c:v>
                </c:pt>
                <c:pt idx="14">
                  <c:v>55</c:v>
                </c:pt>
                <c:pt idx="15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8B-4490-AB8B-4407BAACD8E8}"/>
            </c:ext>
          </c:extLst>
        </c:ser>
        <c:ser>
          <c:idx val="0"/>
          <c:order val="1"/>
          <c:tx>
            <c:strRef>
              <c:f>'Figure 1'!$C$1</c:f>
              <c:strCache>
                <c:ptCount val="1"/>
                <c:pt idx="0">
                  <c:v>2020/21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1'!$A$2:$A$17</c:f>
              <c:strCache>
                <c:ptCount val="16"/>
                <c:pt idx="0">
                  <c:v>Week 25</c:v>
                </c:pt>
                <c:pt idx="1">
                  <c:v>Week 26</c:v>
                </c:pt>
                <c:pt idx="2">
                  <c:v>Week 27</c:v>
                </c:pt>
                <c:pt idx="3">
                  <c:v>Week 28</c:v>
                </c:pt>
                <c:pt idx="4">
                  <c:v>Week 29</c:v>
                </c:pt>
                <c:pt idx="5">
                  <c:v>Week 30</c:v>
                </c:pt>
                <c:pt idx="6">
                  <c:v>Week 31</c:v>
                </c:pt>
                <c:pt idx="7">
                  <c:v>Week 32</c:v>
                </c:pt>
                <c:pt idx="8">
                  <c:v>Week 33</c:v>
                </c:pt>
                <c:pt idx="9">
                  <c:v>Week 34</c:v>
                </c:pt>
                <c:pt idx="10">
                  <c:v>Week 35</c:v>
                </c:pt>
                <c:pt idx="11">
                  <c:v>Week 36</c:v>
                </c:pt>
                <c:pt idx="12">
                  <c:v>Week 37</c:v>
                </c:pt>
                <c:pt idx="13">
                  <c:v>Week 38</c:v>
                </c:pt>
                <c:pt idx="14">
                  <c:v>Week 39</c:v>
                </c:pt>
                <c:pt idx="15">
                  <c:v>Week 40</c:v>
                </c:pt>
              </c:strCache>
            </c:strRef>
          </c:cat>
          <c:val>
            <c:numRef>
              <c:f>'Figure 1'!$C$2:$C$17</c:f>
              <c:numCache>
                <c:formatCode>General</c:formatCode>
                <c:ptCount val="16"/>
                <c:pt idx="0">
                  <c:v>70</c:v>
                </c:pt>
                <c:pt idx="1">
                  <c:v>71</c:v>
                </c:pt>
                <c:pt idx="2">
                  <c:v>71</c:v>
                </c:pt>
                <c:pt idx="3">
                  <c:v>68</c:v>
                </c:pt>
                <c:pt idx="4">
                  <c:v>69</c:v>
                </c:pt>
                <c:pt idx="5">
                  <c:v>72</c:v>
                </c:pt>
                <c:pt idx="6">
                  <c:v>73</c:v>
                </c:pt>
                <c:pt idx="7">
                  <c:v>74</c:v>
                </c:pt>
                <c:pt idx="8">
                  <c:v>72</c:v>
                </c:pt>
                <c:pt idx="9">
                  <c:v>69</c:v>
                </c:pt>
                <c:pt idx="10">
                  <c:v>66</c:v>
                </c:pt>
                <c:pt idx="11">
                  <c:v>65</c:v>
                </c:pt>
                <c:pt idx="12">
                  <c:v>63</c:v>
                </c:pt>
                <c:pt idx="13">
                  <c:v>63</c:v>
                </c:pt>
                <c:pt idx="14">
                  <c:v>64</c:v>
                </c:pt>
                <c:pt idx="15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8B-4490-AB8B-4407BAACD8E8}"/>
            </c:ext>
          </c:extLst>
        </c:ser>
        <c:ser>
          <c:idx val="2"/>
          <c:order val="2"/>
          <c:tx>
            <c:strRef>
              <c:f>'Figure 1'!$D$1</c:f>
              <c:strCache>
                <c:ptCount val="1"/>
                <c:pt idx="0">
                  <c:v>2021/22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1'!$A$2:$A$17</c:f>
              <c:strCache>
                <c:ptCount val="16"/>
                <c:pt idx="0">
                  <c:v>Week 25</c:v>
                </c:pt>
                <c:pt idx="1">
                  <c:v>Week 26</c:v>
                </c:pt>
                <c:pt idx="2">
                  <c:v>Week 27</c:v>
                </c:pt>
                <c:pt idx="3">
                  <c:v>Week 28</c:v>
                </c:pt>
                <c:pt idx="4">
                  <c:v>Week 29</c:v>
                </c:pt>
                <c:pt idx="5">
                  <c:v>Week 30</c:v>
                </c:pt>
                <c:pt idx="6">
                  <c:v>Week 31</c:v>
                </c:pt>
                <c:pt idx="7">
                  <c:v>Week 32</c:v>
                </c:pt>
                <c:pt idx="8">
                  <c:v>Week 33</c:v>
                </c:pt>
                <c:pt idx="9">
                  <c:v>Week 34</c:v>
                </c:pt>
                <c:pt idx="10">
                  <c:v>Week 35</c:v>
                </c:pt>
                <c:pt idx="11">
                  <c:v>Week 36</c:v>
                </c:pt>
                <c:pt idx="12">
                  <c:v>Week 37</c:v>
                </c:pt>
                <c:pt idx="13">
                  <c:v>Week 38</c:v>
                </c:pt>
                <c:pt idx="14">
                  <c:v>Week 39</c:v>
                </c:pt>
                <c:pt idx="15">
                  <c:v>Week 40</c:v>
                </c:pt>
              </c:strCache>
            </c:strRef>
          </c:cat>
          <c:val>
            <c:numRef>
              <c:f>'Figure 1'!$D$2:$D$17</c:f>
              <c:numCache>
                <c:formatCode>General</c:formatCode>
                <c:ptCount val="16"/>
                <c:pt idx="0">
                  <c:v>60</c:v>
                </c:pt>
                <c:pt idx="1">
                  <c:v>59</c:v>
                </c:pt>
                <c:pt idx="2">
                  <c:v>59</c:v>
                </c:pt>
                <c:pt idx="3">
                  <c:v>60</c:v>
                </c:pt>
                <c:pt idx="4">
                  <c:v>58</c:v>
                </c:pt>
                <c:pt idx="5">
                  <c:v>60</c:v>
                </c:pt>
                <c:pt idx="6">
                  <c:v>60</c:v>
                </c:pt>
                <c:pt idx="7">
                  <c:v>57</c:v>
                </c:pt>
                <c:pt idx="8">
                  <c:v>56</c:v>
                </c:pt>
                <c:pt idx="9">
                  <c:v>56</c:v>
                </c:pt>
                <c:pt idx="10">
                  <c:v>57</c:v>
                </c:pt>
                <c:pt idx="11">
                  <c:v>57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8B-4490-AB8B-4407BAACD8E8}"/>
            </c:ext>
          </c:extLst>
        </c:ser>
        <c:ser>
          <c:idx val="3"/>
          <c:order val="3"/>
          <c:tx>
            <c:strRef>
              <c:f>'Figure 1'!$E$1</c:f>
              <c:strCache>
                <c:ptCount val="1"/>
                <c:pt idx="0">
                  <c:v>2022/23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1'!$A$2:$A$17</c:f>
              <c:strCache>
                <c:ptCount val="16"/>
                <c:pt idx="0">
                  <c:v>Week 25</c:v>
                </c:pt>
                <c:pt idx="1">
                  <c:v>Week 26</c:v>
                </c:pt>
                <c:pt idx="2">
                  <c:v>Week 27</c:v>
                </c:pt>
                <c:pt idx="3">
                  <c:v>Week 28</c:v>
                </c:pt>
                <c:pt idx="4">
                  <c:v>Week 29</c:v>
                </c:pt>
                <c:pt idx="5">
                  <c:v>Week 30</c:v>
                </c:pt>
                <c:pt idx="6">
                  <c:v>Week 31</c:v>
                </c:pt>
                <c:pt idx="7">
                  <c:v>Week 32</c:v>
                </c:pt>
                <c:pt idx="8">
                  <c:v>Week 33</c:v>
                </c:pt>
                <c:pt idx="9">
                  <c:v>Week 34</c:v>
                </c:pt>
                <c:pt idx="10">
                  <c:v>Week 35</c:v>
                </c:pt>
                <c:pt idx="11">
                  <c:v>Week 36</c:v>
                </c:pt>
                <c:pt idx="12">
                  <c:v>Week 37</c:v>
                </c:pt>
                <c:pt idx="13">
                  <c:v>Week 38</c:v>
                </c:pt>
                <c:pt idx="14">
                  <c:v>Week 39</c:v>
                </c:pt>
                <c:pt idx="15">
                  <c:v>Week 40</c:v>
                </c:pt>
              </c:strCache>
            </c:strRef>
          </c:cat>
          <c:val>
            <c:numRef>
              <c:f>'Figure 1'!$E$2:$E$17</c:f>
              <c:numCache>
                <c:formatCode>General</c:formatCode>
                <c:ptCount val="16"/>
                <c:pt idx="0">
                  <c:v>65</c:v>
                </c:pt>
                <c:pt idx="1">
                  <c:v>63</c:v>
                </c:pt>
                <c:pt idx="2">
                  <c:v>62</c:v>
                </c:pt>
                <c:pt idx="3">
                  <c:v>61</c:v>
                </c:pt>
                <c:pt idx="4">
                  <c:v>59</c:v>
                </c:pt>
                <c:pt idx="5">
                  <c:v>60</c:v>
                </c:pt>
                <c:pt idx="6">
                  <c:v>59</c:v>
                </c:pt>
                <c:pt idx="7">
                  <c:v>58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56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8B-4490-AB8B-4407BAACD8E8}"/>
            </c:ext>
          </c:extLst>
        </c:ser>
        <c:ser>
          <c:idx val="4"/>
          <c:order val="4"/>
          <c:tx>
            <c:strRef>
              <c:f>'Figure 1'!$F$1</c:f>
              <c:strCache>
                <c:ptCount val="1"/>
                <c:pt idx="0">
                  <c:v>2023/24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1'!$A$2:$A$17</c:f>
              <c:strCache>
                <c:ptCount val="16"/>
                <c:pt idx="0">
                  <c:v>Week 25</c:v>
                </c:pt>
                <c:pt idx="1">
                  <c:v>Week 26</c:v>
                </c:pt>
                <c:pt idx="2">
                  <c:v>Week 27</c:v>
                </c:pt>
                <c:pt idx="3">
                  <c:v>Week 28</c:v>
                </c:pt>
                <c:pt idx="4">
                  <c:v>Week 29</c:v>
                </c:pt>
                <c:pt idx="5">
                  <c:v>Week 30</c:v>
                </c:pt>
                <c:pt idx="6">
                  <c:v>Week 31</c:v>
                </c:pt>
                <c:pt idx="7">
                  <c:v>Week 32</c:v>
                </c:pt>
                <c:pt idx="8">
                  <c:v>Week 33</c:v>
                </c:pt>
                <c:pt idx="9">
                  <c:v>Week 34</c:v>
                </c:pt>
                <c:pt idx="10">
                  <c:v>Week 35</c:v>
                </c:pt>
                <c:pt idx="11">
                  <c:v>Week 36</c:v>
                </c:pt>
                <c:pt idx="12">
                  <c:v>Week 37</c:v>
                </c:pt>
                <c:pt idx="13">
                  <c:v>Week 38</c:v>
                </c:pt>
                <c:pt idx="14">
                  <c:v>Week 39</c:v>
                </c:pt>
                <c:pt idx="15">
                  <c:v>Week 40</c:v>
                </c:pt>
              </c:strCache>
            </c:strRef>
          </c:cat>
          <c:val>
            <c:numRef>
              <c:f>'Figure 1'!$F$2:$F$17</c:f>
              <c:numCache>
                <c:formatCode>General</c:formatCode>
                <c:ptCount val="16"/>
                <c:pt idx="0">
                  <c:v>51</c:v>
                </c:pt>
                <c:pt idx="1">
                  <c:v>50</c:v>
                </c:pt>
                <c:pt idx="2">
                  <c:v>51</c:v>
                </c:pt>
                <c:pt idx="3">
                  <c:v>55</c:v>
                </c:pt>
                <c:pt idx="4">
                  <c:v>54</c:v>
                </c:pt>
                <c:pt idx="5">
                  <c:v>52</c:v>
                </c:pt>
                <c:pt idx="6">
                  <c:v>54</c:v>
                </c:pt>
                <c:pt idx="7">
                  <c:v>59</c:v>
                </c:pt>
                <c:pt idx="8">
                  <c:v>59</c:v>
                </c:pt>
                <c:pt idx="9">
                  <c:v>58</c:v>
                </c:pt>
                <c:pt idx="10">
                  <c:v>53</c:v>
                </c:pt>
                <c:pt idx="11">
                  <c:v>52</c:v>
                </c:pt>
                <c:pt idx="12">
                  <c:v>52</c:v>
                </c:pt>
                <c:pt idx="13">
                  <c:v>50</c:v>
                </c:pt>
                <c:pt idx="14">
                  <c:v>52</c:v>
                </c:pt>
                <c:pt idx="15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8B-4490-AB8B-4407BAACD8E8}"/>
            </c:ext>
          </c:extLst>
        </c:ser>
        <c:ser>
          <c:idx val="5"/>
          <c:order val="5"/>
          <c:tx>
            <c:strRef>
              <c:f>'Figure 1'!$G$1</c:f>
              <c:strCache>
                <c:ptCount val="1"/>
                <c:pt idx="0">
                  <c:v>2024/25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1'!$A$2:$A$17</c:f>
              <c:strCache>
                <c:ptCount val="16"/>
                <c:pt idx="0">
                  <c:v>Week 25</c:v>
                </c:pt>
                <c:pt idx="1">
                  <c:v>Week 26</c:v>
                </c:pt>
                <c:pt idx="2">
                  <c:v>Week 27</c:v>
                </c:pt>
                <c:pt idx="3">
                  <c:v>Week 28</c:v>
                </c:pt>
                <c:pt idx="4">
                  <c:v>Week 29</c:v>
                </c:pt>
                <c:pt idx="5">
                  <c:v>Week 30</c:v>
                </c:pt>
                <c:pt idx="6">
                  <c:v>Week 31</c:v>
                </c:pt>
                <c:pt idx="7">
                  <c:v>Week 32</c:v>
                </c:pt>
                <c:pt idx="8">
                  <c:v>Week 33</c:v>
                </c:pt>
                <c:pt idx="9">
                  <c:v>Week 34</c:v>
                </c:pt>
                <c:pt idx="10">
                  <c:v>Week 35</c:v>
                </c:pt>
                <c:pt idx="11">
                  <c:v>Week 36</c:v>
                </c:pt>
                <c:pt idx="12">
                  <c:v>Week 37</c:v>
                </c:pt>
                <c:pt idx="13">
                  <c:v>Week 38</c:v>
                </c:pt>
                <c:pt idx="14">
                  <c:v>Week 39</c:v>
                </c:pt>
                <c:pt idx="15">
                  <c:v>Week 40</c:v>
                </c:pt>
              </c:strCache>
            </c:strRef>
          </c:cat>
          <c:val>
            <c:numRef>
              <c:f>'Figure 1'!$G$2:$G$17</c:f>
              <c:numCache>
                <c:formatCode>General</c:formatCode>
                <c:ptCount val="16"/>
                <c:pt idx="0">
                  <c:v>67</c:v>
                </c:pt>
                <c:pt idx="1">
                  <c:v>67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67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8B-4490-AB8B-4407BAACD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4455439"/>
        <c:axId val="1284457935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Week number</a:t>
                </a:r>
              </a:p>
            </c:rich>
          </c:tx>
          <c:layout>
            <c:manualLayout>
              <c:xMode val="edge"/>
              <c:yMode val="edge"/>
              <c:x val="0.42974888318306531"/>
              <c:y val="0.84641029345573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  <c:max val="75"/>
          <c:min val="5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4132848778519E-3"/>
              <c:y val="9.91941111527725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312880560197872E-2"/>
          <c:y val="0.12475838402827188"/>
          <c:w val="0.9"/>
          <c:h val="5.5657297074213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2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U.S.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soybean crop production and yield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000324718970858E-2"/>
          <c:y val="0.18957899500385975"/>
          <c:w val="0.8842046262861567"/>
          <c:h val="0.493824580947659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2'!$A$2:$A$14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  <c:pt idx="11">
                  <c:v>2023/24</c:v>
                </c:pt>
                <c:pt idx="12">
                  <c:v>2024/2025*</c:v>
                </c:pt>
              </c:strCache>
            </c:strRef>
          </c:cat>
          <c:val>
            <c:numRef>
              <c:f>'Figure 2'!$B$2:$B$14</c:f>
              <c:numCache>
                <c:formatCode>#,##0</c:formatCode>
                <c:ptCount val="13"/>
                <c:pt idx="0">
                  <c:v>3042.0439999999999</c:v>
                </c:pt>
                <c:pt idx="1">
                  <c:v>3357.0039999999999</c:v>
                </c:pt>
                <c:pt idx="2">
                  <c:v>3928.07</c:v>
                </c:pt>
                <c:pt idx="3">
                  <c:v>3926.779</c:v>
                </c:pt>
                <c:pt idx="4">
                  <c:v>4296.4960000000001</c:v>
                </c:pt>
                <c:pt idx="5">
                  <c:v>4411.6329999999998</c:v>
                </c:pt>
                <c:pt idx="6">
                  <c:v>4428.1499999999996</c:v>
                </c:pt>
                <c:pt idx="7">
                  <c:v>3551.07</c:v>
                </c:pt>
                <c:pt idx="8">
                  <c:v>4216.3019999999997</c:v>
                </c:pt>
                <c:pt idx="9">
                  <c:v>4464.4920000000002</c:v>
                </c:pt>
                <c:pt idx="10">
                  <c:v>4270.3810000000003</c:v>
                </c:pt>
                <c:pt idx="11">
                  <c:v>4164.6769999999997</c:v>
                </c:pt>
                <c:pt idx="12">
                  <c:v>4589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2-4C7E-838B-F4909D92F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55439"/>
        <c:axId val="1284457935"/>
      </c:barChart>
      <c:lineChart>
        <c:grouping val="standard"/>
        <c:varyColors val="0"/>
        <c:ser>
          <c:idx val="5"/>
          <c:order val="1"/>
          <c:tx>
            <c:strRef>
              <c:f>'Figure 2'!$C$1</c:f>
              <c:strCache>
                <c:ptCount val="1"/>
                <c:pt idx="0">
                  <c:v>Yield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2'!$A$2:$A$14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  <c:pt idx="11">
                  <c:v>2023/24</c:v>
                </c:pt>
                <c:pt idx="12">
                  <c:v>2024/2025*</c:v>
                </c:pt>
              </c:strCache>
            </c:strRef>
          </c:cat>
          <c:val>
            <c:numRef>
              <c:f>'Figure 2'!$C$2:$C$14</c:f>
              <c:numCache>
                <c:formatCode>#,##0.00</c:formatCode>
                <c:ptCount val="13"/>
                <c:pt idx="0">
                  <c:v>39.950000000000003</c:v>
                </c:pt>
                <c:pt idx="1">
                  <c:v>44.04</c:v>
                </c:pt>
                <c:pt idx="2">
                  <c:v>47.55</c:v>
                </c:pt>
                <c:pt idx="3">
                  <c:v>48.04</c:v>
                </c:pt>
                <c:pt idx="4">
                  <c:v>51.95</c:v>
                </c:pt>
                <c:pt idx="5">
                  <c:v>49.27</c:v>
                </c:pt>
                <c:pt idx="6" formatCode="_(* #,##0.0_);_(* \(#,##0.0\);_(* &quot;-&quot;??_);_(@_)">
                  <c:v>50.55</c:v>
                </c:pt>
                <c:pt idx="7" formatCode="_(* #,##0.0_);_(* \(#,##0.0\);_(* &quot;-&quot;??_);_(@_)">
                  <c:v>47.4</c:v>
                </c:pt>
                <c:pt idx="8" formatCode="_(* #,##0.0_);_(* \(#,##0.0\);_(* &quot;-&quot;??_);_(@_)">
                  <c:v>51.04</c:v>
                </c:pt>
                <c:pt idx="9" formatCode="_(* #,##0.0_);_(* \(#,##0.0\);_(* &quot;-&quot;??_);_(@_)">
                  <c:v>51.74</c:v>
                </c:pt>
                <c:pt idx="10" formatCode="_(* #,##0.0_);_(* \(#,##0.0\);_(* &quot;-&quot;??_);_(@_)">
                  <c:v>49.56</c:v>
                </c:pt>
                <c:pt idx="11" formatCode="_(* #,##0.0_);_(* \(#,##0.0\);_(* &quot;-&quot;??_);_(@_)">
                  <c:v>50.57</c:v>
                </c:pt>
                <c:pt idx="12" formatCode="_(* #,##0.0_);_(* \(#,##0.0\);_(* &quot;-&quot;??_);_(@_)">
                  <c:v>53.2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2-4C7E-838B-F4909D92F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032943"/>
        <c:axId val="430037103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Marketing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year</a:t>
                </a:r>
                <a:endPara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6393709806563393"/>
              <c:y val="0.810543192501595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bushels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4126957714693E-3"/>
              <c:y val="0.105811513918824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valAx>
        <c:axId val="430037103"/>
        <c:scaling>
          <c:orientation val="minMax"/>
          <c:max val="5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Bushels per acre</a:t>
                </a:r>
              </a:p>
            </c:rich>
          </c:tx>
          <c:layout>
            <c:manualLayout>
              <c:xMode val="edge"/>
              <c:yMode val="edge"/>
              <c:x val="0.85399102963620854"/>
              <c:y val="0.10168584005683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0032943"/>
        <c:crosses val="max"/>
        <c:crossBetween val="between"/>
        <c:majorUnit val="5"/>
      </c:valAx>
      <c:catAx>
        <c:axId val="4300329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00371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8672344075178484E-2"/>
          <c:y val="0.1247584976936431"/>
          <c:w val="0.74781151990729666"/>
          <c:h val="5.31828194700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3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baseline="0">
                <a:effectLst/>
              </a:rPr>
              <a:t>Sunflowerseed production by country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1.7568588659466102E-3"/>
          <c:y val="6.738345809667681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137810398540134E-2"/>
          <c:y val="0.19970674188976908"/>
          <c:w val="0.92427234708986139"/>
          <c:h val="0.438342647014018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3'!$A$3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3'!$B$2:$D$2</c:f>
              <c:strCache>
                <c:ptCount val="3"/>
                <c:pt idx="0">
                  <c:v>Russia</c:v>
                </c:pt>
                <c:pt idx="1">
                  <c:v>Ukraine</c:v>
                </c:pt>
                <c:pt idx="2">
                  <c:v>European Union</c:v>
                </c:pt>
              </c:strCache>
            </c:strRef>
          </c:cat>
          <c:val>
            <c:numRef>
              <c:f>'Figure 3'!$B$3:$D$3</c:f>
              <c:numCache>
                <c:formatCode>0.0</c:formatCode>
                <c:ptCount val="3"/>
                <c:pt idx="0">
                  <c:v>15.571999999999999</c:v>
                </c:pt>
                <c:pt idx="1">
                  <c:v>17.5</c:v>
                </c:pt>
                <c:pt idx="2">
                  <c:v>10.327999999999999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B2-489D-AC06-6B9351288354}"/>
            </c:ext>
          </c:extLst>
        </c:ser>
        <c:ser>
          <c:idx val="5"/>
          <c:order val="1"/>
          <c:tx>
            <c:strRef>
              <c:f>'Figure 3'!$A$4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3'!$B$2:$D$2</c:f>
              <c:strCache>
                <c:ptCount val="3"/>
                <c:pt idx="0">
                  <c:v>Russia</c:v>
                </c:pt>
                <c:pt idx="1">
                  <c:v>Ukraine</c:v>
                </c:pt>
                <c:pt idx="2">
                  <c:v>European Union</c:v>
                </c:pt>
              </c:strCache>
            </c:strRef>
          </c:cat>
          <c:val>
            <c:numRef>
              <c:f>'Figure 3'!$B$4:$D$4</c:f>
              <c:numCache>
                <c:formatCode>0.0</c:formatCode>
                <c:ptCount val="3"/>
                <c:pt idx="0">
                  <c:v>16.254000000000001</c:v>
                </c:pt>
                <c:pt idx="1">
                  <c:v>12.2</c:v>
                </c:pt>
                <c:pt idx="2">
                  <c:v>9.3849999999999998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B2-489D-AC06-6B9351288354}"/>
            </c:ext>
          </c:extLst>
        </c:ser>
        <c:ser>
          <c:idx val="4"/>
          <c:order val="2"/>
          <c:tx>
            <c:strRef>
              <c:f>'Figure 3'!$A$5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3'!$B$2:$D$2</c:f>
              <c:strCache>
                <c:ptCount val="3"/>
                <c:pt idx="0">
                  <c:v>Russia</c:v>
                </c:pt>
                <c:pt idx="1">
                  <c:v>Ukraine</c:v>
                </c:pt>
                <c:pt idx="2">
                  <c:v>European Union</c:v>
                </c:pt>
              </c:strCache>
            </c:strRef>
          </c:cat>
          <c:val>
            <c:numRef>
              <c:f>'Figure 3'!$B$5:$D$5</c:f>
              <c:numCache>
                <c:formatCode>0.0</c:formatCode>
                <c:ptCount val="3"/>
                <c:pt idx="0">
                  <c:v>17.100000000000001</c:v>
                </c:pt>
                <c:pt idx="1">
                  <c:v>15.5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B2-489D-AC06-6B9351288354}"/>
            </c:ext>
          </c:extLst>
        </c:ser>
        <c:ser>
          <c:idx val="0"/>
          <c:order val="3"/>
          <c:tx>
            <c:strRef>
              <c:f>'Figure 3'!$A$6</c:f>
              <c:strCache>
                <c:ptCount val="1"/>
                <c:pt idx="0">
                  <c:v>2024/2025 July*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3'!$B$2:$D$2</c:f>
              <c:strCache>
                <c:ptCount val="3"/>
                <c:pt idx="0">
                  <c:v>Russia</c:v>
                </c:pt>
                <c:pt idx="1">
                  <c:v>Ukraine</c:v>
                </c:pt>
                <c:pt idx="2">
                  <c:v>European Union</c:v>
                </c:pt>
              </c:strCache>
            </c:strRef>
          </c:cat>
          <c:val>
            <c:numRef>
              <c:f>'Figure 3'!$B$6:$D$6</c:f>
              <c:numCache>
                <c:formatCode>0.0</c:formatCode>
                <c:ptCount val="3"/>
                <c:pt idx="0">
                  <c:v>16.5</c:v>
                </c:pt>
                <c:pt idx="1">
                  <c:v>14.5</c:v>
                </c:pt>
                <c:pt idx="2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8B2-489D-AC06-6B9351288354}"/>
            </c:ext>
          </c:extLst>
        </c:ser>
        <c:ser>
          <c:idx val="1"/>
          <c:order val="4"/>
          <c:tx>
            <c:strRef>
              <c:f>'Figure 3'!$A$7</c:f>
              <c:strCache>
                <c:ptCount val="1"/>
                <c:pt idx="0">
                  <c:v>2024/2025 Aug*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3'!$B$2:$D$2</c:f>
              <c:strCache>
                <c:ptCount val="3"/>
                <c:pt idx="0">
                  <c:v>Russia</c:v>
                </c:pt>
                <c:pt idx="1">
                  <c:v>Ukraine</c:v>
                </c:pt>
                <c:pt idx="2">
                  <c:v>European Union</c:v>
                </c:pt>
              </c:strCache>
            </c:strRef>
          </c:cat>
          <c:val>
            <c:numRef>
              <c:f>'Figure 3'!$B$7:$D$7</c:f>
              <c:numCache>
                <c:formatCode>0.0</c:formatCode>
                <c:ptCount val="3"/>
                <c:pt idx="0">
                  <c:v>16</c:v>
                </c:pt>
                <c:pt idx="1">
                  <c:v>13.5</c:v>
                </c:pt>
                <c:pt idx="2">
                  <c:v>10.15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8B2-489D-AC06-6B935128835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592517164547774"/>
              <c:y val="0.8131404556480046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1715817500052304E-3"/>
              <c:y val="0.115903845401049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913063203847277"/>
          <c:y val="0.10520538635328711"/>
          <c:w val="0.74554794076666342"/>
          <c:h val="5.1868369024167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550334</xdr:colOff>
      <xdr:row>0</xdr:row>
      <xdr:rowOff>148166</xdr:rowOff>
    </xdr:from>
    <xdr:to>
      <xdr:col>17</xdr:col>
      <xdr:colOff>355601</xdr:colOff>
      <xdr:row>19</xdr:row>
      <xdr:rowOff>115146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6C10E5FE-7735-45FB-A406-7261791258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0.89273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213101"/>
          <a:ext cx="6070601" cy="386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National Agricultural Statistics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Crop Progress,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August 5, 2024.</a:t>
          </a:r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127529</xdr:colOff>
      <xdr:row>0</xdr:row>
      <xdr:rowOff>84667</xdr:rowOff>
    </xdr:from>
    <xdr:to>
      <xdr:col>14</xdr:col>
      <xdr:colOff>176213</xdr:colOff>
      <xdr:row>20</xdr:row>
      <xdr:rowOff>70697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8688C767-1685-4313-AADE-512CF7663E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0.85291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099012"/>
          <a:ext cx="6041814" cy="534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Asterisk (*) denotes forecast.</a:t>
          </a: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USDA, World Agricultural Outlook Board,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Supply and Demand Estimates,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August, 2024.</a:t>
          </a:r>
          <a:endParaRPr lang="en-US" sz="105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152398</xdr:rowOff>
    </xdr:from>
    <xdr:to>
      <xdr:col>15</xdr:col>
      <xdr:colOff>47625</xdr:colOff>
      <xdr:row>20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8E40B9-E346-C3EF-8E76-D2C6470930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0.87186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099225"/>
          <a:ext cx="6049433" cy="433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 and Distribution 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database, August 2024.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5546875" defaultRowHeight="13.8"/>
  <cols>
    <col min="1" max="1" width="166.88671875" style="12" customWidth="1"/>
    <col min="2" max="16384" width="9.5546875" style="1"/>
  </cols>
  <sheetData>
    <row r="1" spans="1:3">
      <c r="A1" s="7" t="s">
        <v>0</v>
      </c>
      <c r="B1" s="82"/>
      <c r="C1" s="82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82"/>
    </row>
    <row r="5" spans="1:3">
      <c r="A5" s="10" t="s">
        <v>3</v>
      </c>
      <c r="B5" s="4"/>
      <c r="C5" s="82"/>
    </row>
    <row r="6" spans="1:3">
      <c r="A6" s="10" t="s">
        <v>4</v>
      </c>
      <c r="B6" s="4"/>
      <c r="C6" s="82"/>
    </row>
    <row r="7" spans="1:3">
      <c r="A7" s="10" t="s">
        <v>5</v>
      </c>
      <c r="B7" s="4"/>
      <c r="C7" s="82"/>
    </row>
    <row r="8" spans="1:3">
      <c r="A8" s="10" t="s">
        <v>6</v>
      </c>
      <c r="B8" s="4"/>
      <c r="C8" s="82"/>
    </row>
    <row r="9" spans="1:3">
      <c r="A9" s="10" t="s">
        <v>7</v>
      </c>
      <c r="B9" s="4"/>
      <c r="C9" s="82"/>
    </row>
    <row r="10" spans="1:3">
      <c r="A10" s="10" t="s">
        <v>8</v>
      </c>
      <c r="B10" s="4"/>
      <c r="C10" s="82"/>
    </row>
    <row r="11" spans="1:3">
      <c r="A11" s="10" t="s">
        <v>9</v>
      </c>
      <c r="B11" s="4"/>
      <c r="C11" s="82"/>
    </row>
    <row r="12" spans="1:3">
      <c r="A12" s="10" t="s">
        <v>10</v>
      </c>
      <c r="B12" s="4"/>
      <c r="C12" s="82"/>
    </row>
    <row r="13" spans="1:3">
      <c r="A13" s="11" t="s">
        <v>11</v>
      </c>
      <c r="B13" s="4"/>
      <c r="C13" s="82"/>
    </row>
    <row r="14" spans="1:3" ht="13.2">
      <c r="A14" s="82"/>
      <c r="B14" s="82"/>
      <c r="C14" s="82"/>
    </row>
    <row r="15" spans="1:3">
      <c r="A15" s="7" t="s">
        <v>12</v>
      </c>
      <c r="B15" s="82"/>
      <c r="C15" s="82"/>
    </row>
    <row r="16" spans="1:3">
      <c r="A16" s="9">
        <v>45518</v>
      </c>
      <c r="B16" s="82"/>
      <c r="C16" s="82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8A532-EE07-4C9F-9900-CAAF27E58E31}">
  <dimension ref="A1:H89"/>
  <sheetViews>
    <sheetView zoomScale="90" zoomScaleNormal="90" workbookViewId="0">
      <selection activeCell="D28" sqref="D28"/>
    </sheetView>
  </sheetViews>
  <sheetFormatPr defaultColWidth="9.109375" defaultRowHeight="13.8"/>
  <cols>
    <col min="1" max="1" width="16.6640625" style="145" customWidth="1"/>
    <col min="2" max="2" width="12.109375" style="145" bestFit="1" customWidth="1"/>
    <col min="3" max="3" width="10.44140625" style="145" customWidth="1"/>
    <col min="4" max="4" width="7.88671875" style="145" customWidth="1"/>
    <col min="5" max="5" width="9.33203125" style="145" bestFit="1" customWidth="1"/>
    <col min="6" max="8" width="7.88671875" style="145" customWidth="1"/>
    <col min="9" max="16384" width="9.109375" style="145"/>
  </cols>
  <sheetData>
    <row r="1" spans="1:8" ht="34.5" customHeight="1">
      <c r="A1" s="142" t="s">
        <v>153</v>
      </c>
      <c r="B1" s="143" t="s">
        <v>26</v>
      </c>
      <c r="C1" s="143" t="s">
        <v>14</v>
      </c>
      <c r="D1" s="144"/>
      <c r="E1" s="144"/>
      <c r="F1" s="144"/>
      <c r="G1" s="144"/>
      <c r="H1" s="144"/>
    </row>
    <row r="2" spans="1:8">
      <c r="A2" s="146" t="s">
        <v>110</v>
      </c>
      <c r="B2" s="147">
        <v>3042.0439999999999</v>
      </c>
      <c r="C2" s="148">
        <v>39.950000000000003</v>
      </c>
      <c r="D2" s="149"/>
      <c r="E2" s="149"/>
      <c r="F2" s="148"/>
      <c r="G2" s="149"/>
      <c r="H2" s="149"/>
    </row>
    <row r="3" spans="1:8">
      <c r="A3" s="146" t="s">
        <v>111</v>
      </c>
      <c r="B3" s="147">
        <v>3357.0039999999999</v>
      </c>
      <c r="C3" s="150">
        <v>44.04</v>
      </c>
      <c r="D3" s="149"/>
      <c r="E3" s="149"/>
      <c r="F3" s="148"/>
    </row>
    <row r="4" spans="1:8">
      <c r="A4" s="146" t="s">
        <v>112</v>
      </c>
      <c r="B4" s="147">
        <v>3928.07</v>
      </c>
      <c r="C4" s="150">
        <v>47.55</v>
      </c>
      <c r="D4" s="149"/>
      <c r="E4" s="149"/>
      <c r="F4" s="148"/>
    </row>
    <row r="5" spans="1:8">
      <c r="A5" s="146" t="s">
        <v>113</v>
      </c>
      <c r="B5" s="147">
        <v>3926.779</v>
      </c>
      <c r="C5" s="150">
        <v>48.04</v>
      </c>
      <c r="D5" s="149"/>
      <c r="E5" s="149"/>
      <c r="F5" s="148"/>
    </row>
    <row r="6" spans="1:8">
      <c r="A6" s="146" t="s">
        <v>114</v>
      </c>
      <c r="B6" s="147">
        <v>4296.4960000000001</v>
      </c>
      <c r="C6" s="150">
        <v>51.95</v>
      </c>
      <c r="D6" s="149"/>
      <c r="E6" s="149"/>
      <c r="F6" s="148"/>
    </row>
    <row r="7" spans="1:8">
      <c r="A7" s="146" t="s">
        <v>115</v>
      </c>
      <c r="B7" s="147">
        <v>4411.6329999999998</v>
      </c>
      <c r="C7" s="150">
        <v>49.27</v>
      </c>
      <c r="D7" s="149"/>
      <c r="E7" s="149"/>
      <c r="F7" s="148"/>
    </row>
    <row r="8" spans="1:8">
      <c r="A8" s="146" t="s">
        <v>116</v>
      </c>
      <c r="B8" s="147">
        <v>4428.1499999999996</v>
      </c>
      <c r="C8" s="155">
        <v>50.55</v>
      </c>
      <c r="D8" s="149"/>
      <c r="E8" s="149"/>
      <c r="F8" s="148"/>
    </row>
    <row r="9" spans="1:8">
      <c r="A9" s="146" t="s">
        <v>117</v>
      </c>
      <c r="B9" s="147">
        <v>3551.07</v>
      </c>
      <c r="C9" s="155">
        <v>47.4</v>
      </c>
      <c r="D9" s="149"/>
      <c r="E9" s="149"/>
      <c r="F9" s="148"/>
    </row>
    <row r="10" spans="1:8">
      <c r="A10" s="146" t="s">
        <v>118</v>
      </c>
      <c r="B10" s="147">
        <v>4216.3019999999997</v>
      </c>
      <c r="C10" s="155">
        <v>51.04</v>
      </c>
      <c r="D10" s="149"/>
      <c r="E10" s="149"/>
      <c r="F10" s="148"/>
    </row>
    <row r="11" spans="1:8">
      <c r="A11" s="146" t="s">
        <v>34</v>
      </c>
      <c r="B11" s="147">
        <v>4464.4920000000002</v>
      </c>
      <c r="C11" s="155">
        <v>51.74</v>
      </c>
      <c r="D11" s="149"/>
      <c r="E11" s="149"/>
      <c r="F11" s="148"/>
    </row>
    <row r="12" spans="1:8">
      <c r="A12" s="146" t="s">
        <v>37</v>
      </c>
      <c r="B12" s="147">
        <v>4270.3810000000003</v>
      </c>
      <c r="C12" s="155">
        <v>49.56</v>
      </c>
      <c r="D12" s="149"/>
      <c r="E12" s="149"/>
      <c r="F12" s="148"/>
    </row>
    <row r="13" spans="1:8">
      <c r="A13" s="146" t="s">
        <v>54</v>
      </c>
      <c r="B13" s="149">
        <v>4164.6769999999997</v>
      </c>
      <c r="C13" s="155">
        <v>50.57</v>
      </c>
      <c r="E13" s="149"/>
      <c r="F13" s="148"/>
    </row>
    <row r="14" spans="1:8">
      <c r="A14" s="152" t="s">
        <v>186</v>
      </c>
      <c r="B14" s="149">
        <v>4589</v>
      </c>
      <c r="C14" s="155">
        <v>53.2</v>
      </c>
      <c r="E14" s="149"/>
      <c r="F14" s="148"/>
    </row>
    <row r="15" spans="1:8">
      <c r="A15" s="146"/>
      <c r="B15" s="149"/>
      <c r="C15" s="155"/>
    </row>
    <row r="16" spans="1:8">
      <c r="A16" s="146"/>
      <c r="B16" s="151"/>
    </row>
    <row r="17" spans="1:2">
      <c r="A17" s="146"/>
      <c r="B17" s="151"/>
    </row>
    <row r="18" spans="1:2">
      <c r="A18" s="146"/>
      <c r="B18" s="151"/>
    </row>
    <row r="19" spans="1:2">
      <c r="A19" s="146"/>
      <c r="B19" s="151"/>
    </row>
    <row r="20" spans="1:2">
      <c r="A20" s="146"/>
      <c r="B20" s="151"/>
    </row>
    <row r="21" spans="1:2">
      <c r="A21" s="146"/>
      <c r="B21" s="151"/>
    </row>
    <row r="22" spans="1:2">
      <c r="A22" s="146"/>
      <c r="B22" s="151"/>
    </row>
    <row r="23" spans="1:2">
      <c r="A23" s="146"/>
      <c r="B23" s="151"/>
    </row>
    <row r="24" spans="1:2">
      <c r="A24" s="146"/>
      <c r="B24" s="151"/>
    </row>
    <row r="25" spans="1:2">
      <c r="A25" s="146"/>
      <c r="B25" s="151"/>
    </row>
    <row r="26" spans="1:2">
      <c r="A26" s="146"/>
      <c r="B26" s="151"/>
    </row>
    <row r="27" spans="1:2">
      <c r="A27" s="152"/>
      <c r="B27" s="152"/>
    </row>
    <row r="28" spans="1:2">
      <c r="A28" s="152"/>
      <c r="B28" s="152"/>
    </row>
    <row r="29" spans="1:2">
      <c r="A29" s="152"/>
      <c r="B29" s="152"/>
    </row>
    <row r="30" spans="1:2">
      <c r="A30" s="152"/>
      <c r="B30" s="152"/>
    </row>
    <row r="31" spans="1:2">
      <c r="A31" s="152"/>
      <c r="B31" s="152"/>
    </row>
    <row r="32" spans="1:2">
      <c r="A32" s="152"/>
      <c r="B32" s="152"/>
    </row>
    <row r="33" spans="1:2">
      <c r="A33" s="152"/>
      <c r="B33" s="152"/>
    </row>
    <row r="34" spans="1:2">
      <c r="A34" s="152"/>
      <c r="B34" s="152"/>
    </row>
    <row r="35" spans="1:2">
      <c r="A35" s="152"/>
      <c r="B35" s="152"/>
    </row>
    <row r="36" spans="1:2">
      <c r="A36" s="152"/>
      <c r="B36" s="152"/>
    </row>
    <row r="37" spans="1:2">
      <c r="A37" s="152"/>
      <c r="B37" s="152"/>
    </row>
    <row r="38" spans="1:2">
      <c r="A38" s="152"/>
      <c r="B38" s="152"/>
    </row>
    <row r="39" spans="1:2">
      <c r="A39" s="152"/>
      <c r="B39" s="152"/>
    </row>
    <row r="40" spans="1:2">
      <c r="A40" s="152"/>
      <c r="B40" s="152"/>
    </row>
    <row r="41" spans="1:2">
      <c r="A41" s="152"/>
      <c r="B41" s="152"/>
    </row>
    <row r="42" spans="1:2">
      <c r="A42" s="152"/>
      <c r="B42" s="152"/>
    </row>
    <row r="43" spans="1:2">
      <c r="A43" s="152"/>
      <c r="B43" s="152"/>
    </row>
    <row r="44" spans="1:2">
      <c r="A44" s="152"/>
      <c r="B44" s="152"/>
    </row>
    <row r="45" spans="1:2">
      <c r="A45" s="152"/>
      <c r="B45" s="152"/>
    </row>
    <row r="46" spans="1:2">
      <c r="A46" s="152"/>
      <c r="B46" s="152"/>
    </row>
    <row r="47" spans="1:2">
      <c r="A47" s="152"/>
      <c r="B47" s="152"/>
    </row>
    <row r="48" spans="1:2">
      <c r="A48" s="152"/>
      <c r="B48" s="152"/>
    </row>
    <row r="49" spans="1:2">
      <c r="A49" s="152"/>
      <c r="B49" s="152"/>
    </row>
    <row r="50" spans="1:2">
      <c r="A50" s="152"/>
      <c r="B50" s="152"/>
    </row>
    <row r="51" spans="1:2">
      <c r="A51" s="152"/>
      <c r="B51" s="152"/>
    </row>
    <row r="52" spans="1:2">
      <c r="A52" s="152"/>
      <c r="B52" s="152"/>
    </row>
    <row r="53" spans="1:2">
      <c r="A53" s="152"/>
      <c r="B53" s="152"/>
    </row>
    <row r="54" spans="1:2">
      <c r="A54" s="152"/>
      <c r="B54" s="152"/>
    </row>
    <row r="55" spans="1:2">
      <c r="A55" s="152"/>
      <c r="B55" s="152"/>
    </row>
    <row r="56" spans="1:2">
      <c r="A56" s="152"/>
      <c r="B56" s="152"/>
    </row>
    <row r="57" spans="1:2">
      <c r="A57" s="152"/>
      <c r="B57" s="152"/>
    </row>
    <row r="58" spans="1:2">
      <c r="A58" s="152"/>
      <c r="B58" s="152"/>
    </row>
    <row r="59" spans="1:2">
      <c r="A59" s="152"/>
      <c r="B59" s="152"/>
    </row>
    <row r="60" spans="1:2">
      <c r="A60" s="152"/>
      <c r="B60" s="152"/>
    </row>
    <row r="61" spans="1:2">
      <c r="A61" s="152"/>
      <c r="B61" s="152"/>
    </row>
    <row r="62" spans="1:2">
      <c r="A62" s="152"/>
      <c r="B62" s="152"/>
    </row>
    <row r="63" spans="1:2">
      <c r="A63" s="152"/>
      <c r="B63" s="152"/>
    </row>
    <row r="64" spans="1:2">
      <c r="A64" s="152"/>
      <c r="B64" s="152"/>
    </row>
    <row r="65" spans="1:2">
      <c r="A65" s="152"/>
      <c r="B65" s="152"/>
    </row>
    <row r="66" spans="1:2">
      <c r="A66" s="152"/>
      <c r="B66" s="152"/>
    </row>
    <row r="67" spans="1:2">
      <c r="A67" s="152"/>
      <c r="B67" s="152"/>
    </row>
    <row r="68" spans="1:2">
      <c r="A68" s="152"/>
      <c r="B68" s="152"/>
    </row>
    <row r="69" spans="1:2">
      <c r="A69" s="152"/>
      <c r="B69" s="152"/>
    </row>
    <row r="70" spans="1:2">
      <c r="A70" s="152"/>
      <c r="B70" s="152"/>
    </row>
    <row r="71" spans="1:2">
      <c r="A71" s="152"/>
      <c r="B71" s="152"/>
    </row>
    <row r="72" spans="1:2">
      <c r="A72" s="152"/>
      <c r="B72" s="152"/>
    </row>
    <row r="73" spans="1:2">
      <c r="A73" s="152"/>
      <c r="B73" s="152"/>
    </row>
    <row r="74" spans="1:2">
      <c r="A74" s="152"/>
      <c r="B74" s="152"/>
    </row>
    <row r="75" spans="1:2">
      <c r="A75" s="152"/>
      <c r="B75" s="152"/>
    </row>
    <row r="76" spans="1:2">
      <c r="A76" s="152"/>
      <c r="B76" s="152"/>
    </row>
    <row r="77" spans="1:2">
      <c r="A77" s="152"/>
      <c r="B77" s="152"/>
    </row>
    <row r="78" spans="1:2">
      <c r="A78" s="152"/>
      <c r="B78" s="152"/>
    </row>
    <row r="79" spans="1:2">
      <c r="A79" s="152"/>
      <c r="B79" s="152"/>
    </row>
    <row r="80" spans="1:2">
      <c r="A80" s="152"/>
      <c r="B80" s="152"/>
    </row>
    <row r="81" spans="1:2">
      <c r="A81" s="152"/>
      <c r="B81" s="152"/>
    </row>
    <row r="82" spans="1:2">
      <c r="A82" s="152"/>
      <c r="B82" s="152"/>
    </row>
    <row r="83" spans="1:2">
      <c r="A83" s="152"/>
      <c r="B83" s="152"/>
    </row>
    <row r="84" spans="1:2">
      <c r="A84" s="152"/>
      <c r="B84" s="152"/>
    </row>
    <row r="85" spans="1:2">
      <c r="A85" s="152"/>
      <c r="B85" s="152"/>
    </row>
    <row r="86" spans="1:2">
      <c r="A86" s="152"/>
      <c r="B86" s="152"/>
    </row>
    <row r="87" spans="1:2">
      <c r="A87" s="152"/>
      <c r="B87" s="152"/>
    </row>
    <row r="88" spans="1:2">
      <c r="A88" s="152"/>
      <c r="B88" s="152"/>
    </row>
    <row r="89" spans="1:2">
      <c r="A89" s="152"/>
      <c r="B89" s="15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740DC-8D9F-4E2F-962F-C1C1E066F49E}">
  <dimension ref="A1:E7"/>
  <sheetViews>
    <sheetView workbookViewId="0"/>
  </sheetViews>
  <sheetFormatPr defaultRowHeight="13.2"/>
  <cols>
    <col min="1" max="1" width="15.88671875" bestFit="1" customWidth="1"/>
    <col min="4" max="4" width="18" customWidth="1"/>
  </cols>
  <sheetData>
    <row r="1" spans="1:5" ht="27.6">
      <c r="A1" s="153" t="s">
        <v>185</v>
      </c>
      <c r="B1" s="153"/>
      <c r="C1" s="153"/>
      <c r="D1" s="153"/>
      <c r="E1" s="121"/>
    </row>
    <row r="2" spans="1:5" ht="13.8">
      <c r="A2" s="153" t="s">
        <v>153</v>
      </c>
      <c r="B2" s="153" t="s">
        <v>182</v>
      </c>
      <c r="C2" s="153" t="s">
        <v>183</v>
      </c>
      <c r="D2" s="153" t="s">
        <v>184</v>
      </c>
      <c r="E2" s="121"/>
    </row>
    <row r="3" spans="1:5" ht="13.8">
      <c r="A3" s="152" t="s">
        <v>159</v>
      </c>
      <c r="B3" s="158">
        <v>15.571999999999999</v>
      </c>
      <c r="C3" s="158">
        <v>17.5</v>
      </c>
      <c r="D3" s="158">
        <v>10.327999999999999</v>
      </c>
      <c r="E3" s="154"/>
    </row>
    <row r="4" spans="1:5" ht="13.8">
      <c r="A4" s="152" t="s">
        <v>178</v>
      </c>
      <c r="B4" s="158">
        <v>16.254000000000001</v>
      </c>
      <c r="C4" s="158">
        <v>12.2</v>
      </c>
      <c r="D4" s="158">
        <v>9.3849999999999998</v>
      </c>
      <c r="E4" s="154"/>
    </row>
    <row r="5" spans="1:5" ht="13.8">
      <c r="A5" s="152" t="s">
        <v>179</v>
      </c>
      <c r="B5" s="158">
        <v>17.100000000000001</v>
      </c>
      <c r="C5" s="158">
        <v>15.5</v>
      </c>
      <c r="D5" s="158">
        <v>10</v>
      </c>
      <c r="E5" s="154"/>
    </row>
    <row r="6" spans="1:5" ht="13.8">
      <c r="A6" s="152" t="s">
        <v>180</v>
      </c>
      <c r="B6" s="158">
        <v>16.5</v>
      </c>
      <c r="C6" s="158">
        <v>14.5</v>
      </c>
      <c r="D6" s="158">
        <v>10.9</v>
      </c>
      <c r="E6" s="154"/>
    </row>
    <row r="7" spans="1:5" ht="13.8">
      <c r="A7" s="152" t="s">
        <v>181</v>
      </c>
      <c r="B7" s="158">
        <v>16</v>
      </c>
      <c r="C7" s="158">
        <v>13.5</v>
      </c>
      <c r="D7" s="158">
        <v>10.15</v>
      </c>
      <c r="E7" s="15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58"/>
  <sheetViews>
    <sheetView showGridLines="0" zoomScale="70" zoomScaleNormal="70" workbookViewId="0"/>
  </sheetViews>
  <sheetFormatPr defaultColWidth="9.109375" defaultRowHeight="13.2"/>
  <cols>
    <col min="1" max="1" width="21.5546875" customWidth="1"/>
    <col min="2" max="2" width="14.109375" customWidth="1"/>
    <col min="3" max="3" width="9.5546875" customWidth="1"/>
    <col min="4" max="4" width="26.5546875" customWidth="1"/>
    <col min="5" max="5" width="9.5546875" customWidth="1"/>
    <col min="6" max="6" width="10.5546875" customWidth="1"/>
    <col min="7" max="7" width="19.88671875" customWidth="1"/>
    <col min="8" max="8" width="18.88671875" customWidth="1"/>
    <col min="9" max="9" width="1.5546875" customWidth="1"/>
    <col min="10" max="10" width="14.5546875" customWidth="1"/>
    <col min="11" max="12" width="10.5546875" customWidth="1"/>
    <col min="13" max="13" width="10.44140625" customWidth="1"/>
    <col min="14" max="14" width="9.5546875" customWidth="1"/>
    <col min="17" max="17" width="15.44140625" bestFit="1" customWidth="1"/>
    <col min="18" max="18" width="13.44140625" bestFit="1" customWidth="1"/>
    <col min="22" max="22" width="12.109375" customWidth="1"/>
    <col min="24" max="24" width="10.44140625" bestFit="1" customWidth="1"/>
  </cols>
  <sheetData>
    <row r="1" spans="1:23" ht="13.8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3" ht="13.8">
      <c r="A2" s="15"/>
      <c r="B2" s="16" t="s">
        <v>13</v>
      </c>
      <c r="C2" s="117"/>
      <c r="D2" s="17" t="s">
        <v>14</v>
      </c>
      <c r="E2" s="18"/>
      <c r="F2" s="117" t="s">
        <v>15</v>
      </c>
      <c r="G2" s="117"/>
      <c r="H2" s="117"/>
      <c r="I2" s="15"/>
      <c r="J2" s="18"/>
      <c r="K2" s="117"/>
      <c r="L2" s="19" t="s">
        <v>16</v>
      </c>
      <c r="M2" s="117"/>
      <c r="N2" s="15"/>
    </row>
    <row r="3" spans="1:23" ht="13.8">
      <c r="A3" s="15" t="s">
        <v>17</v>
      </c>
      <c r="B3" s="17" t="s">
        <v>18</v>
      </c>
      <c r="C3" s="15" t="s">
        <v>19</v>
      </c>
      <c r="D3" s="17"/>
      <c r="E3" s="20" t="s">
        <v>20</v>
      </c>
      <c r="F3" s="20"/>
      <c r="G3" s="20"/>
      <c r="H3" s="20"/>
      <c r="I3" s="20"/>
      <c r="J3" s="17" t="s">
        <v>21</v>
      </c>
      <c r="K3" s="20" t="s">
        <v>22</v>
      </c>
      <c r="L3" s="20"/>
      <c r="M3" s="20"/>
      <c r="N3" s="20" t="s">
        <v>23</v>
      </c>
    </row>
    <row r="4" spans="1:23" ht="13.8">
      <c r="A4" s="21" t="s">
        <v>24</v>
      </c>
      <c r="B4" s="22"/>
      <c r="C4" s="22"/>
      <c r="D4" s="22"/>
      <c r="E4" s="23" t="s">
        <v>25</v>
      </c>
      <c r="F4" s="23" t="s">
        <v>26</v>
      </c>
      <c r="G4" s="24" t="s">
        <v>27</v>
      </c>
      <c r="H4" s="25" t="s">
        <v>28</v>
      </c>
      <c r="I4" s="24"/>
      <c r="J4" s="24"/>
      <c r="K4" s="24" t="s">
        <v>29</v>
      </c>
      <c r="L4" s="25" t="s">
        <v>30</v>
      </c>
      <c r="M4" s="23" t="s">
        <v>28</v>
      </c>
      <c r="N4" s="24" t="s">
        <v>25</v>
      </c>
      <c r="W4" s="26"/>
    </row>
    <row r="5" spans="1:23" ht="14.4">
      <c r="A5" s="15"/>
      <c r="B5" s="119" t="s">
        <v>31</v>
      </c>
      <c r="C5" s="118"/>
      <c r="D5" s="27" t="s">
        <v>32</v>
      </c>
      <c r="G5" s="119"/>
      <c r="I5" s="119"/>
      <c r="J5" s="119" t="s">
        <v>33</v>
      </c>
      <c r="K5" s="119"/>
      <c r="L5" s="119"/>
      <c r="M5" s="119"/>
      <c r="N5" s="119"/>
      <c r="W5" s="26"/>
    </row>
    <row r="6" spans="1:23" ht="16.5" customHeight="1">
      <c r="A6" s="15" t="s">
        <v>37</v>
      </c>
      <c r="B6" s="125">
        <v>87.45</v>
      </c>
      <c r="C6" s="125">
        <v>86.174000000000007</v>
      </c>
      <c r="D6" s="125">
        <f>F6/C6</f>
        <v>49.555329913895143</v>
      </c>
      <c r="E6" s="126">
        <v>274.39400000000001</v>
      </c>
      <c r="F6" s="127">
        <v>4270.3810000000003</v>
      </c>
      <c r="G6" s="128">
        <f>G27</f>
        <v>24.510413516181998</v>
      </c>
      <c r="H6" s="128">
        <f>SUM(E6:G6)</f>
        <v>4569.2854135161824</v>
      </c>
      <c r="I6" s="15"/>
      <c r="J6" s="127">
        <f>J27</f>
        <v>2211.9384453555185</v>
      </c>
      <c r="K6" s="127">
        <f>M6-L6-J6</f>
        <v>113.61885067909361</v>
      </c>
      <c r="L6" s="128">
        <f>L27</f>
        <v>1979.5441174815701</v>
      </c>
      <c r="M6" s="128">
        <f>H6-N6</f>
        <v>4305.1014135161822</v>
      </c>
      <c r="N6" s="128">
        <v>264.18400000000003</v>
      </c>
    </row>
    <row r="7" spans="1:23" ht="16.5" customHeight="1">
      <c r="A7" s="15" t="s">
        <v>155</v>
      </c>
      <c r="B7" s="125">
        <v>83.6</v>
      </c>
      <c r="C7" s="125">
        <v>82.355999999999995</v>
      </c>
      <c r="D7" s="125">
        <f>F7/C7</f>
        <v>50.569199572587301</v>
      </c>
      <c r="E7" s="126">
        <f>N6</f>
        <v>264.18400000000003</v>
      </c>
      <c r="F7" s="127">
        <v>4164.6769999999997</v>
      </c>
      <c r="G7" s="128">
        <v>20</v>
      </c>
      <c r="H7" s="128">
        <f>SUM(E7:G7)</f>
        <v>4448.8609999999999</v>
      </c>
      <c r="I7" s="15"/>
      <c r="J7" s="127">
        <v>2290</v>
      </c>
      <c r="K7" s="156">
        <v>113.79</v>
      </c>
      <c r="L7" s="128">
        <v>1700</v>
      </c>
      <c r="M7" s="128">
        <f>SUM(J7:L7)</f>
        <v>4103.79</v>
      </c>
      <c r="N7" s="128">
        <f>H7-M7</f>
        <v>345.07099999999991</v>
      </c>
      <c r="P7" s="157"/>
    </row>
    <row r="8" spans="1:23" ht="16.5" customHeight="1">
      <c r="A8" s="15" t="s">
        <v>156</v>
      </c>
      <c r="B8" s="125">
        <v>87.1</v>
      </c>
      <c r="C8" s="125">
        <v>86.271000000000001</v>
      </c>
      <c r="D8" s="125">
        <f>F8/C8</f>
        <v>53.195048162186595</v>
      </c>
      <c r="E8" s="126">
        <f>N7</f>
        <v>345.07099999999991</v>
      </c>
      <c r="F8" s="127">
        <v>4589.1899999999996</v>
      </c>
      <c r="G8" s="128">
        <v>15</v>
      </c>
      <c r="H8" s="128">
        <f>SUM(E8:G8)</f>
        <v>4949.2609999999995</v>
      </c>
      <c r="I8" s="15"/>
      <c r="J8" s="127">
        <v>2425</v>
      </c>
      <c r="K8" s="156">
        <v>114.08</v>
      </c>
      <c r="L8" s="128">
        <v>1850</v>
      </c>
      <c r="M8" s="128">
        <f>SUM(J8:L8)</f>
        <v>4389.08</v>
      </c>
      <c r="N8" s="128">
        <f>H8-M8</f>
        <v>560.18099999999959</v>
      </c>
      <c r="P8" s="157"/>
      <c r="Q8" s="157"/>
    </row>
    <row r="9" spans="1:23" ht="16.5" customHeight="1">
      <c r="A9" s="15"/>
      <c r="B9" s="15"/>
      <c r="C9" s="15"/>
      <c r="D9" s="15"/>
      <c r="E9" s="28"/>
      <c r="F9" s="28"/>
      <c r="G9" s="29"/>
      <c r="H9" s="28"/>
      <c r="I9" s="28"/>
      <c r="J9" s="29"/>
      <c r="K9" s="29"/>
      <c r="L9" s="29"/>
      <c r="M9" s="29"/>
      <c r="N9" s="29"/>
    </row>
    <row r="10" spans="1:23" ht="16.5" customHeight="1">
      <c r="A10" s="30" t="s">
        <v>37</v>
      </c>
      <c r="B10" s="83"/>
      <c r="C10" s="83"/>
      <c r="D10" s="83"/>
      <c r="E10" s="32"/>
      <c r="F10" s="32"/>
      <c r="G10" s="6"/>
      <c r="H10" s="13"/>
      <c r="I10" s="83"/>
      <c r="J10" s="13"/>
      <c r="K10" s="31"/>
      <c r="L10" s="6"/>
      <c r="M10" s="6"/>
      <c r="N10" s="13"/>
      <c r="R10" s="123"/>
      <c r="S10" s="124"/>
    </row>
    <row r="11" spans="1:23" ht="16.5" customHeight="1">
      <c r="A11" s="15" t="s">
        <v>38</v>
      </c>
      <c r="B11" s="83"/>
      <c r="C11" s="83"/>
      <c r="D11" s="83"/>
      <c r="E11" s="32"/>
      <c r="F11" s="32"/>
      <c r="G11" s="6">
        <f>(31758.1*36.74371)/1000000</f>
        <v>1.166910416551</v>
      </c>
      <c r="H11" s="13"/>
      <c r="I11" s="83"/>
      <c r="J11" s="6">
        <f>((5028287*0.907185)*36.74371)/1000000</f>
        <v>167.60961304264146</v>
      </c>
      <c r="K11" s="31"/>
      <c r="L11" s="6">
        <f>(2077837.3*36.74371)/1000000</f>
        <v>76.347451178383011</v>
      </c>
      <c r="M11" s="6"/>
      <c r="N11" s="13"/>
      <c r="Q11" s="86"/>
      <c r="R11" s="123"/>
      <c r="S11" s="124"/>
    </row>
    <row r="12" spans="1:23" ht="16.5" customHeight="1">
      <c r="A12" s="15" t="s">
        <v>39</v>
      </c>
      <c r="B12" s="83"/>
      <c r="C12" s="83"/>
      <c r="D12" s="83"/>
      <c r="E12" s="32"/>
      <c r="F12" s="32"/>
      <c r="G12" s="6">
        <f>(33827.2*36.74371)/1000000</f>
        <v>1.2429368269119998</v>
      </c>
      <c r="H12" s="13"/>
      <c r="I12" s="83"/>
      <c r="J12" s="6">
        <f>((5899694*0.907185)*36.74371)/1000000</f>
        <v>196.65652107964277</v>
      </c>
      <c r="K12" s="31"/>
      <c r="L12" s="6">
        <f>(9946822.5*36.74371)/1000000</f>
        <v>365.48316136147497</v>
      </c>
      <c r="M12" s="6"/>
      <c r="N12" s="13"/>
      <c r="Q12" s="86"/>
      <c r="R12" s="123"/>
      <c r="S12" s="124"/>
    </row>
    <row r="13" spans="1:23" ht="16.5" customHeight="1">
      <c r="A13" s="15" t="s">
        <v>40</v>
      </c>
      <c r="B13" s="83"/>
      <c r="C13" s="83"/>
      <c r="D13" s="83"/>
      <c r="E13" s="32"/>
      <c r="F13" s="32"/>
      <c r="G13" s="6">
        <f>(35058.7*36.74371)/1000000</f>
        <v>1.288186705777</v>
      </c>
      <c r="H13" s="13"/>
      <c r="I13" s="83"/>
      <c r="J13" s="6">
        <f>((5687098*0.907185)*36.74371)/1000000</f>
        <v>189.56998578553299</v>
      </c>
      <c r="K13" s="31"/>
      <c r="L13" s="6">
        <f>(9755010.4*36.74371)/1000000</f>
        <v>358.43527318458405</v>
      </c>
      <c r="M13" s="6"/>
      <c r="N13" s="13"/>
      <c r="Q13" s="86"/>
      <c r="R13" s="123"/>
      <c r="S13" s="123"/>
    </row>
    <row r="14" spans="1:23" ht="16.5" customHeight="1">
      <c r="A14" s="15" t="s">
        <v>41</v>
      </c>
      <c r="B14" s="83"/>
      <c r="C14" s="83"/>
      <c r="D14" s="83"/>
      <c r="E14" s="32">
        <f>E6</f>
        <v>274.39400000000001</v>
      </c>
      <c r="F14" s="32">
        <v>4270.3810000000003</v>
      </c>
      <c r="G14" s="6">
        <f>SUM(G11:G13)</f>
        <v>3.6980339492400001</v>
      </c>
      <c r="H14" s="13">
        <f>SUM(E14:G14)</f>
        <v>4548.4730339492407</v>
      </c>
      <c r="I14" s="83"/>
      <c r="J14" s="6">
        <f>SUM(J11:J13)</f>
        <v>553.83611990781719</v>
      </c>
      <c r="K14" s="31">
        <f>M14-L14-J14</f>
        <v>173.21902831698151</v>
      </c>
      <c r="L14" s="6">
        <f>SUM(L11:L13)</f>
        <v>800.265885724442</v>
      </c>
      <c r="M14" s="6">
        <f>H14-N14</f>
        <v>1527.3210339492407</v>
      </c>
      <c r="N14" s="13">
        <f>3021.152</f>
        <v>3021.152</v>
      </c>
      <c r="R14" s="123"/>
      <c r="S14" s="123"/>
    </row>
    <row r="15" spans="1:23" ht="16.5" customHeight="1">
      <c r="A15" s="15" t="s">
        <v>42</v>
      </c>
      <c r="B15" s="83"/>
      <c r="C15" s="83"/>
      <c r="D15" s="83"/>
      <c r="E15" s="32"/>
      <c r="F15" s="88"/>
      <c r="G15" s="6">
        <f>(36010.8*36.74371)/1000000</f>
        <v>1.323170392068</v>
      </c>
      <c r="H15" s="13"/>
      <c r="I15" s="83"/>
      <c r="J15" s="6">
        <f>((5622561*0.907185)*36.74371)/1000000</f>
        <v>187.41875185697378</v>
      </c>
      <c r="K15" s="31"/>
      <c r="L15" s="6">
        <f>(7967680.1*36.74371)/1000000</f>
        <v>292.76212696717101</v>
      </c>
      <c r="M15" s="6"/>
      <c r="N15" s="13"/>
      <c r="R15" s="123"/>
      <c r="S15" s="123"/>
    </row>
    <row r="16" spans="1:23" ht="16.5" customHeight="1">
      <c r="A16" s="15" t="s">
        <v>43</v>
      </c>
      <c r="B16" s="83"/>
      <c r="C16" s="83"/>
      <c r="D16" s="83"/>
      <c r="E16" s="32"/>
      <c r="F16" s="88"/>
      <c r="G16" s="6">
        <f>(5893*36.74371)/1000000</f>
        <v>0.21653068303</v>
      </c>
      <c r="H16" s="13"/>
      <c r="I16" s="83"/>
      <c r="J16" s="6">
        <f>((5734398*0.907185)*36.74371)/1000000</f>
        <v>191.14665288844833</v>
      </c>
      <c r="K16" s="31"/>
      <c r="L16" s="6">
        <f>(8247678.8*36.74371)/1000000</f>
        <v>303.050318000348</v>
      </c>
      <c r="M16" s="6"/>
      <c r="N16" s="13"/>
      <c r="R16" s="123"/>
      <c r="S16" s="123"/>
    </row>
    <row r="17" spans="1:24" ht="16.5" customHeight="1">
      <c r="A17" s="15" t="s">
        <v>44</v>
      </c>
      <c r="B17" s="83"/>
      <c r="C17" s="83"/>
      <c r="D17" s="83"/>
      <c r="E17" s="32"/>
      <c r="F17" s="88"/>
      <c r="G17" s="6">
        <f>(27761.8*36.7371)/1000000</f>
        <v>1.0198880227799998</v>
      </c>
      <c r="H17" s="13"/>
      <c r="I17" s="83"/>
      <c r="J17" s="6">
        <f>((5306995*0.907185)*36.74371)/1000000</f>
        <v>176.89988227983665</v>
      </c>
      <c r="K17" s="31"/>
      <c r="L17" s="6">
        <f>(5470551.7*36.74371)/1000000</f>
        <v>201.00836520480701</v>
      </c>
      <c r="M17" s="6"/>
      <c r="N17" s="13"/>
      <c r="Q17" s="86"/>
      <c r="R17" s="123"/>
      <c r="S17" s="123"/>
    </row>
    <row r="18" spans="1:24" ht="16.5" customHeight="1">
      <c r="A18" s="15" t="s">
        <v>45</v>
      </c>
      <c r="B18" s="83"/>
      <c r="C18" s="83"/>
      <c r="D18" s="83"/>
      <c r="E18" s="32">
        <f>N14</f>
        <v>3021.152</v>
      </c>
      <c r="F18" s="88"/>
      <c r="G18" s="6">
        <f>SUM(G15:G17)</f>
        <v>2.5595890978779998</v>
      </c>
      <c r="H18" s="13">
        <f>SUM(E18:G18)</f>
        <v>3023.711589097878</v>
      </c>
      <c r="I18" s="83"/>
      <c r="J18" s="6">
        <f>SUM(J15:J17)</f>
        <v>555.46528702525882</v>
      </c>
      <c r="K18" s="31">
        <f>M18-L18-J18</f>
        <v>-15.206508099706866</v>
      </c>
      <c r="L18" s="6">
        <f>SUM(L15:L17)</f>
        <v>796.82081017232599</v>
      </c>
      <c r="M18" s="6">
        <f>H18-N18</f>
        <v>1337.0795890978779</v>
      </c>
      <c r="N18" s="13">
        <f>1686.632</f>
        <v>1686.6320000000001</v>
      </c>
      <c r="P18" s="34"/>
      <c r="R18" s="123"/>
      <c r="S18" s="123"/>
    </row>
    <row r="19" spans="1:24" ht="16.5" customHeight="1">
      <c r="A19" s="15" t="s">
        <v>46</v>
      </c>
      <c r="B19" s="83"/>
      <c r="C19" s="83"/>
      <c r="D19" s="83"/>
      <c r="E19" s="32"/>
      <c r="F19" s="88"/>
      <c r="G19" s="6">
        <f>(34750.8*36.74371)/1000000</f>
        <v>1.276873317468</v>
      </c>
      <c r="H19" s="13"/>
      <c r="I19" s="83"/>
      <c r="J19" s="6">
        <f>((5939012*0.907185)*36.74371)/1000000</f>
        <v>197.96712144227334</v>
      </c>
      <c r="K19" s="31"/>
      <c r="L19" s="6">
        <f>(3094585.1*36.74371)/1000000</f>
        <v>113.70653748472101</v>
      </c>
      <c r="M19" s="6"/>
      <c r="N19" s="13"/>
      <c r="Q19" s="86"/>
      <c r="R19" s="123"/>
      <c r="S19" s="123"/>
    </row>
    <row r="20" spans="1:24" ht="16.5" customHeight="1">
      <c r="A20" s="15" t="s">
        <v>47</v>
      </c>
      <c r="B20" s="83"/>
      <c r="C20" s="83"/>
      <c r="D20" s="83"/>
      <c r="E20" s="32"/>
      <c r="F20" s="88"/>
      <c r="G20" s="6">
        <f>(8469.7*36.74371)/1000000</f>
        <v>0.31120820058699999</v>
      </c>
      <c r="H20" s="13"/>
      <c r="I20" s="83"/>
      <c r="J20" s="6">
        <f>((5609607*0.907185)*36.74371)/1000000</f>
        <v>186.98695173749888</v>
      </c>
      <c r="K20" s="31"/>
      <c r="L20" s="6">
        <f>(2512608.1*36.74371)/1000000</f>
        <v>92.322543370050994</v>
      </c>
      <c r="M20" s="6"/>
      <c r="N20" s="13"/>
      <c r="R20" s="123"/>
      <c r="S20" s="123"/>
    </row>
    <row r="21" spans="1:24" ht="16.5" customHeight="1">
      <c r="A21" s="15" t="s">
        <v>48</v>
      </c>
      <c r="B21" s="83"/>
      <c r="C21" s="83"/>
      <c r="D21" s="83"/>
      <c r="E21" s="32"/>
      <c r="F21" s="88"/>
      <c r="G21" s="6">
        <f>(127008.2*36.74371)/1000000</f>
        <v>4.6667524684220005</v>
      </c>
      <c r="H21" s="13"/>
      <c r="I21" s="83"/>
      <c r="J21" s="6">
        <f>((5679096*0.907185)*36.74371)/1000000</f>
        <v>189.30325237839708</v>
      </c>
      <c r="K21" s="31"/>
      <c r="L21" s="6">
        <f>(996214.9*36.74371)/1000000</f>
        <v>36.604631383279006</v>
      </c>
      <c r="M21" s="6"/>
      <c r="N21" s="13"/>
      <c r="P21" s="83"/>
      <c r="Q21" s="86"/>
      <c r="R21" s="123"/>
      <c r="S21" s="123"/>
    </row>
    <row r="22" spans="1:24" ht="16.5" customHeight="1">
      <c r="A22" s="15" t="s">
        <v>49</v>
      </c>
      <c r="B22" s="83"/>
      <c r="C22" s="83"/>
      <c r="D22" s="83"/>
      <c r="E22" s="32">
        <f>N18</f>
        <v>1686.6320000000001</v>
      </c>
      <c r="F22" s="88"/>
      <c r="G22" s="6">
        <f>SUM(G19:G21)</f>
        <v>6.2548339864770011</v>
      </c>
      <c r="H22" s="13">
        <f>SUM(E22:G22)</f>
        <v>1692.8868339864771</v>
      </c>
      <c r="I22" s="83"/>
      <c r="J22" s="6">
        <f>SUM(J19:J21)</f>
        <v>574.25732555816921</v>
      </c>
      <c r="K22" s="31">
        <f>M22-L22-J22</f>
        <v>79.607796190256749</v>
      </c>
      <c r="L22" s="6">
        <f>SUM(L19:L21)</f>
        <v>242.63371223805103</v>
      </c>
      <c r="M22" s="6">
        <f>H22-N22</f>
        <v>896.49883398647705</v>
      </c>
      <c r="N22" s="13">
        <v>796.38800000000003</v>
      </c>
      <c r="P22" s="83"/>
    </row>
    <row r="23" spans="1:24" ht="16.5" customHeight="1">
      <c r="A23" s="15" t="s">
        <v>50</v>
      </c>
      <c r="B23" s="83"/>
      <c r="C23" s="83"/>
      <c r="D23" s="83"/>
      <c r="E23" s="32"/>
      <c r="F23" s="88"/>
      <c r="G23" s="6">
        <f>(166684.6*36.744)/1000000</f>
        <v>6.1246589424</v>
      </c>
      <c r="H23" s="13"/>
      <c r="I23" s="83"/>
      <c r="J23" s="6">
        <f>((5236516*0.907185)*36.74371)/1000000</f>
        <v>174.55058162980768</v>
      </c>
      <c r="K23" s="31"/>
      <c r="L23" s="6">
        <f>(823622.5*36.74371)/1000000</f>
        <v>30.262946289475</v>
      </c>
      <c r="M23" s="6"/>
      <c r="N23" s="13"/>
    </row>
    <row r="24" spans="1:24" ht="16.5" customHeight="1">
      <c r="A24" s="15" t="s">
        <v>51</v>
      </c>
      <c r="B24" s="83"/>
      <c r="C24" s="83"/>
      <c r="D24" s="83"/>
      <c r="E24" s="32"/>
      <c r="F24" s="88"/>
      <c r="G24" s="6">
        <f>(114331.7*36.74371)/1000000</f>
        <v>4.2009708286069998</v>
      </c>
      <c r="H24" s="13"/>
      <c r="I24" s="83"/>
      <c r="J24" s="6">
        <f>((5545001*0.907185)*36.74371)/1000000</f>
        <v>184.83341780830332</v>
      </c>
      <c r="K24" s="31"/>
      <c r="L24" s="6">
        <f>(1276967.3*36.74371)/1000000</f>
        <v>46.920516150683</v>
      </c>
      <c r="M24" s="6"/>
      <c r="N24" s="13"/>
      <c r="Q24" s="86"/>
    </row>
    <row r="25" spans="1:24" ht="16.5" customHeight="1">
      <c r="A25" s="15" t="s">
        <v>52</v>
      </c>
      <c r="B25" s="83"/>
      <c r="C25" s="83"/>
      <c r="D25" s="83"/>
      <c r="E25" s="32"/>
      <c r="F25" s="88"/>
      <c r="G25" s="6">
        <f>(45509.7*36.74371)/1000000</f>
        <v>1.672195218987</v>
      </c>
      <c r="H25" s="13"/>
      <c r="I25" s="83"/>
      <c r="J25" s="6">
        <f>((5069870*0.907185)*36.74371)/1000000</f>
        <v>168.99571342616218</v>
      </c>
      <c r="K25" s="31"/>
      <c r="L25" s="6">
        <f>(1704788.5*36.74371)/1000000</f>
        <v>62.640254255335002</v>
      </c>
      <c r="M25" s="6"/>
      <c r="N25" s="13"/>
    </row>
    <row r="26" spans="1:24" ht="16.5" customHeight="1">
      <c r="A26" s="15" t="s">
        <v>53</v>
      </c>
      <c r="B26" s="83"/>
      <c r="C26" s="83"/>
      <c r="D26" s="83"/>
      <c r="E26" s="32">
        <f>N22</f>
        <v>796.38800000000003</v>
      </c>
      <c r="F26" s="88"/>
      <c r="G26" s="6">
        <f>SUM(G23:G25)</f>
        <v>11.997824989993999</v>
      </c>
      <c r="H26" s="13">
        <f>SUM(E26:G26)</f>
        <v>808.38582498999403</v>
      </c>
      <c r="I26" s="83"/>
      <c r="J26" s="6">
        <f>SUM(J23:J25)</f>
        <v>528.37971286427319</v>
      </c>
      <c r="K26" s="31">
        <f>M26-J26-L26</f>
        <v>-124.00160456977213</v>
      </c>
      <c r="L26" s="6">
        <f>SUM(L23:L25)</f>
        <v>139.823716695493</v>
      </c>
      <c r="M26" s="6">
        <f>H26-N26</f>
        <v>544.20182498999407</v>
      </c>
      <c r="N26" s="101">
        <v>264.18400000000003</v>
      </c>
    </row>
    <row r="27" spans="1:24" ht="16.5" customHeight="1">
      <c r="A27" s="15" t="s">
        <v>28</v>
      </c>
      <c r="B27" s="83"/>
      <c r="C27" s="83"/>
      <c r="D27" s="83"/>
      <c r="E27" s="32"/>
      <c r="F27" s="88"/>
      <c r="G27" s="104">
        <f>(667064.2*36.74371)/1000000</f>
        <v>24.510413516181998</v>
      </c>
      <c r="H27" s="94"/>
      <c r="I27" s="95"/>
      <c r="J27" s="6">
        <f>SUM(J14,J18,J22,J26)</f>
        <v>2211.9384453555185</v>
      </c>
      <c r="K27" s="96"/>
      <c r="L27" s="6">
        <f>(53874367*36.74371)/1000000</f>
        <v>1979.5441174815701</v>
      </c>
      <c r="M27" s="6"/>
      <c r="N27" s="13"/>
      <c r="Q27" s="86"/>
    </row>
    <row r="28" spans="1:24" ht="16.5" customHeight="1">
      <c r="A28" s="15"/>
      <c r="B28" s="83"/>
      <c r="C28" s="83"/>
      <c r="D28" s="83"/>
      <c r="E28" s="32"/>
      <c r="F28" s="32"/>
      <c r="G28" s="6"/>
      <c r="H28" s="13"/>
      <c r="I28" s="83"/>
      <c r="J28" s="13"/>
      <c r="K28" s="31"/>
      <c r="L28" s="6"/>
      <c r="M28" s="6"/>
      <c r="N28" s="13"/>
      <c r="R28" s="83"/>
    </row>
    <row r="29" spans="1:24" ht="16.5" customHeight="1">
      <c r="A29" s="30" t="s">
        <v>54</v>
      </c>
      <c r="B29" s="83"/>
      <c r="C29" s="83"/>
      <c r="D29" s="83"/>
      <c r="E29" s="32"/>
      <c r="F29" s="32"/>
      <c r="G29" s="6"/>
      <c r="H29" s="13"/>
      <c r="I29" s="83"/>
      <c r="J29" s="13"/>
      <c r="K29" s="31"/>
      <c r="L29" s="6"/>
      <c r="M29" s="6"/>
      <c r="N29" s="13"/>
      <c r="Q29" s="83"/>
      <c r="V29" s="98"/>
      <c r="X29" s="99"/>
    </row>
    <row r="30" spans="1:24" ht="16.5" customHeight="1">
      <c r="A30" s="15" t="s">
        <v>38</v>
      </c>
      <c r="B30" s="83"/>
      <c r="C30" s="83"/>
      <c r="D30" s="83"/>
      <c r="E30" s="32"/>
      <c r="F30" s="32"/>
      <c r="G30" s="6">
        <f>(37479.5*36.74371)/1000000</f>
        <v>1.3771358789450001</v>
      </c>
      <c r="H30" s="13"/>
      <c r="I30" s="83"/>
      <c r="J30" s="6">
        <f>((5242931*0.907185)*36.74371)/1000000</f>
        <v>174.76441502230665</v>
      </c>
      <c r="K30" s="31"/>
      <c r="L30" s="6">
        <f>(2498517*36.74371)/1000000</f>
        <v>91.80478407807</v>
      </c>
      <c r="M30" s="6"/>
      <c r="N30" s="13"/>
      <c r="T30" s="97"/>
    </row>
    <row r="31" spans="1:24" ht="16.5" customHeight="1">
      <c r="A31" s="15" t="s">
        <v>39</v>
      </c>
      <c r="B31" s="83"/>
      <c r="C31" s="83"/>
      <c r="D31" s="83"/>
      <c r="E31" s="32"/>
      <c r="F31" s="32"/>
      <c r="G31" s="6">
        <f>(19292.3*36.74371)/1000000</f>
        <v>0.70887067643300006</v>
      </c>
      <c r="H31" s="13"/>
      <c r="I31" s="83"/>
      <c r="J31" s="6">
        <f>((6041685*0.907185)*36.74371)/1000000</f>
        <v>201.38955572256145</v>
      </c>
      <c r="K31" s="31"/>
      <c r="L31" s="6">
        <f>(9422340.2*36.74371)/1000000</f>
        <v>346.21173583014195</v>
      </c>
      <c r="M31" s="6"/>
      <c r="N31" s="13"/>
      <c r="T31" s="97"/>
    </row>
    <row r="32" spans="1:24" ht="16.5" customHeight="1">
      <c r="A32" s="15" t="s">
        <v>40</v>
      </c>
      <c r="B32" s="83"/>
      <c r="C32" s="83"/>
      <c r="D32" s="83"/>
      <c r="E32" s="32"/>
      <c r="F32" s="32"/>
      <c r="G32" s="6">
        <f>(46381*36.74371)/1000000</f>
        <v>1.70421001351</v>
      </c>
      <c r="H32" s="13"/>
      <c r="I32" s="83"/>
      <c r="J32" s="6">
        <f>((6002708*0.907185)*36.74371)/1000000</f>
        <v>200.09032202974259</v>
      </c>
      <c r="K32" s="31"/>
      <c r="L32" s="6">
        <f>(7462119.8*36.74371)/1000000</f>
        <v>274.18596591645803</v>
      </c>
      <c r="M32" s="6"/>
      <c r="N32" s="109"/>
      <c r="T32" s="97"/>
    </row>
    <row r="33" spans="1:20" ht="16.5" customHeight="1">
      <c r="A33" s="15" t="s">
        <v>41</v>
      </c>
      <c r="B33" s="83"/>
      <c r="C33" s="83"/>
      <c r="D33" s="83"/>
      <c r="E33" s="32">
        <f>N26</f>
        <v>264.18400000000003</v>
      </c>
      <c r="F33" s="32">
        <v>4164.6769999999997</v>
      </c>
      <c r="G33" s="6">
        <f>SUM(G30:G32)</f>
        <v>3.7902165688880003</v>
      </c>
      <c r="H33" s="13">
        <f>SUM(E33:G33)</f>
        <v>4432.6512165688882</v>
      </c>
      <c r="I33" s="83"/>
      <c r="J33" s="6">
        <f>SUM(J30:J32)</f>
        <v>576.2442927746107</v>
      </c>
      <c r="K33" s="31">
        <f>M33-L33-J33</f>
        <v>143.48543796960746</v>
      </c>
      <c r="L33" s="6">
        <f>SUM(L30:L32)</f>
        <v>712.20248582467002</v>
      </c>
      <c r="M33" s="6">
        <f>H33-N33</f>
        <v>1431.9322165688882</v>
      </c>
      <c r="N33" s="110">
        <v>3000.7190000000001</v>
      </c>
      <c r="T33" s="97"/>
    </row>
    <row r="34" spans="1:20" ht="16.5" customHeight="1">
      <c r="A34" s="15" t="s">
        <v>42</v>
      </c>
      <c r="B34" s="83"/>
      <c r="C34" s="83"/>
      <c r="D34" s="83"/>
      <c r="E34" s="32"/>
      <c r="F34" s="32"/>
      <c r="G34" s="6">
        <f>(18649.8*36.74371)/1000000</f>
        <v>0.68526284275799998</v>
      </c>
      <c r="H34" s="13"/>
      <c r="I34" s="83"/>
      <c r="J34" s="6">
        <f>((6128558*0.907185)*36.74371)/1000000</f>
        <v>204.28532319045925</v>
      </c>
      <c r="K34" s="31"/>
      <c r="L34" s="6">
        <f>(4738450.9*36.74371)/1000000</f>
        <v>174.10826571883902</v>
      </c>
      <c r="M34" s="6"/>
      <c r="N34" s="110"/>
      <c r="T34" s="97"/>
    </row>
    <row r="35" spans="1:20" ht="16.5" customHeight="1">
      <c r="A35" s="15" t="s">
        <v>43</v>
      </c>
      <c r="B35" s="83"/>
      <c r="C35" s="83"/>
      <c r="D35" s="83"/>
      <c r="E35" s="32"/>
      <c r="F35" s="32"/>
      <c r="G35" s="6">
        <f>(25838.2*36.74371)/1000000</f>
        <v>0.94939132772200008</v>
      </c>
      <c r="H35" s="13"/>
      <c r="I35" s="83"/>
      <c r="J35" s="6">
        <f>((5844947*0.907185)*36.74371)/1000000</f>
        <v>194.83162057471029</v>
      </c>
      <c r="K35" s="31"/>
      <c r="L35" s="6">
        <f>(5961252*36.74371)/1000000</f>
        <v>219.03851472491999</v>
      </c>
      <c r="M35" s="6"/>
      <c r="N35" s="110"/>
      <c r="T35" s="97"/>
    </row>
    <row r="36" spans="1:20" ht="16.5" customHeight="1">
      <c r="A36" s="15" t="s">
        <v>44</v>
      </c>
      <c r="B36" s="83"/>
      <c r="C36" s="83"/>
      <c r="D36" s="83"/>
      <c r="E36" s="32"/>
      <c r="F36" s="32"/>
      <c r="G36" s="6">
        <f>(24300.7*36.74371)/1000000</f>
        <v>0.89289787359700001</v>
      </c>
      <c r="H36" s="13"/>
      <c r="I36" s="83"/>
      <c r="J36" s="6">
        <f>((5817974*0.907185)*36.74371)/1000000</f>
        <v>193.93252032593784</v>
      </c>
      <c r="K36" s="31"/>
      <c r="L36" s="6">
        <f>(5263949.5*36.74371)/1000000</f>
        <v>193.417033882645</v>
      </c>
      <c r="M36" s="6"/>
      <c r="N36" s="110"/>
      <c r="T36" s="97"/>
    </row>
    <row r="37" spans="1:20" ht="16.5" customHeight="1">
      <c r="A37" s="15" t="s">
        <v>45</v>
      </c>
      <c r="B37" s="83"/>
      <c r="C37" s="83"/>
      <c r="D37" s="83"/>
      <c r="E37" s="32">
        <f>N33</f>
        <v>3000.7190000000001</v>
      </c>
      <c r="F37" s="32"/>
      <c r="G37" s="6">
        <f>SUM(G34:G36)</f>
        <v>2.5275520440770003</v>
      </c>
      <c r="H37" s="13">
        <f>SUM(E37:G37)</f>
        <v>3003.2465520440769</v>
      </c>
      <c r="I37" s="83"/>
      <c r="J37" s="6">
        <f>SUM(J34:J36)</f>
        <v>593.04946409110744</v>
      </c>
      <c r="K37" s="31">
        <f>M37-L37-J37</f>
        <v>-21.445726373434468</v>
      </c>
      <c r="L37" s="6">
        <f>SUM(L34:L36)</f>
        <v>586.56381432640399</v>
      </c>
      <c r="M37" s="6">
        <f>H37-N37</f>
        <v>1158.167552044077</v>
      </c>
      <c r="N37" s="110">
        <v>1845.079</v>
      </c>
      <c r="T37" s="97"/>
    </row>
    <row r="38" spans="1:20" ht="16.5" customHeight="1">
      <c r="A38" s="15" t="s">
        <v>46</v>
      </c>
      <c r="B38" s="83"/>
      <c r="C38" s="83"/>
      <c r="D38" s="83"/>
      <c r="E38" s="32"/>
      <c r="F38" s="32"/>
      <c r="G38" s="6">
        <f>(144280.7*36.74371)/1000000</f>
        <v>5.3014081993970006</v>
      </c>
      <c r="H38" s="13"/>
      <c r="I38" s="83"/>
      <c r="J38" s="6">
        <f>((6111759*0.907185)*36.74371)/1000000</f>
        <v>203.72535636885513</v>
      </c>
      <c r="K38" s="31"/>
      <c r="L38" s="6">
        <f>(3054246.9*36.74371)/1000000</f>
        <v>112.22436236199898</v>
      </c>
      <c r="M38" s="6"/>
      <c r="N38" s="110"/>
      <c r="T38" s="97"/>
    </row>
    <row r="39" spans="1:20" ht="16.5" customHeight="1">
      <c r="A39" s="15" t="s">
        <v>47</v>
      </c>
      <c r="B39" s="83"/>
      <c r="C39" s="83"/>
      <c r="D39" s="83"/>
      <c r="E39" s="32"/>
      <c r="F39" s="32"/>
      <c r="G39" s="6">
        <f>(57199.7*36.74371)/1000000</f>
        <v>2.101729188887</v>
      </c>
      <c r="H39" s="13"/>
      <c r="I39" s="83"/>
      <c r="J39" s="6">
        <f>((5332051*0.907185)*36.74371)/1000000</f>
        <v>177.73508251092858</v>
      </c>
      <c r="K39" s="31"/>
      <c r="L39" s="6">
        <f>(1769751.6*36.74371)/1000000</f>
        <v>65.027239562436009</v>
      </c>
      <c r="M39" s="6"/>
      <c r="N39" s="110"/>
      <c r="T39" s="97"/>
    </row>
    <row r="40" spans="1:20" ht="16.5" customHeight="1">
      <c r="A40" s="15" t="s">
        <v>48</v>
      </c>
      <c r="B40" s="83"/>
      <c r="C40" s="83"/>
      <c r="D40" s="83"/>
      <c r="E40" s="32"/>
      <c r="F40" s="32"/>
      <c r="G40" s="6">
        <f>(32603.2*36.74371)/1000000</f>
        <v>1.1979625258719999</v>
      </c>
      <c r="H40" s="13"/>
      <c r="I40" s="83"/>
      <c r="J40" s="6">
        <f>((5754152*0.907185)*36.74371)/1000000</f>
        <v>191.80511973730648</v>
      </c>
      <c r="K40" s="31"/>
      <c r="L40" s="6">
        <f>(1410073.2*36.74371)/1000000</f>
        <v>51.811320739571997</v>
      </c>
      <c r="M40" s="6"/>
      <c r="N40" s="110"/>
      <c r="T40" s="97"/>
    </row>
    <row r="41" spans="1:20" ht="16.5" customHeight="1">
      <c r="A41" s="15" t="s">
        <v>158</v>
      </c>
      <c r="B41" s="83"/>
      <c r="C41" s="83"/>
      <c r="D41" s="83"/>
      <c r="E41" s="32">
        <f>N37</f>
        <v>1845.079</v>
      </c>
      <c r="F41" s="32"/>
      <c r="G41" s="6">
        <f>SUM(G38:G40)</f>
        <v>8.6010999141560003</v>
      </c>
      <c r="H41" s="13">
        <f>SUM(E41:G41)</f>
        <v>1853.680099914156</v>
      </c>
      <c r="I41" s="83"/>
      <c r="J41" s="6">
        <f>SUM(J38:J40)</f>
        <v>573.26555861709016</v>
      </c>
      <c r="K41" s="13">
        <f>M41-L41-J41</f>
        <v>81.364618633058853</v>
      </c>
      <c r="L41" s="6">
        <f>SUM(L38:L40)</f>
        <v>229.06292266400698</v>
      </c>
      <c r="M41" s="6">
        <f>H41-N41</f>
        <v>883.69309991415605</v>
      </c>
      <c r="N41" s="13">
        <v>969.98699999999997</v>
      </c>
      <c r="T41" s="97"/>
    </row>
    <row r="42" spans="1:20" ht="16.5" customHeight="1">
      <c r="A42" s="15" t="s">
        <v>50</v>
      </c>
      <c r="B42" s="83"/>
      <c r="C42" s="83"/>
      <c r="D42" s="83"/>
      <c r="E42" s="32"/>
      <c r="F42" s="32"/>
      <c r="G42" s="6">
        <f>(31221.6*36.74371)/1000000</f>
        <v>1.1471974161359999</v>
      </c>
      <c r="H42" s="13"/>
      <c r="I42" s="83"/>
      <c r="J42" s="6">
        <f>((5510461*0.907185)*36.74371)/1000000</f>
        <v>183.682084156407</v>
      </c>
      <c r="K42" s="13"/>
      <c r="L42" s="6">
        <f>(1338976.8*36.74371)/1000000</f>
        <v>49.198975235927996</v>
      </c>
      <c r="M42" s="6"/>
      <c r="N42" s="13"/>
      <c r="T42" s="97"/>
    </row>
    <row r="43" spans="1:20" ht="16.5" customHeight="1">
      <c r="A43" s="79" t="s">
        <v>55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80"/>
      <c r="M43" s="69"/>
      <c r="N43" s="69"/>
      <c r="T43" s="97"/>
    </row>
    <row r="44" spans="1:20" ht="16.5" customHeight="1">
      <c r="A44" s="15" t="s">
        <v>56</v>
      </c>
      <c r="B44" s="15"/>
      <c r="C44" s="15"/>
      <c r="D44" s="15"/>
      <c r="E44" s="35"/>
      <c r="F44" s="35"/>
      <c r="G44" s="35"/>
      <c r="H44" s="35"/>
      <c r="I44" s="35"/>
      <c r="J44" s="35"/>
      <c r="K44" s="35"/>
      <c r="L44" s="35"/>
      <c r="M44" s="35"/>
      <c r="N44" s="35"/>
      <c r="T44" s="97"/>
    </row>
    <row r="45" spans="1:20" ht="16.5" customHeight="1">
      <c r="A45" s="20" t="s">
        <v>57</v>
      </c>
      <c r="B45" s="36">
        <f>Contents!A16</f>
        <v>45518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T45" s="97"/>
    </row>
    <row r="46" spans="1:20" ht="16.5" customHeight="1">
      <c r="T46" s="97"/>
    </row>
    <row r="47" spans="1:20" ht="16.5" customHeight="1">
      <c r="K47" s="34"/>
      <c r="T47" s="97"/>
    </row>
    <row r="48" spans="1:20" ht="16.5" customHeight="1">
      <c r="K48" s="93"/>
      <c r="P48" s="34"/>
      <c r="T48" s="97"/>
    </row>
    <row r="49" spans="10:73" ht="16.5" customHeight="1">
      <c r="T49" s="97"/>
    </row>
    <row r="50" spans="10:73" ht="16.5" customHeight="1">
      <c r="J50" s="34"/>
      <c r="L50" s="34"/>
      <c r="T50" s="97"/>
    </row>
    <row r="51" spans="10:73" ht="16.5" customHeight="1">
      <c r="J51" s="34"/>
      <c r="L51" s="34"/>
      <c r="T51" s="97"/>
    </row>
    <row r="52" spans="10:73" ht="16.5" customHeight="1">
      <c r="J52" s="34"/>
      <c r="L52" s="34"/>
      <c r="T52" s="97"/>
    </row>
    <row r="53" spans="10:73" ht="16.5" customHeight="1">
      <c r="T53" s="97"/>
    </row>
    <row r="54" spans="10:73" ht="16.5" customHeight="1">
      <c r="T54" s="97"/>
    </row>
    <row r="55" spans="10:73" ht="16.5" customHeight="1">
      <c r="T55" s="97"/>
    </row>
    <row r="56" spans="10:73" ht="16.5" customHeight="1">
      <c r="T56" s="97"/>
    </row>
    <row r="57" spans="10:73" ht="16.5" customHeight="1"/>
    <row r="58" spans="10:73" ht="16.5" customHeight="1"/>
    <row r="59" spans="10:73" ht="16.5" customHeight="1"/>
    <row r="60" spans="10:73" ht="16.5" customHeight="1"/>
    <row r="61" spans="10:73" ht="16.5" customHeight="1">
      <c r="O61" s="83"/>
      <c r="P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</row>
    <row r="62" spans="10:73">
      <c r="O62" s="83"/>
      <c r="P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</row>
    <row r="63" spans="10:73">
      <c r="O63" s="83"/>
      <c r="P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</row>
    <row r="64" spans="10:73">
      <c r="O64" s="83"/>
      <c r="P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</row>
    <row r="65" spans="15:73">
      <c r="O65" s="83"/>
      <c r="P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</row>
    <row r="66" spans="15:73">
      <c r="O66" s="83"/>
      <c r="P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</row>
    <row r="67" spans="15:73">
      <c r="O67" s="83"/>
      <c r="P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</row>
    <row r="68" spans="15:73">
      <c r="O68" s="83"/>
      <c r="P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</row>
    <row r="69" spans="15:73">
      <c r="O69" s="83"/>
      <c r="P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</row>
    <row r="70" spans="15:73">
      <c r="O70" s="83"/>
      <c r="P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</row>
    <row r="71" spans="15:73">
      <c r="O71" s="83"/>
      <c r="P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</row>
    <row r="72" spans="15:73">
      <c r="O72" s="83"/>
      <c r="P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</row>
    <row r="73" spans="15:73">
      <c r="O73" s="83"/>
      <c r="P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</row>
    <row r="74" spans="15:73">
      <c r="O74" s="83"/>
      <c r="P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</row>
    <row r="75" spans="15:73">
      <c r="O75" s="83"/>
      <c r="P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</row>
    <row r="76" spans="15:73">
      <c r="O76" s="83"/>
      <c r="P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</row>
    <row r="77" spans="15:73">
      <c r="O77" s="83"/>
      <c r="P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</row>
    <row r="78" spans="15:73">
      <c r="O78" s="83"/>
      <c r="P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</row>
    <row r="79" spans="15:73">
      <c r="O79" s="83"/>
      <c r="P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</row>
    <row r="80" spans="15:73">
      <c r="O80" s="83"/>
      <c r="P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</row>
    <row r="81" spans="15:73">
      <c r="O81" s="83"/>
      <c r="P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</row>
    <row r="82" spans="15:73">
      <c r="O82" s="83"/>
      <c r="P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</row>
    <row r="83" spans="15:73">
      <c r="O83" s="83"/>
      <c r="P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</row>
    <row r="84" spans="15:73">
      <c r="O84" s="83"/>
      <c r="P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</row>
    <row r="85" spans="15:73">
      <c r="O85" s="83"/>
      <c r="P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</row>
    <row r="86" spans="15:73">
      <c r="O86" s="83"/>
      <c r="P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</row>
    <row r="87" spans="15:73">
      <c r="O87" s="83"/>
      <c r="P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</row>
    <row r="88" spans="15:73">
      <c r="O88" s="83"/>
      <c r="P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</row>
    <row r="89" spans="15:73"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</row>
    <row r="90" spans="15:73"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</row>
    <row r="91" spans="15:73"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</row>
    <row r="92" spans="15:73"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</row>
    <row r="93" spans="15:73"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</row>
    <row r="94" spans="15:73"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</row>
    <row r="95" spans="15:73"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</row>
    <row r="96" spans="15:73"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</row>
    <row r="97" spans="15:73"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</row>
    <row r="98" spans="15:73"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</row>
    <row r="99" spans="15:73"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</row>
    <row r="100" spans="15:73"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</row>
    <row r="101" spans="15:73"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</row>
    <row r="102" spans="15:73"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</row>
    <row r="103" spans="15:73"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</row>
    <row r="104" spans="15:73"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</row>
    <row r="105" spans="15:73"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</row>
    <row r="106" spans="15:73"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</row>
    <row r="107" spans="15:73"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</row>
    <row r="108" spans="15:73"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</row>
    <row r="109" spans="15:73"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</row>
    <row r="110" spans="15:73"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</row>
    <row r="111" spans="15:73"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</row>
    <row r="112" spans="15:73"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</row>
    <row r="113" spans="15:73"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</row>
    <row r="114" spans="15:73"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</row>
    <row r="115" spans="15:73"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</row>
    <row r="116" spans="15:73"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</row>
    <row r="117" spans="15:73"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</row>
    <row r="118" spans="15:73"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</row>
    <row r="119" spans="15:73"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</row>
    <row r="120" spans="15:73"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</row>
    <row r="121" spans="15:73"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</row>
    <row r="122" spans="15:73"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</row>
    <row r="123" spans="15:73"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</row>
    <row r="124" spans="15:73"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</row>
    <row r="125" spans="15:73"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</row>
    <row r="126" spans="15:73"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</row>
    <row r="127" spans="15:73"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</row>
    <row r="128" spans="15:73"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</row>
    <row r="129" spans="15:73"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</row>
    <row r="130" spans="15:73"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</row>
    <row r="131" spans="15:73"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</row>
    <row r="132" spans="15:73"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</row>
    <row r="133" spans="15:73"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</row>
    <row r="134" spans="15:73"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</row>
    <row r="135" spans="15:73"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</row>
    <row r="136" spans="15:73"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</row>
    <row r="137" spans="15:73"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</row>
    <row r="138" spans="15:73"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</row>
    <row r="139" spans="15:73"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</row>
    <row r="140" spans="15:73"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</row>
    <row r="141" spans="15:73"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</row>
    <row r="142" spans="15:73"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</row>
    <row r="143" spans="15:73"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</row>
    <row r="144" spans="15:73"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</row>
    <row r="145" spans="15:73"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</row>
    <row r="146" spans="15:73"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</row>
    <row r="147" spans="15:73"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</row>
    <row r="148" spans="15:73"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</row>
    <row r="149" spans="15:73"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</row>
    <row r="150" spans="15:73"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</row>
    <row r="151" spans="15:73"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</row>
    <row r="152" spans="15:73"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</row>
    <row r="153" spans="15:73"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</row>
    <row r="154" spans="15:73"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</row>
    <row r="155" spans="15:73"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</row>
    <row r="156" spans="15:73"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</row>
    <row r="157" spans="15:73"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</row>
    <row r="158" spans="15:73"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</row>
    <row r="159" spans="15:73"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</row>
    <row r="160" spans="15:73"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</row>
    <row r="161" spans="15:73"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</row>
    <row r="162" spans="15:73"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</row>
    <row r="163" spans="15:73"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</row>
    <row r="164" spans="15:73"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</row>
    <row r="165" spans="15:73"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</row>
    <row r="166" spans="15:73"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</row>
    <row r="167" spans="15:73"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</row>
    <row r="168" spans="15:73"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</row>
    <row r="169" spans="15:73"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</row>
    <row r="170" spans="15:73"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</row>
    <row r="171" spans="15:73"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</row>
    <row r="172" spans="15:73"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</row>
    <row r="173" spans="15:73"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</row>
    <row r="174" spans="15:73"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</row>
    <row r="175" spans="15:73"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</row>
    <row r="176" spans="15:73"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</row>
    <row r="177" spans="15:73"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</row>
    <row r="178" spans="15:73"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</row>
    <row r="179" spans="15:73"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</row>
    <row r="180" spans="15:73"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</row>
    <row r="181" spans="15:73"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</row>
    <row r="182" spans="15:73"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</row>
    <row r="183" spans="15:73"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</row>
    <row r="184" spans="15:73"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</row>
    <row r="185" spans="15:73"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</row>
    <row r="186" spans="15:73"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</row>
    <row r="187" spans="15:73"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</row>
    <row r="188" spans="15:73"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</row>
    <row r="189" spans="15:73"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</row>
    <row r="190" spans="15:73"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</row>
    <row r="191" spans="15:73"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</row>
    <row r="192" spans="15:73"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</row>
    <row r="193" spans="15:73"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</row>
    <row r="194" spans="15:73"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</row>
    <row r="195" spans="15:73"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</row>
    <row r="196" spans="15:73"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</row>
    <row r="197" spans="15:73"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</row>
    <row r="198" spans="15:73"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</row>
    <row r="199" spans="15:73"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</row>
    <row r="200" spans="15:73"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</row>
    <row r="201" spans="15:73"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</row>
    <row r="202" spans="15:73"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</row>
    <row r="203" spans="15:73"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</row>
    <row r="204" spans="15:73"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</row>
    <row r="205" spans="15:73"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</row>
    <row r="206" spans="15:73"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</row>
    <row r="207" spans="15:73"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</row>
    <row r="208" spans="15:73"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</row>
    <row r="209" spans="15:73"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</row>
    <row r="210" spans="15:73"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</row>
    <row r="211" spans="15:73"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</row>
    <row r="212" spans="15:73"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</row>
    <row r="213" spans="15:73"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</row>
    <row r="214" spans="15:73"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</row>
    <row r="215" spans="15:73"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</row>
    <row r="216" spans="15:73"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</row>
    <row r="217" spans="15:73"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</row>
    <row r="218" spans="15:73"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</row>
    <row r="219" spans="15:73"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</row>
    <row r="220" spans="15:73"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</row>
    <row r="221" spans="15:73"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</row>
    <row r="222" spans="15:73"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</row>
    <row r="223" spans="15:73"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</row>
    <row r="224" spans="15:73"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</row>
    <row r="225" spans="15:73"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</row>
    <row r="226" spans="15:73"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</row>
    <row r="227" spans="15:73"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</row>
    <row r="228" spans="15:73"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</row>
    <row r="229" spans="15:73"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</row>
    <row r="230" spans="15:73"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</row>
    <row r="231" spans="15:73"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</row>
    <row r="232" spans="15:73"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</row>
    <row r="233" spans="15:73"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</row>
    <row r="234" spans="15:73"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</row>
    <row r="235" spans="15:73"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</row>
    <row r="236" spans="15:73"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</row>
    <row r="237" spans="15:73"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</row>
    <row r="238" spans="15:73"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</row>
    <row r="239" spans="15:73"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</row>
    <row r="240" spans="15:73"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</row>
    <row r="241" spans="15:73"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</row>
    <row r="242" spans="15:73"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</row>
    <row r="243" spans="15:73"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</row>
    <row r="244" spans="15:73"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</row>
    <row r="245" spans="15:73"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</row>
    <row r="246" spans="15:73"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</row>
    <row r="247" spans="15:73"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</row>
    <row r="248" spans="15:73"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</row>
    <row r="249" spans="15:73"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</row>
    <row r="250" spans="15:73"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</row>
    <row r="251" spans="15:73"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</row>
    <row r="252" spans="15:73"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</row>
    <row r="253" spans="15:73"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</row>
    <row r="254" spans="15:73"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</row>
    <row r="255" spans="15:73"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</row>
    <row r="256" spans="15:73"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</row>
    <row r="257" spans="15:73"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</row>
    <row r="258" spans="15:73"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</row>
    <row r="259" spans="15:73"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</row>
    <row r="260" spans="15:73"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</row>
    <row r="261" spans="15:73"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</row>
    <row r="262" spans="15:73"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</row>
    <row r="263" spans="15:73"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</row>
    <row r="264" spans="15:73"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</row>
    <row r="265" spans="15:73"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</row>
    <row r="266" spans="15:73"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</row>
    <row r="267" spans="15:73"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</row>
    <row r="268" spans="15:73"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</row>
    <row r="269" spans="15:73"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</row>
    <row r="270" spans="15:73"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</row>
    <row r="271" spans="15:73"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</row>
    <row r="272" spans="15:73"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</row>
    <row r="273" spans="15:73"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</row>
    <row r="274" spans="15:73"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</row>
    <row r="275" spans="15:73"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</row>
    <row r="276" spans="15:73"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</row>
    <row r="277" spans="15:73"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</row>
    <row r="278" spans="15:73"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</row>
    <row r="279" spans="15:73"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</row>
    <row r="280" spans="15:73"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</row>
    <row r="281" spans="15:73"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</row>
    <row r="282" spans="15:73"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</row>
    <row r="283" spans="15:73"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</row>
    <row r="284" spans="15:73"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</row>
    <row r="285" spans="15:73"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</row>
    <row r="286" spans="15:73"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</row>
    <row r="287" spans="15:73"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</row>
    <row r="288" spans="15:73"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</row>
    <row r="289" spans="15:73"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</row>
    <row r="290" spans="15:73"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</row>
    <row r="291" spans="15:73"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</row>
    <row r="292" spans="15:73"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</row>
    <row r="293" spans="15:73"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</row>
    <row r="294" spans="15:73"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</row>
    <row r="295" spans="15:73"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</row>
    <row r="296" spans="15:73"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</row>
    <row r="297" spans="15:73"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</row>
    <row r="298" spans="15:73"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</row>
    <row r="299" spans="15:73"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</row>
    <row r="300" spans="15:73"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</row>
    <row r="301" spans="15:73"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</row>
    <row r="302" spans="15:73"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</row>
    <row r="303" spans="15:73"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</row>
    <row r="304" spans="15:73"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</row>
    <row r="305" spans="15:73"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</row>
    <row r="306" spans="15:73"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</row>
    <row r="307" spans="15:73"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</row>
    <row r="308" spans="15:73"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</row>
    <row r="309" spans="15:73"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</row>
    <row r="310" spans="15:73"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</row>
    <row r="311" spans="15:73"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</row>
    <row r="312" spans="15:73"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</row>
    <row r="313" spans="15:73"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</row>
    <row r="314" spans="15:73"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</row>
    <row r="315" spans="15:73"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</row>
    <row r="316" spans="15:73"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</row>
    <row r="317" spans="15:73"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</row>
    <row r="318" spans="15:73"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</row>
    <row r="319" spans="15:73"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</row>
    <row r="320" spans="15:73"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</row>
    <row r="321" spans="15:73"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</row>
    <row r="322" spans="15:73"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</row>
    <row r="323" spans="15:73"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83"/>
      <c r="BS323" s="83"/>
      <c r="BT323" s="83"/>
      <c r="BU323" s="83"/>
    </row>
    <row r="324" spans="15:73"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83"/>
    </row>
    <row r="325" spans="15:73"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Q325" s="83"/>
      <c r="BR325" s="83"/>
      <c r="BS325" s="83"/>
      <c r="BT325" s="83"/>
      <c r="BU325" s="83"/>
    </row>
    <row r="326" spans="15:73"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</row>
    <row r="327" spans="15:73"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</row>
    <row r="328" spans="15:73"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</row>
    <row r="329" spans="15:73"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</row>
    <row r="330" spans="15:73"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Q330" s="83"/>
      <c r="BR330" s="83"/>
      <c r="BS330" s="83"/>
      <c r="BT330" s="83"/>
      <c r="BU330" s="83"/>
    </row>
    <row r="331" spans="15:73"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Q331" s="83"/>
      <c r="BR331" s="83"/>
      <c r="BS331" s="83"/>
      <c r="BT331" s="83"/>
      <c r="BU331" s="83"/>
    </row>
    <row r="332" spans="15:73"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Q332" s="83"/>
      <c r="BR332" s="83"/>
      <c r="BS332" s="83"/>
      <c r="BT332" s="83"/>
      <c r="BU332" s="83"/>
    </row>
    <row r="333" spans="15:73"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</row>
    <row r="334" spans="15:73"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</row>
    <row r="335" spans="15:73"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</row>
    <row r="336" spans="15:73"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</row>
    <row r="337" spans="15:73"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83"/>
      <c r="BR337" s="83"/>
      <c r="BS337" s="83"/>
      <c r="BT337" s="83"/>
      <c r="BU337" s="83"/>
    </row>
    <row r="338" spans="15:73"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83"/>
      <c r="BS338" s="83"/>
      <c r="BT338" s="83"/>
      <c r="BU338" s="83"/>
    </row>
    <row r="339" spans="15:73"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Q339" s="83"/>
      <c r="BR339" s="83"/>
      <c r="BS339" s="83"/>
      <c r="BT339" s="83"/>
      <c r="BU339" s="83"/>
    </row>
    <row r="340" spans="15:73"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</row>
    <row r="341" spans="15:73"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</row>
    <row r="342" spans="15:73"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</row>
    <row r="343" spans="15:73"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</row>
    <row r="344" spans="15:73"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Q344" s="83"/>
      <c r="BR344" s="83"/>
      <c r="BS344" s="83"/>
      <c r="BT344" s="83"/>
      <c r="BU344" s="83"/>
    </row>
    <row r="345" spans="15:73"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  <c r="BS345" s="83"/>
      <c r="BT345" s="83"/>
      <c r="BU345" s="83"/>
    </row>
    <row r="346" spans="15:73"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  <c r="BS346" s="83"/>
      <c r="BT346" s="83"/>
      <c r="BU346" s="83"/>
    </row>
    <row r="347" spans="15:73"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</row>
    <row r="348" spans="15:73"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Q348" s="83"/>
      <c r="BR348" s="83"/>
      <c r="BS348" s="83"/>
      <c r="BT348" s="83"/>
      <c r="BU348" s="83"/>
    </row>
    <row r="349" spans="15:73"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  <c r="BS349" s="83"/>
      <c r="BT349" s="83"/>
      <c r="BU349" s="83"/>
    </row>
    <row r="350" spans="15:73"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  <c r="BS350" s="83"/>
      <c r="BT350" s="83"/>
      <c r="BU350" s="83"/>
    </row>
    <row r="351" spans="15:73"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</row>
    <row r="352" spans="15:73"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Q352" s="83"/>
      <c r="BR352" s="83"/>
      <c r="BS352" s="83"/>
      <c r="BT352" s="83"/>
      <c r="BU352" s="83"/>
    </row>
    <row r="353" spans="15:73"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Q353" s="83"/>
      <c r="BR353" s="83"/>
      <c r="BS353" s="83"/>
      <c r="BT353" s="83"/>
      <c r="BU353" s="83"/>
    </row>
    <row r="354" spans="15:73"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Q354" s="83"/>
      <c r="BR354" s="83"/>
      <c r="BS354" s="83"/>
      <c r="BT354" s="83"/>
      <c r="BU354" s="83"/>
    </row>
    <row r="355" spans="15:73"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Q355" s="83"/>
      <c r="BR355" s="83"/>
      <c r="BS355" s="83"/>
      <c r="BT355" s="83"/>
      <c r="BU355" s="83"/>
    </row>
    <row r="356" spans="15:73"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</row>
    <row r="357" spans="15:73"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</row>
    <row r="358" spans="15:73"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</row>
    <row r="359" spans="15:73"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</row>
    <row r="360" spans="15:73"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Q360" s="83"/>
      <c r="BR360" s="83"/>
      <c r="BS360" s="83"/>
      <c r="BT360" s="83"/>
      <c r="BU360" s="83"/>
    </row>
    <row r="361" spans="15:73"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Q361" s="83"/>
      <c r="BR361" s="83"/>
      <c r="BS361" s="83"/>
      <c r="BT361" s="83"/>
      <c r="BU361" s="83"/>
    </row>
    <row r="362" spans="15:73"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</row>
    <row r="363" spans="15:73"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Q363" s="83"/>
      <c r="BR363" s="83"/>
      <c r="BS363" s="83"/>
      <c r="BT363" s="83"/>
      <c r="BU363" s="83"/>
    </row>
    <row r="364" spans="15:73"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</row>
    <row r="365" spans="15:73"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Q365" s="83"/>
      <c r="BR365" s="83"/>
      <c r="BS365" s="83"/>
      <c r="BT365" s="83"/>
      <c r="BU365" s="83"/>
    </row>
    <row r="366" spans="15:73"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Q366" s="83"/>
      <c r="BR366" s="83"/>
      <c r="BS366" s="83"/>
      <c r="BT366" s="83"/>
      <c r="BU366" s="83"/>
    </row>
    <row r="367" spans="15:73"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Q367" s="83"/>
      <c r="BR367" s="83"/>
      <c r="BS367" s="83"/>
      <c r="BT367" s="83"/>
      <c r="BU367" s="83"/>
    </row>
    <row r="368" spans="15:73"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</row>
    <row r="369" spans="15:73"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83"/>
      <c r="BR369" s="83"/>
      <c r="BS369" s="83"/>
      <c r="BT369" s="83"/>
      <c r="BU369" s="83"/>
    </row>
    <row r="370" spans="15:73"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  <c r="BT370" s="83"/>
      <c r="BU370" s="83"/>
    </row>
    <row r="371" spans="15:73"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Q371" s="83"/>
      <c r="BR371" s="83"/>
      <c r="BS371" s="83"/>
      <c r="BT371" s="83"/>
      <c r="BU371" s="83"/>
    </row>
    <row r="372" spans="15:73"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  <c r="BS372" s="83"/>
      <c r="BT372" s="83"/>
      <c r="BU372" s="83"/>
    </row>
    <row r="373" spans="15:73"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  <c r="BS373" s="83"/>
      <c r="BT373" s="83"/>
      <c r="BU373" s="83"/>
    </row>
    <row r="374" spans="15:73"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  <c r="BS374" s="83"/>
      <c r="BT374" s="83"/>
      <c r="BU374" s="83"/>
    </row>
    <row r="375" spans="15:73"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</row>
    <row r="376" spans="15:73"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Q376" s="83"/>
      <c r="BR376" s="83"/>
      <c r="BS376" s="83"/>
      <c r="BT376" s="83"/>
      <c r="BU376" s="83"/>
    </row>
    <row r="377" spans="15:73"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</row>
    <row r="378" spans="15:73"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  <c r="BS378" s="83"/>
      <c r="BT378" s="83"/>
      <c r="BU378" s="83"/>
    </row>
    <row r="379" spans="15:73"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  <c r="BS379" s="83"/>
      <c r="BT379" s="83"/>
      <c r="BU379" s="83"/>
    </row>
    <row r="380" spans="15:73"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Q380" s="83"/>
      <c r="BR380" s="83"/>
      <c r="BS380" s="83"/>
      <c r="BT380" s="83"/>
      <c r="BU380" s="83"/>
    </row>
    <row r="381" spans="15:73"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</row>
    <row r="382" spans="15:73"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</row>
    <row r="383" spans="15:73"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</row>
    <row r="384" spans="15:73"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</row>
    <row r="385" spans="15:73"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Q385" s="83"/>
      <c r="BR385" s="83"/>
      <c r="BS385" s="83"/>
      <c r="BT385" s="83"/>
      <c r="BU385" s="83"/>
    </row>
    <row r="386" spans="15:73"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Q386" s="83"/>
      <c r="BR386" s="83"/>
      <c r="BS386" s="83"/>
      <c r="BT386" s="83"/>
      <c r="BU386" s="83"/>
    </row>
    <row r="387" spans="15:73"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Q387" s="83"/>
      <c r="BR387" s="83"/>
      <c r="BS387" s="83"/>
      <c r="BT387" s="83"/>
      <c r="BU387" s="83"/>
    </row>
    <row r="388" spans="15:73"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</row>
    <row r="389" spans="15:73"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</row>
    <row r="390" spans="15:73"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</row>
    <row r="391" spans="15:73"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</row>
    <row r="392" spans="15:73"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Q392" s="83"/>
      <c r="BR392" s="83"/>
      <c r="BS392" s="83"/>
      <c r="BT392" s="83"/>
      <c r="BU392" s="83"/>
    </row>
    <row r="393" spans="15:73"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Q393" s="83"/>
      <c r="BR393" s="83"/>
      <c r="BS393" s="83"/>
      <c r="BT393" s="83"/>
      <c r="BU393" s="83"/>
    </row>
    <row r="394" spans="15:73"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Q394" s="83"/>
      <c r="BR394" s="83"/>
      <c r="BS394" s="83"/>
      <c r="BT394" s="83"/>
      <c r="BU394" s="83"/>
    </row>
    <row r="395" spans="15:73"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Q395" s="83"/>
      <c r="BR395" s="83"/>
      <c r="BS395" s="83"/>
      <c r="BT395" s="83"/>
      <c r="BU395" s="83"/>
    </row>
    <row r="396" spans="15:73"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Q396" s="83"/>
      <c r="BR396" s="83"/>
      <c r="BS396" s="83"/>
      <c r="BT396" s="83"/>
      <c r="BU396" s="83"/>
    </row>
    <row r="397" spans="15:73"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Q397" s="83"/>
      <c r="BR397" s="83"/>
      <c r="BS397" s="83"/>
      <c r="BT397" s="83"/>
      <c r="BU397" s="83"/>
    </row>
    <row r="398" spans="15:73"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Q398" s="83"/>
      <c r="BR398" s="83"/>
      <c r="BS398" s="83"/>
      <c r="BT398" s="83"/>
      <c r="BU398" s="83"/>
    </row>
    <row r="399" spans="15:73"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Q399" s="83"/>
      <c r="BR399" s="83"/>
      <c r="BS399" s="83"/>
      <c r="BT399" s="83"/>
      <c r="BU399" s="83"/>
    </row>
    <row r="400" spans="15:73"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Q400" s="83"/>
      <c r="BR400" s="83"/>
      <c r="BS400" s="83"/>
      <c r="BT400" s="83"/>
      <c r="BU400" s="83"/>
    </row>
    <row r="401" spans="15:73"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Q401" s="83"/>
      <c r="BR401" s="83"/>
      <c r="BS401" s="83"/>
      <c r="BT401" s="83"/>
      <c r="BU401" s="83"/>
    </row>
    <row r="402" spans="15:73"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Q402" s="83"/>
      <c r="BR402" s="83"/>
      <c r="BS402" s="83"/>
      <c r="BT402" s="83"/>
      <c r="BU402" s="83"/>
    </row>
    <row r="403" spans="15:73"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Q403" s="83"/>
      <c r="BR403" s="83"/>
      <c r="BS403" s="83"/>
      <c r="BT403" s="83"/>
      <c r="BU403" s="83"/>
    </row>
    <row r="404" spans="15:73"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  <c r="BS404" s="83"/>
      <c r="BT404" s="83"/>
      <c r="BU404" s="83"/>
    </row>
    <row r="405" spans="15:73"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  <c r="BS405" s="83"/>
      <c r="BT405" s="83"/>
      <c r="BU405" s="83"/>
    </row>
    <row r="406" spans="15:73"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  <c r="BS406" s="83"/>
      <c r="BT406" s="83"/>
      <c r="BU406" s="83"/>
    </row>
    <row r="407" spans="15:73"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  <c r="BS407" s="83"/>
      <c r="BT407" s="83"/>
      <c r="BU407" s="83"/>
    </row>
    <row r="408" spans="15:73"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Q408" s="83"/>
      <c r="BR408" s="83"/>
      <c r="BS408" s="83"/>
      <c r="BT408" s="83"/>
      <c r="BU408" s="83"/>
    </row>
    <row r="409" spans="15:73"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  <c r="BS409" s="83"/>
      <c r="BT409" s="83"/>
      <c r="BU409" s="83"/>
    </row>
    <row r="410" spans="15:73"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  <c r="BS410" s="83"/>
      <c r="BT410" s="83"/>
      <c r="BU410" s="83"/>
    </row>
    <row r="411" spans="15:73"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  <c r="BS411" s="83"/>
      <c r="BT411" s="83"/>
      <c r="BU411" s="83"/>
    </row>
    <row r="412" spans="15:73"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Q412" s="83"/>
      <c r="BR412" s="83"/>
      <c r="BS412" s="83"/>
      <c r="BT412" s="83"/>
      <c r="BU412" s="83"/>
    </row>
    <row r="413" spans="15:73"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  <c r="BS413" s="83"/>
      <c r="BT413" s="83"/>
      <c r="BU413" s="83"/>
    </row>
    <row r="414" spans="15:73"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Q414" s="83"/>
      <c r="BR414" s="83"/>
      <c r="BS414" s="83"/>
      <c r="BT414" s="83"/>
      <c r="BU414" s="83"/>
    </row>
    <row r="415" spans="15:73"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  <c r="BS415" s="83"/>
      <c r="BT415" s="83"/>
      <c r="BU415" s="83"/>
    </row>
    <row r="416" spans="15:73"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Q416" s="83"/>
      <c r="BR416" s="83"/>
      <c r="BS416" s="83"/>
      <c r="BT416" s="83"/>
      <c r="BU416" s="83"/>
    </row>
    <row r="417" spans="15:73"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  <c r="BO417" s="83"/>
      <c r="BP417" s="83"/>
      <c r="BQ417" s="83"/>
      <c r="BR417" s="83"/>
      <c r="BS417" s="83"/>
      <c r="BT417" s="83"/>
      <c r="BU417" s="83"/>
    </row>
    <row r="418" spans="15:73"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Q418" s="83"/>
      <c r="BR418" s="83"/>
      <c r="BS418" s="83"/>
      <c r="BT418" s="83"/>
      <c r="BU418" s="83"/>
    </row>
    <row r="419" spans="15:73"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Q419" s="83"/>
      <c r="BR419" s="83"/>
      <c r="BS419" s="83"/>
      <c r="BT419" s="83"/>
      <c r="BU419" s="83"/>
    </row>
    <row r="420" spans="15:73"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/>
      <c r="BN420" s="83"/>
      <c r="BO420" s="83"/>
      <c r="BP420" s="83"/>
      <c r="BQ420" s="83"/>
      <c r="BR420" s="83"/>
      <c r="BS420" s="83"/>
      <c r="BT420" s="83"/>
      <c r="BU420" s="83"/>
    </row>
    <row r="421" spans="15:73"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Q421" s="83"/>
      <c r="BR421" s="83"/>
      <c r="BS421" s="83"/>
      <c r="BT421" s="83"/>
      <c r="BU421" s="83"/>
    </row>
    <row r="422" spans="15:73"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/>
      <c r="BN422" s="83"/>
      <c r="BO422" s="83"/>
      <c r="BP422" s="83"/>
      <c r="BQ422" s="83"/>
      <c r="BR422" s="83"/>
      <c r="BS422" s="83"/>
      <c r="BT422" s="83"/>
      <c r="BU422" s="83"/>
    </row>
    <row r="423" spans="15:73"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Q423" s="83"/>
      <c r="BR423" s="83"/>
      <c r="BS423" s="83"/>
      <c r="BT423" s="83"/>
      <c r="BU423" s="83"/>
    </row>
    <row r="424" spans="15:73"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AZ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  <c r="BM424" s="83"/>
      <c r="BN424" s="83"/>
      <c r="BO424" s="83"/>
      <c r="BP424" s="83"/>
      <c r="BQ424" s="83"/>
      <c r="BR424" s="83"/>
      <c r="BS424" s="83"/>
      <c r="BT424" s="83"/>
      <c r="BU424" s="83"/>
    </row>
    <row r="425" spans="15:73"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  <c r="BM425" s="83"/>
      <c r="BN425" s="83"/>
      <c r="BO425" s="83"/>
      <c r="BP425" s="83"/>
      <c r="BQ425" s="83"/>
      <c r="BR425" s="83"/>
      <c r="BS425" s="83"/>
      <c r="BT425" s="83"/>
      <c r="BU425" s="83"/>
    </row>
    <row r="426" spans="15:73"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Q426" s="83"/>
      <c r="BR426" s="83"/>
      <c r="BS426" s="83"/>
      <c r="BT426" s="83"/>
      <c r="BU426" s="83"/>
    </row>
    <row r="427" spans="15:73"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  <c r="BO427" s="83"/>
      <c r="BP427" s="83"/>
      <c r="BQ427" s="83"/>
      <c r="BR427" s="83"/>
      <c r="BS427" s="83"/>
      <c r="BT427" s="83"/>
      <c r="BU427" s="83"/>
    </row>
    <row r="428" spans="15:73"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AZ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Q428" s="83"/>
      <c r="BR428" s="83"/>
      <c r="BS428" s="83"/>
      <c r="BT428" s="83"/>
      <c r="BU428" s="83"/>
    </row>
    <row r="429" spans="15:73"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83"/>
      <c r="BN429" s="83"/>
      <c r="BO429" s="83"/>
      <c r="BP429" s="83"/>
      <c r="BQ429" s="83"/>
      <c r="BR429" s="83"/>
      <c r="BS429" s="83"/>
      <c r="BT429" s="83"/>
      <c r="BU429" s="83"/>
    </row>
    <row r="430" spans="15:73"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83"/>
      <c r="BO430" s="83"/>
      <c r="BP430" s="83"/>
      <c r="BQ430" s="83"/>
      <c r="BR430" s="83"/>
      <c r="BS430" s="83"/>
      <c r="BT430" s="83"/>
      <c r="BU430" s="83"/>
    </row>
    <row r="431" spans="15:73"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  <c r="BO431" s="83"/>
      <c r="BP431" s="83"/>
      <c r="BQ431" s="83"/>
      <c r="BR431" s="83"/>
      <c r="BS431" s="83"/>
      <c r="BT431" s="83"/>
      <c r="BU431" s="83"/>
    </row>
    <row r="432" spans="15:73"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AZ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83"/>
      <c r="BM432" s="83"/>
      <c r="BN432" s="83"/>
      <c r="BO432" s="83"/>
      <c r="BP432" s="83"/>
      <c r="BQ432" s="83"/>
      <c r="BR432" s="83"/>
      <c r="BS432" s="83"/>
      <c r="BT432" s="83"/>
      <c r="BU432" s="83"/>
    </row>
    <row r="433" spans="15:73"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Q433" s="83"/>
      <c r="BR433" s="83"/>
      <c r="BS433" s="83"/>
      <c r="BT433" s="83"/>
      <c r="BU433" s="83"/>
    </row>
    <row r="434" spans="15:73"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Q434" s="83"/>
      <c r="BR434" s="83"/>
      <c r="BS434" s="83"/>
      <c r="BT434" s="83"/>
      <c r="BU434" s="83"/>
    </row>
    <row r="435" spans="15:73"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BM435" s="83"/>
      <c r="BN435" s="83"/>
      <c r="BO435" s="83"/>
      <c r="BP435" s="83"/>
      <c r="BQ435" s="83"/>
      <c r="BR435" s="83"/>
      <c r="BS435" s="83"/>
      <c r="BT435" s="83"/>
      <c r="BU435" s="83"/>
    </row>
    <row r="436" spans="15:73"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Q436" s="83"/>
      <c r="BR436" s="83"/>
      <c r="BS436" s="83"/>
      <c r="BT436" s="83"/>
      <c r="BU436" s="83"/>
    </row>
    <row r="437" spans="15:73"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Q437" s="83"/>
      <c r="BR437" s="83"/>
      <c r="BS437" s="83"/>
      <c r="BT437" s="83"/>
      <c r="BU437" s="83"/>
    </row>
    <row r="438" spans="15:73"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  <c r="BS438" s="83"/>
      <c r="BT438" s="83"/>
      <c r="BU438" s="83"/>
    </row>
    <row r="439" spans="15:73"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Q439" s="83"/>
      <c r="BR439" s="83"/>
      <c r="BS439" s="83"/>
      <c r="BT439" s="83"/>
      <c r="BU439" s="83"/>
    </row>
    <row r="440" spans="15:73"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AZ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83"/>
      <c r="BM440" s="83"/>
      <c r="BN440" s="83"/>
      <c r="BO440" s="83"/>
      <c r="BP440" s="83"/>
      <c r="BQ440" s="83"/>
      <c r="BR440" s="83"/>
      <c r="BS440" s="83"/>
      <c r="BT440" s="83"/>
      <c r="BU440" s="83"/>
    </row>
    <row r="441" spans="15:73"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Q441" s="83"/>
      <c r="BR441" s="83"/>
      <c r="BS441" s="83"/>
      <c r="BT441" s="83"/>
      <c r="BU441" s="83"/>
    </row>
    <row r="442" spans="15:73"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Q442" s="83"/>
      <c r="BR442" s="83"/>
      <c r="BS442" s="83"/>
      <c r="BT442" s="83"/>
      <c r="BU442" s="83"/>
    </row>
    <row r="443" spans="15:73"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Q443" s="83"/>
      <c r="BR443" s="83"/>
      <c r="BS443" s="83"/>
      <c r="BT443" s="83"/>
      <c r="BU443" s="83"/>
    </row>
    <row r="444" spans="15:73"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AZ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83"/>
      <c r="BM444" s="83"/>
      <c r="BN444" s="83"/>
      <c r="BO444" s="83"/>
      <c r="BP444" s="83"/>
      <c r="BQ444" s="83"/>
      <c r="BR444" s="83"/>
      <c r="BS444" s="83"/>
      <c r="BT444" s="83"/>
      <c r="BU444" s="83"/>
    </row>
    <row r="445" spans="15:73"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Q445" s="83"/>
      <c r="BR445" s="83"/>
      <c r="BS445" s="83"/>
      <c r="BT445" s="83"/>
      <c r="BU445" s="83"/>
    </row>
    <row r="446" spans="15:73"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Q446" s="83"/>
      <c r="BR446" s="83"/>
      <c r="BS446" s="83"/>
      <c r="BT446" s="83"/>
      <c r="BU446" s="83"/>
    </row>
    <row r="447" spans="15:73"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Q447" s="83"/>
      <c r="BR447" s="83"/>
      <c r="BS447" s="83"/>
      <c r="BT447" s="83"/>
      <c r="BU447" s="83"/>
    </row>
    <row r="448" spans="15:73"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AZ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83"/>
      <c r="BM448" s="83"/>
      <c r="BN448" s="83"/>
      <c r="BO448" s="83"/>
      <c r="BP448" s="83"/>
      <c r="BQ448" s="83"/>
      <c r="BR448" s="83"/>
      <c r="BS448" s="83"/>
      <c r="BT448" s="83"/>
      <c r="BU448" s="83"/>
    </row>
    <row r="449" spans="15:73"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  <c r="BO449" s="83"/>
      <c r="BP449" s="83"/>
      <c r="BQ449" s="83"/>
      <c r="BR449" s="83"/>
      <c r="BS449" s="83"/>
      <c r="BT449" s="83"/>
      <c r="BU449" s="83"/>
    </row>
    <row r="450" spans="15:73"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83"/>
      <c r="BC450" s="83"/>
      <c r="BD450" s="83"/>
      <c r="BE450" s="83"/>
      <c r="BF450" s="83"/>
      <c r="BG450" s="83"/>
      <c r="BH450" s="83"/>
      <c r="BI450" s="83"/>
      <c r="BJ450" s="83"/>
      <c r="BK450" s="83"/>
      <c r="BL450" s="83"/>
      <c r="BM450" s="83"/>
      <c r="BN450" s="83"/>
      <c r="BO450" s="83"/>
      <c r="BP450" s="83"/>
      <c r="BQ450" s="83"/>
      <c r="BR450" s="83"/>
      <c r="BS450" s="83"/>
      <c r="BT450" s="83"/>
      <c r="BU450" s="83"/>
    </row>
    <row r="451" spans="15:73"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83"/>
      <c r="BJ451" s="83"/>
      <c r="BK451" s="83"/>
      <c r="BL451" s="83"/>
      <c r="BM451" s="83"/>
      <c r="BN451" s="83"/>
      <c r="BO451" s="83"/>
      <c r="BP451" s="83"/>
      <c r="BQ451" s="83"/>
      <c r="BR451" s="83"/>
      <c r="BS451" s="83"/>
      <c r="BT451" s="83"/>
      <c r="BU451" s="83"/>
    </row>
    <row r="452" spans="15:73"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/>
      <c r="AV452" s="83"/>
      <c r="AW452" s="83"/>
      <c r="AX452" s="83"/>
      <c r="AY452" s="83"/>
      <c r="AZ452" s="83"/>
      <c r="BA452" s="83"/>
      <c r="BB452" s="83"/>
      <c r="BC452" s="83"/>
      <c r="BD452" s="83"/>
      <c r="BE452" s="83"/>
      <c r="BF452" s="83"/>
      <c r="BG452" s="83"/>
      <c r="BH452" s="83"/>
      <c r="BI452" s="83"/>
      <c r="BJ452" s="83"/>
      <c r="BK452" s="83"/>
      <c r="BL452" s="83"/>
      <c r="BM452" s="83"/>
      <c r="BN452" s="83"/>
      <c r="BO452" s="83"/>
      <c r="BP452" s="83"/>
      <c r="BQ452" s="83"/>
      <c r="BR452" s="83"/>
      <c r="BS452" s="83"/>
      <c r="BT452" s="83"/>
      <c r="BU452" s="83"/>
    </row>
    <row r="453" spans="15:73"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83"/>
      <c r="BF453" s="83"/>
      <c r="BG453" s="83"/>
      <c r="BH453" s="83"/>
      <c r="BI453" s="83"/>
      <c r="BJ453" s="83"/>
      <c r="BK453" s="83"/>
      <c r="BL453" s="83"/>
      <c r="BM453" s="83"/>
      <c r="BN453" s="83"/>
      <c r="BO453" s="83"/>
      <c r="BP453" s="83"/>
      <c r="BQ453" s="83"/>
      <c r="BR453" s="83"/>
      <c r="BS453" s="83"/>
      <c r="BT453" s="83"/>
      <c r="BU453" s="83"/>
    </row>
    <row r="454" spans="15:73"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83"/>
      <c r="BG454" s="83"/>
      <c r="BH454" s="83"/>
      <c r="BI454" s="83"/>
      <c r="BJ454" s="83"/>
      <c r="BK454" s="83"/>
      <c r="BL454" s="83"/>
      <c r="BM454" s="83"/>
      <c r="BN454" s="83"/>
      <c r="BO454" s="83"/>
      <c r="BP454" s="83"/>
      <c r="BQ454" s="83"/>
      <c r="BR454" s="83"/>
      <c r="BS454" s="83"/>
      <c r="BT454" s="83"/>
      <c r="BU454" s="83"/>
    </row>
    <row r="455" spans="15:73"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  <c r="BM455" s="83"/>
      <c r="BN455" s="83"/>
      <c r="BO455" s="83"/>
      <c r="BP455" s="83"/>
      <c r="BQ455" s="83"/>
      <c r="BR455" s="83"/>
      <c r="BS455" s="83"/>
      <c r="BT455" s="83"/>
      <c r="BU455" s="83"/>
    </row>
    <row r="456" spans="15:73"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/>
      <c r="AV456" s="83"/>
      <c r="AW456" s="83"/>
      <c r="AX456" s="83"/>
      <c r="AY456" s="83"/>
      <c r="AZ456" s="83"/>
      <c r="BA456" s="83"/>
      <c r="BB456" s="83"/>
      <c r="BC456" s="83"/>
      <c r="BD456" s="83"/>
      <c r="BE456" s="83"/>
      <c r="BF456" s="83"/>
      <c r="BG456" s="83"/>
      <c r="BH456" s="83"/>
      <c r="BI456" s="83"/>
      <c r="BJ456" s="83"/>
      <c r="BK456" s="83"/>
      <c r="BL456" s="83"/>
      <c r="BM456" s="83"/>
      <c r="BN456" s="83"/>
      <c r="BO456" s="83"/>
      <c r="BP456" s="83"/>
      <c r="BQ456" s="83"/>
      <c r="BR456" s="83"/>
      <c r="BS456" s="83"/>
      <c r="BT456" s="83"/>
      <c r="BU456" s="83"/>
    </row>
    <row r="457" spans="15:73"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83"/>
      <c r="BJ457" s="83"/>
      <c r="BK457" s="83"/>
      <c r="BL457" s="83"/>
      <c r="BM457" s="83"/>
      <c r="BN457" s="83"/>
      <c r="BO457" s="83"/>
      <c r="BP457" s="83"/>
      <c r="BQ457" s="83"/>
      <c r="BR457" s="83"/>
      <c r="BS457" s="83"/>
      <c r="BT457" s="83"/>
      <c r="BU457" s="83"/>
    </row>
    <row r="458" spans="15:73"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83"/>
      <c r="BK458" s="83"/>
      <c r="BL458" s="83"/>
      <c r="BM458" s="83"/>
      <c r="BN458" s="83"/>
      <c r="BO458" s="83"/>
      <c r="BP458" s="83"/>
      <c r="BQ458" s="83"/>
      <c r="BR458" s="83"/>
      <c r="BS458" s="83"/>
      <c r="BT458" s="83"/>
      <c r="BU458" s="83"/>
    </row>
    <row r="459" spans="15:73"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83"/>
      <c r="BM459" s="83"/>
      <c r="BN459" s="83"/>
      <c r="BO459" s="83"/>
      <c r="BP459" s="83"/>
      <c r="BQ459" s="83"/>
      <c r="BR459" s="83"/>
      <c r="BS459" s="83"/>
      <c r="BT459" s="83"/>
      <c r="BU459" s="83"/>
    </row>
    <row r="460" spans="15:73"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  <c r="BA460" s="83"/>
      <c r="BB460" s="83"/>
      <c r="BC460" s="83"/>
      <c r="BD460" s="83"/>
      <c r="BE460" s="83"/>
      <c r="BF460" s="83"/>
      <c r="BG460" s="83"/>
      <c r="BH460" s="83"/>
      <c r="BI460" s="83"/>
      <c r="BJ460" s="83"/>
      <c r="BK460" s="83"/>
      <c r="BL460" s="83"/>
      <c r="BM460" s="83"/>
      <c r="BN460" s="83"/>
      <c r="BO460" s="83"/>
      <c r="BP460" s="83"/>
      <c r="BQ460" s="83"/>
      <c r="BR460" s="83"/>
      <c r="BS460" s="83"/>
      <c r="BT460" s="83"/>
      <c r="BU460" s="83"/>
    </row>
    <row r="461" spans="15:73"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83"/>
      <c r="BM461" s="83"/>
      <c r="BN461" s="83"/>
      <c r="BO461" s="83"/>
      <c r="BP461" s="83"/>
      <c r="BQ461" s="83"/>
      <c r="BR461" s="83"/>
      <c r="BS461" s="83"/>
      <c r="BT461" s="83"/>
      <c r="BU461" s="83"/>
    </row>
    <row r="462" spans="15:73"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83"/>
      <c r="BM462" s="83"/>
      <c r="BN462" s="83"/>
      <c r="BO462" s="83"/>
      <c r="BP462" s="83"/>
      <c r="BQ462" s="83"/>
      <c r="BR462" s="83"/>
      <c r="BS462" s="83"/>
      <c r="BT462" s="83"/>
      <c r="BU462" s="83"/>
    </row>
    <row r="463" spans="15:73"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83"/>
      <c r="BM463" s="83"/>
      <c r="BN463" s="83"/>
      <c r="BO463" s="83"/>
      <c r="BP463" s="83"/>
      <c r="BQ463" s="83"/>
      <c r="BR463" s="83"/>
      <c r="BS463" s="83"/>
      <c r="BT463" s="83"/>
      <c r="BU463" s="83"/>
    </row>
    <row r="464" spans="15:73"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  <c r="AZ464" s="83"/>
      <c r="BA464" s="83"/>
      <c r="BB464" s="83"/>
      <c r="BC464" s="83"/>
      <c r="BD464" s="83"/>
      <c r="BE464" s="83"/>
      <c r="BF464" s="83"/>
      <c r="BG464" s="83"/>
      <c r="BH464" s="83"/>
      <c r="BI464" s="83"/>
      <c r="BJ464" s="83"/>
      <c r="BK464" s="83"/>
      <c r="BL464" s="83"/>
      <c r="BM464" s="83"/>
      <c r="BN464" s="83"/>
      <c r="BO464" s="83"/>
      <c r="BP464" s="83"/>
      <c r="BQ464" s="83"/>
      <c r="BR464" s="83"/>
      <c r="BS464" s="83"/>
      <c r="BT464" s="83"/>
      <c r="BU464" s="83"/>
    </row>
    <row r="465" spans="15:73"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/>
      <c r="BI465" s="83"/>
      <c r="BJ465" s="83"/>
      <c r="BK465" s="83"/>
      <c r="BL465" s="83"/>
      <c r="BM465" s="83"/>
      <c r="BN465" s="83"/>
      <c r="BO465" s="83"/>
      <c r="BP465" s="83"/>
      <c r="BQ465" s="83"/>
      <c r="BR465" s="83"/>
      <c r="BS465" s="83"/>
      <c r="BT465" s="83"/>
      <c r="BU465" s="83"/>
    </row>
    <row r="466" spans="15:73"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83"/>
      <c r="BM466" s="83"/>
      <c r="BN466" s="83"/>
      <c r="BO466" s="83"/>
      <c r="BP466" s="83"/>
      <c r="BQ466" s="83"/>
      <c r="BR466" s="83"/>
      <c r="BS466" s="83"/>
      <c r="BT466" s="83"/>
      <c r="BU466" s="83"/>
    </row>
    <row r="467" spans="15:73"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  <c r="BF467" s="83"/>
      <c r="BG467" s="83"/>
      <c r="BH467" s="83"/>
      <c r="BI467" s="83"/>
      <c r="BJ467" s="83"/>
      <c r="BK467" s="83"/>
      <c r="BL467" s="83"/>
      <c r="BM467" s="83"/>
      <c r="BN467" s="83"/>
      <c r="BO467" s="83"/>
      <c r="BP467" s="83"/>
      <c r="BQ467" s="83"/>
      <c r="BR467" s="83"/>
      <c r="BS467" s="83"/>
      <c r="BT467" s="83"/>
      <c r="BU467" s="83"/>
    </row>
    <row r="468" spans="15:73"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83"/>
      <c r="BM468" s="83"/>
      <c r="BN468" s="83"/>
      <c r="BO468" s="83"/>
      <c r="BP468" s="83"/>
      <c r="BQ468" s="83"/>
      <c r="BR468" s="83"/>
      <c r="BS468" s="83"/>
      <c r="BT468" s="83"/>
      <c r="BU468" s="83"/>
    </row>
    <row r="469" spans="15:73"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83"/>
      <c r="BJ469" s="83"/>
      <c r="BK469" s="83"/>
      <c r="BL469" s="83"/>
      <c r="BM469" s="83"/>
      <c r="BN469" s="83"/>
      <c r="BO469" s="83"/>
      <c r="BP469" s="83"/>
      <c r="BQ469" s="83"/>
      <c r="BR469" s="83"/>
      <c r="BS469" s="83"/>
      <c r="BT469" s="83"/>
      <c r="BU469" s="83"/>
    </row>
    <row r="470" spans="15:73"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  <c r="BM470" s="83"/>
      <c r="BN470" s="83"/>
      <c r="BO470" s="83"/>
      <c r="BP470" s="83"/>
      <c r="BQ470" s="83"/>
      <c r="BR470" s="83"/>
      <c r="BS470" s="83"/>
      <c r="BT470" s="83"/>
      <c r="BU470" s="83"/>
    </row>
    <row r="471" spans="15:73"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83"/>
      <c r="BM471" s="83"/>
      <c r="BN471" s="83"/>
      <c r="BO471" s="83"/>
      <c r="BP471" s="83"/>
      <c r="BQ471" s="83"/>
      <c r="BR471" s="83"/>
      <c r="BS471" s="83"/>
      <c r="BT471" s="83"/>
      <c r="BU471" s="83"/>
    </row>
    <row r="472" spans="15:73"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  <c r="AZ472" s="83"/>
      <c r="BA472" s="83"/>
      <c r="BB472" s="83"/>
      <c r="BC472" s="83"/>
      <c r="BD472" s="83"/>
      <c r="BE472" s="83"/>
      <c r="BF472" s="83"/>
      <c r="BG472" s="83"/>
      <c r="BH472" s="83"/>
      <c r="BI472" s="83"/>
      <c r="BJ472" s="83"/>
      <c r="BK472" s="83"/>
      <c r="BL472" s="83"/>
      <c r="BM472" s="83"/>
      <c r="BN472" s="83"/>
      <c r="BO472" s="83"/>
      <c r="BP472" s="83"/>
      <c r="BQ472" s="83"/>
      <c r="BR472" s="83"/>
      <c r="BS472" s="83"/>
      <c r="BT472" s="83"/>
      <c r="BU472" s="83"/>
    </row>
    <row r="473" spans="15:73"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  <c r="BM473" s="83"/>
      <c r="BN473" s="83"/>
      <c r="BO473" s="83"/>
      <c r="BP473" s="83"/>
      <c r="BQ473" s="83"/>
      <c r="BR473" s="83"/>
      <c r="BS473" s="83"/>
      <c r="BT473" s="83"/>
      <c r="BU473" s="83"/>
    </row>
    <row r="474" spans="15:73"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  <c r="BM474" s="83"/>
      <c r="BN474" s="83"/>
      <c r="BO474" s="83"/>
      <c r="BP474" s="83"/>
      <c r="BQ474" s="83"/>
      <c r="BR474" s="83"/>
      <c r="BS474" s="83"/>
      <c r="BT474" s="83"/>
      <c r="BU474" s="83"/>
    </row>
    <row r="475" spans="15:73"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/>
      <c r="BM475" s="83"/>
      <c r="BN475" s="83"/>
      <c r="BO475" s="83"/>
      <c r="BP475" s="83"/>
      <c r="BQ475" s="83"/>
      <c r="BR475" s="83"/>
      <c r="BS475" s="83"/>
      <c r="BT475" s="83"/>
      <c r="BU475" s="83"/>
    </row>
    <row r="476" spans="15:73"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  <c r="BA476" s="83"/>
      <c r="BB476" s="83"/>
      <c r="BC476" s="83"/>
      <c r="BD476" s="83"/>
      <c r="BE476" s="83"/>
      <c r="BF476" s="83"/>
      <c r="BG476" s="83"/>
      <c r="BH476" s="83"/>
      <c r="BI476" s="83"/>
      <c r="BJ476" s="83"/>
      <c r="BK476" s="83"/>
      <c r="BL476" s="83"/>
      <c r="BM476" s="83"/>
      <c r="BN476" s="83"/>
      <c r="BO476" s="83"/>
      <c r="BP476" s="83"/>
      <c r="BQ476" s="83"/>
      <c r="BR476" s="83"/>
      <c r="BS476" s="83"/>
      <c r="BT476" s="83"/>
      <c r="BU476" s="83"/>
    </row>
    <row r="477" spans="15:73"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83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83"/>
      <c r="BJ477" s="83"/>
      <c r="BK477" s="83"/>
      <c r="BL477" s="83"/>
      <c r="BM477" s="83"/>
      <c r="BN477" s="83"/>
      <c r="BO477" s="83"/>
      <c r="BP477" s="83"/>
      <c r="BQ477" s="83"/>
      <c r="BR477" s="83"/>
      <c r="BS477" s="83"/>
      <c r="BT477" s="83"/>
      <c r="BU477" s="83"/>
    </row>
    <row r="478" spans="15:73"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83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83"/>
      <c r="BJ478" s="83"/>
      <c r="BK478" s="83"/>
      <c r="BL478" s="83"/>
      <c r="BM478" s="83"/>
      <c r="BN478" s="83"/>
      <c r="BO478" s="83"/>
      <c r="BP478" s="83"/>
      <c r="BQ478" s="83"/>
      <c r="BR478" s="83"/>
      <c r="BS478" s="83"/>
      <c r="BT478" s="83"/>
      <c r="BU478" s="83"/>
    </row>
    <row r="479" spans="15:73"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83"/>
      <c r="BJ479" s="83"/>
      <c r="BK479" s="83"/>
      <c r="BL479" s="83"/>
      <c r="BM479" s="83"/>
      <c r="BN479" s="83"/>
      <c r="BO479" s="83"/>
      <c r="BP479" s="83"/>
      <c r="BQ479" s="83"/>
      <c r="BR479" s="83"/>
      <c r="BS479" s="83"/>
      <c r="BT479" s="83"/>
      <c r="BU479" s="83"/>
    </row>
    <row r="480" spans="15:73"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  <c r="AX480" s="83"/>
      <c r="AY480" s="83"/>
      <c r="AZ480" s="83"/>
      <c r="BA480" s="83"/>
      <c r="BB480" s="83"/>
      <c r="BC480" s="83"/>
      <c r="BD480" s="83"/>
      <c r="BE480" s="83"/>
      <c r="BF480" s="83"/>
      <c r="BG480" s="83"/>
      <c r="BH480" s="83"/>
      <c r="BI480" s="83"/>
      <c r="BJ480" s="83"/>
      <c r="BK480" s="83"/>
      <c r="BL480" s="83"/>
      <c r="BM480" s="83"/>
      <c r="BN480" s="83"/>
      <c r="BO480" s="83"/>
      <c r="BP480" s="83"/>
      <c r="BQ480" s="83"/>
      <c r="BR480" s="83"/>
      <c r="BS480" s="83"/>
      <c r="BT480" s="83"/>
      <c r="BU480" s="83"/>
    </row>
    <row r="481" spans="15:73"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83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83"/>
      <c r="BM481" s="83"/>
      <c r="BN481" s="83"/>
      <c r="BO481" s="83"/>
      <c r="BP481" s="83"/>
      <c r="BQ481" s="83"/>
      <c r="BR481" s="83"/>
      <c r="BS481" s="83"/>
      <c r="BT481" s="83"/>
      <c r="BU481" s="83"/>
    </row>
    <row r="482" spans="15:73"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  <c r="BM482" s="83"/>
      <c r="BN482" s="83"/>
      <c r="BO482" s="83"/>
      <c r="BP482" s="83"/>
      <c r="BQ482" s="83"/>
      <c r="BR482" s="83"/>
      <c r="BS482" s="83"/>
      <c r="BT482" s="83"/>
      <c r="BU482" s="83"/>
    </row>
    <row r="483" spans="15:73"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83"/>
      <c r="BJ483" s="83"/>
      <c r="BK483" s="83"/>
      <c r="BL483" s="83"/>
      <c r="BM483" s="83"/>
      <c r="BN483" s="83"/>
      <c r="BO483" s="83"/>
      <c r="BP483" s="83"/>
      <c r="BQ483" s="83"/>
      <c r="BR483" s="83"/>
      <c r="BS483" s="83"/>
      <c r="BT483" s="83"/>
      <c r="BU483" s="83"/>
    </row>
    <row r="484" spans="15:73"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  <c r="AZ484" s="83"/>
      <c r="BA484" s="83"/>
      <c r="BB484" s="83"/>
      <c r="BC484" s="83"/>
      <c r="BD484" s="83"/>
      <c r="BE484" s="83"/>
      <c r="BF484" s="83"/>
      <c r="BG484" s="83"/>
      <c r="BH484" s="83"/>
      <c r="BI484" s="83"/>
      <c r="BJ484" s="83"/>
      <c r="BK484" s="83"/>
      <c r="BL484" s="83"/>
      <c r="BM484" s="83"/>
      <c r="BN484" s="83"/>
      <c r="BO484" s="83"/>
      <c r="BP484" s="83"/>
      <c r="BQ484" s="83"/>
      <c r="BR484" s="83"/>
      <c r="BS484" s="83"/>
      <c r="BT484" s="83"/>
      <c r="BU484" s="83"/>
    </row>
    <row r="485" spans="15:73"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83"/>
      <c r="BF485" s="83"/>
      <c r="BG485" s="83"/>
      <c r="BH485" s="83"/>
      <c r="BI485" s="83"/>
      <c r="BJ485" s="83"/>
      <c r="BK485" s="83"/>
      <c r="BL485" s="83"/>
      <c r="BM485" s="83"/>
      <c r="BN485" s="83"/>
      <c r="BO485" s="83"/>
      <c r="BP485" s="83"/>
      <c r="BQ485" s="83"/>
      <c r="BR485" s="83"/>
      <c r="BS485" s="83"/>
      <c r="BT485" s="83"/>
      <c r="BU485" s="83"/>
    </row>
    <row r="486" spans="15:73"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  <c r="BA486" s="83"/>
      <c r="BB486" s="83"/>
      <c r="BC486" s="83"/>
      <c r="BD486" s="83"/>
      <c r="BE486" s="83"/>
      <c r="BF486" s="83"/>
      <c r="BG486" s="83"/>
      <c r="BH486" s="83"/>
      <c r="BI486" s="83"/>
      <c r="BJ486" s="83"/>
      <c r="BK486" s="83"/>
      <c r="BL486" s="83"/>
      <c r="BM486" s="83"/>
      <c r="BN486" s="83"/>
      <c r="BO486" s="83"/>
      <c r="BP486" s="83"/>
      <c r="BQ486" s="83"/>
      <c r="BR486" s="83"/>
      <c r="BS486" s="83"/>
      <c r="BT486" s="83"/>
      <c r="BU486" s="83"/>
    </row>
    <row r="487" spans="15:73"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  <c r="BA487" s="83"/>
      <c r="BB487" s="83"/>
      <c r="BC487" s="83"/>
      <c r="BD487" s="83"/>
      <c r="BE487" s="83"/>
      <c r="BF487" s="83"/>
      <c r="BG487" s="83"/>
      <c r="BH487" s="83"/>
      <c r="BI487" s="83"/>
      <c r="BJ487" s="83"/>
      <c r="BK487" s="83"/>
      <c r="BL487" s="83"/>
      <c r="BM487" s="83"/>
      <c r="BN487" s="83"/>
      <c r="BO487" s="83"/>
      <c r="BP487" s="83"/>
      <c r="BQ487" s="83"/>
      <c r="BR487" s="83"/>
      <c r="BS487" s="83"/>
      <c r="BT487" s="83"/>
      <c r="BU487" s="83"/>
    </row>
    <row r="488" spans="15:73"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83"/>
      <c r="AT488" s="83"/>
      <c r="AU488" s="83"/>
      <c r="AV488" s="83"/>
      <c r="AW488" s="83"/>
      <c r="AX488" s="83"/>
      <c r="AY488" s="83"/>
      <c r="AZ488" s="83"/>
      <c r="BA488" s="83"/>
      <c r="BB488" s="83"/>
      <c r="BC488" s="83"/>
      <c r="BD488" s="83"/>
      <c r="BE488" s="83"/>
      <c r="BF488" s="83"/>
      <c r="BG488" s="83"/>
      <c r="BH488" s="83"/>
      <c r="BI488" s="83"/>
      <c r="BJ488" s="83"/>
      <c r="BK488" s="83"/>
      <c r="BL488" s="83"/>
      <c r="BM488" s="83"/>
      <c r="BN488" s="83"/>
      <c r="BO488" s="83"/>
      <c r="BP488" s="83"/>
      <c r="BQ488" s="83"/>
      <c r="BR488" s="83"/>
      <c r="BS488" s="83"/>
      <c r="BT488" s="83"/>
      <c r="BU488" s="83"/>
    </row>
    <row r="489" spans="15:73"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83"/>
      <c r="BJ489" s="83"/>
      <c r="BK489" s="83"/>
      <c r="BL489" s="83"/>
      <c r="BM489" s="83"/>
      <c r="BN489" s="83"/>
      <c r="BO489" s="83"/>
      <c r="BP489" s="83"/>
      <c r="BQ489" s="83"/>
      <c r="BR489" s="83"/>
      <c r="BS489" s="83"/>
      <c r="BT489" s="83"/>
      <c r="BU489" s="83"/>
    </row>
    <row r="490" spans="15:73"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/>
      <c r="BE490" s="83"/>
      <c r="BF490" s="83"/>
      <c r="BG490" s="83"/>
      <c r="BH490" s="83"/>
      <c r="BI490" s="83"/>
      <c r="BJ490" s="83"/>
      <c r="BK490" s="83"/>
      <c r="BL490" s="83"/>
      <c r="BM490" s="83"/>
      <c r="BN490" s="83"/>
      <c r="BO490" s="83"/>
      <c r="BP490" s="83"/>
      <c r="BQ490" s="83"/>
      <c r="BR490" s="83"/>
      <c r="BS490" s="83"/>
      <c r="BT490" s="83"/>
      <c r="BU490" s="83"/>
    </row>
    <row r="491" spans="15:73"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/>
      <c r="BF491" s="83"/>
      <c r="BG491" s="83"/>
      <c r="BH491" s="83"/>
      <c r="BI491" s="83"/>
      <c r="BJ491" s="83"/>
      <c r="BK491" s="83"/>
      <c r="BL491" s="83"/>
      <c r="BM491" s="83"/>
      <c r="BN491" s="83"/>
      <c r="BO491" s="83"/>
      <c r="BP491" s="83"/>
      <c r="BQ491" s="83"/>
      <c r="BR491" s="83"/>
      <c r="BS491" s="83"/>
      <c r="BT491" s="83"/>
      <c r="BU491" s="83"/>
    </row>
    <row r="492" spans="15:73"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  <c r="AU492" s="83"/>
      <c r="AV492" s="83"/>
      <c r="AW492" s="83"/>
      <c r="AX492" s="83"/>
      <c r="AY492" s="83"/>
      <c r="AZ492" s="83"/>
      <c r="BA492" s="83"/>
      <c r="BB492" s="83"/>
      <c r="BC492" s="83"/>
      <c r="BD492" s="83"/>
      <c r="BE492" s="83"/>
      <c r="BF492" s="83"/>
      <c r="BG492" s="83"/>
      <c r="BH492" s="83"/>
      <c r="BI492" s="83"/>
      <c r="BJ492" s="83"/>
      <c r="BK492" s="83"/>
      <c r="BL492" s="83"/>
      <c r="BM492" s="83"/>
      <c r="BN492" s="83"/>
      <c r="BO492" s="83"/>
      <c r="BP492" s="83"/>
      <c r="BQ492" s="83"/>
      <c r="BR492" s="83"/>
      <c r="BS492" s="83"/>
      <c r="BT492" s="83"/>
      <c r="BU492" s="83"/>
    </row>
    <row r="493" spans="15:73"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  <c r="BA493" s="83"/>
      <c r="BB493" s="83"/>
      <c r="BC493" s="83"/>
      <c r="BD493" s="83"/>
      <c r="BE493" s="83"/>
      <c r="BF493" s="83"/>
      <c r="BG493" s="83"/>
      <c r="BH493" s="83"/>
      <c r="BI493" s="83"/>
      <c r="BJ493" s="83"/>
      <c r="BK493" s="83"/>
      <c r="BL493" s="83"/>
      <c r="BM493" s="83"/>
      <c r="BN493" s="83"/>
      <c r="BO493" s="83"/>
      <c r="BP493" s="83"/>
      <c r="BQ493" s="83"/>
      <c r="BR493" s="83"/>
      <c r="BS493" s="83"/>
      <c r="BT493" s="83"/>
      <c r="BU493" s="83"/>
    </row>
    <row r="494" spans="15:73"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3"/>
      <c r="BD494" s="83"/>
      <c r="BE494" s="83"/>
      <c r="BF494" s="83"/>
      <c r="BG494" s="83"/>
      <c r="BH494" s="83"/>
      <c r="BI494" s="83"/>
      <c r="BJ494" s="83"/>
      <c r="BK494" s="83"/>
      <c r="BL494" s="83"/>
      <c r="BM494" s="83"/>
      <c r="BN494" s="83"/>
      <c r="BO494" s="83"/>
      <c r="BP494" s="83"/>
      <c r="BQ494" s="83"/>
      <c r="BR494" s="83"/>
      <c r="BS494" s="83"/>
      <c r="BT494" s="83"/>
      <c r="BU494" s="83"/>
    </row>
    <row r="495" spans="15:73"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3"/>
      <c r="BD495" s="83"/>
      <c r="BE495" s="83"/>
      <c r="BF495" s="83"/>
      <c r="BG495" s="83"/>
      <c r="BH495" s="83"/>
      <c r="BI495" s="83"/>
      <c r="BJ495" s="83"/>
      <c r="BK495" s="83"/>
      <c r="BL495" s="83"/>
      <c r="BM495" s="83"/>
      <c r="BN495" s="83"/>
      <c r="BO495" s="83"/>
      <c r="BP495" s="83"/>
      <c r="BQ495" s="83"/>
      <c r="BR495" s="83"/>
      <c r="BS495" s="83"/>
      <c r="BT495" s="83"/>
      <c r="BU495" s="83"/>
    </row>
    <row r="496" spans="15:73"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/>
      <c r="AW496" s="83"/>
      <c r="AX496" s="83"/>
      <c r="AY496" s="83"/>
      <c r="AZ496" s="83"/>
      <c r="BA496" s="83"/>
      <c r="BB496" s="83"/>
      <c r="BC496" s="83"/>
      <c r="BD496" s="83"/>
      <c r="BE496" s="83"/>
      <c r="BF496" s="83"/>
      <c r="BG496" s="83"/>
      <c r="BH496" s="83"/>
      <c r="BI496" s="83"/>
      <c r="BJ496" s="83"/>
      <c r="BK496" s="83"/>
      <c r="BL496" s="83"/>
      <c r="BM496" s="83"/>
      <c r="BN496" s="83"/>
      <c r="BO496" s="83"/>
      <c r="BP496" s="83"/>
      <c r="BQ496" s="83"/>
      <c r="BR496" s="83"/>
      <c r="BS496" s="83"/>
      <c r="BT496" s="83"/>
      <c r="BU496" s="83"/>
    </row>
    <row r="497" spans="15:73"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  <c r="BA497" s="83"/>
      <c r="BB497" s="83"/>
      <c r="BC497" s="83"/>
      <c r="BD497" s="83"/>
      <c r="BE497" s="83"/>
      <c r="BF497" s="83"/>
      <c r="BG497" s="83"/>
      <c r="BH497" s="83"/>
      <c r="BI497" s="83"/>
      <c r="BJ497" s="83"/>
      <c r="BK497" s="83"/>
      <c r="BL497" s="83"/>
      <c r="BM497" s="83"/>
      <c r="BN497" s="83"/>
      <c r="BO497" s="83"/>
      <c r="BP497" s="83"/>
      <c r="BQ497" s="83"/>
      <c r="BR497" s="83"/>
      <c r="BS497" s="83"/>
      <c r="BT497" s="83"/>
      <c r="BU497" s="83"/>
    </row>
    <row r="498" spans="15:73"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  <c r="BA498" s="83"/>
      <c r="BB498" s="83"/>
      <c r="BC498" s="83"/>
      <c r="BD498" s="83"/>
      <c r="BE498" s="83"/>
      <c r="BF498" s="83"/>
      <c r="BG498" s="83"/>
      <c r="BH498" s="83"/>
      <c r="BI498" s="83"/>
      <c r="BJ498" s="83"/>
      <c r="BK498" s="83"/>
      <c r="BL498" s="83"/>
      <c r="BM498" s="83"/>
      <c r="BN498" s="83"/>
      <c r="BO498" s="83"/>
      <c r="BP498" s="83"/>
      <c r="BQ498" s="83"/>
      <c r="BR498" s="83"/>
      <c r="BS498" s="83"/>
      <c r="BT498" s="83"/>
      <c r="BU498" s="83"/>
    </row>
    <row r="499" spans="15:73"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/>
      <c r="AX499" s="83"/>
      <c r="AY499" s="83"/>
      <c r="AZ499" s="83"/>
      <c r="BA499" s="83"/>
      <c r="BB499" s="83"/>
      <c r="BC499" s="83"/>
      <c r="BD499" s="83"/>
      <c r="BE499" s="83"/>
      <c r="BF499" s="83"/>
      <c r="BG499" s="83"/>
      <c r="BH499" s="83"/>
      <c r="BI499" s="83"/>
      <c r="BJ499" s="83"/>
      <c r="BK499" s="83"/>
      <c r="BL499" s="83"/>
      <c r="BM499" s="83"/>
      <c r="BN499" s="83"/>
      <c r="BO499" s="83"/>
      <c r="BP499" s="83"/>
      <c r="BQ499" s="83"/>
      <c r="BR499" s="83"/>
      <c r="BS499" s="83"/>
      <c r="BT499" s="83"/>
      <c r="BU499" s="83"/>
    </row>
    <row r="500" spans="15:73"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  <c r="BA500" s="83"/>
      <c r="BB500" s="83"/>
      <c r="BC500" s="83"/>
      <c r="BD500" s="83"/>
      <c r="BE500" s="83"/>
      <c r="BF500" s="83"/>
      <c r="BG500" s="83"/>
      <c r="BH500" s="83"/>
      <c r="BI500" s="83"/>
      <c r="BJ500" s="83"/>
      <c r="BK500" s="83"/>
      <c r="BL500" s="83"/>
      <c r="BM500" s="83"/>
      <c r="BN500" s="83"/>
      <c r="BO500" s="83"/>
      <c r="BP500" s="83"/>
      <c r="BQ500" s="83"/>
      <c r="BR500" s="83"/>
      <c r="BS500" s="83"/>
      <c r="BT500" s="83"/>
      <c r="BU500" s="83"/>
    </row>
    <row r="501" spans="15:73"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/>
      <c r="BF501" s="83"/>
      <c r="BG501" s="83"/>
      <c r="BH501" s="83"/>
      <c r="BI501" s="83"/>
      <c r="BJ501" s="83"/>
      <c r="BK501" s="83"/>
      <c r="BL501" s="83"/>
      <c r="BM501" s="83"/>
      <c r="BN501" s="83"/>
      <c r="BO501" s="83"/>
      <c r="BP501" s="83"/>
      <c r="BQ501" s="83"/>
      <c r="BR501" s="83"/>
      <c r="BS501" s="83"/>
      <c r="BT501" s="83"/>
      <c r="BU501" s="83"/>
    </row>
    <row r="502" spans="15:73"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  <c r="BA502" s="83"/>
      <c r="BB502" s="83"/>
      <c r="BC502" s="83"/>
      <c r="BD502" s="83"/>
      <c r="BE502" s="83"/>
      <c r="BF502" s="83"/>
      <c r="BG502" s="83"/>
      <c r="BH502" s="83"/>
      <c r="BI502" s="83"/>
      <c r="BJ502" s="83"/>
      <c r="BK502" s="83"/>
      <c r="BL502" s="83"/>
      <c r="BM502" s="83"/>
      <c r="BN502" s="83"/>
      <c r="BO502" s="83"/>
      <c r="BP502" s="83"/>
      <c r="BQ502" s="83"/>
      <c r="BR502" s="83"/>
      <c r="BS502" s="83"/>
      <c r="BT502" s="83"/>
      <c r="BU502" s="83"/>
    </row>
    <row r="503" spans="15:73"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  <c r="BA503" s="83"/>
      <c r="BB503" s="83"/>
      <c r="BC503" s="83"/>
      <c r="BD503" s="83"/>
      <c r="BE503" s="83"/>
      <c r="BF503" s="83"/>
      <c r="BG503" s="83"/>
      <c r="BH503" s="83"/>
      <c r="BI503" s="83"/>
      <c r="BJ503" s="83"/>
      <c r="BK503" s="83"/>
      <c r="BL503" s="83"/>
      <c r="BM503" s="83"/>
      <c r="BN503" s="83"/>
      <c r="BO503" s="83"/>
      <c r="BP503" s="83"/>
      <c r="BQ503" s="83"/>
      <c r="BR503" s="83"/>
      <c r="BS503" s="83"/>
      <c r="BT503" s="83"/>
      <c r="BU503" s="83"/>
    </row>
    <row r="504" spans="15:73"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83"/>
      <c r="AW504" s="83"/>
      <c r="AX504" s="83"/>
      <c r="AY504" s="83"/>
      <c r="AZ504" s="83"/>
      <c r="BA504" s="83"/>
      <c r="BB504" s="83"/>
      <c r="BC504" s="83"/>
      <c r="BD504" s="83"/>
      <c r="BE504" s="83"/>
      <c r="BF504" s="83"/>
      <c r="BG504" s="83"/>
      <c r="BH504" s="83"/>
      <c r="BI504" s="83"/>
      <c r="BJ504" s="83"/>
      <c r="BK504" s="83"/>
      <c r="BL504" s="83"/>
      <c r="BM504" s="83"/>
      <c r="BN504" s="83"/>
      <c r="BO504" s="83"/>
      <c r="BP504" s="83"/>
      <c r="BQ504" s="83"/>
      <c r="BR504" s="83"/>
      <c r="BS504" s="83"/>
      <c r="BT504" s="83"/>
      <c r="BU504" s="83"/>
    </row>
    <row r="505" spans="15:73"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/>
      <c r="AU505" s="83"/>
      <c r="AV505" s="83"/>
      <c r="AW505" s="83"/>
      <c r="AX505" s="83"/>
      <c r="AY505" s="83"/>
      <c r="AZ505" s="83"/>
      <c r="BA505" s="83"/>
      <c r="BB505" s="83"/>
      <c r="BC505" s="83"/>
      <c r="BD505" s="83"/>
      <c r="BE505" s="83"/>
      <c r="BF505" s="83"/>
      <c r="BG505" s="83"/>
      <c r="BH505" s="83"/>
      <c r="BI505" s="83"/>
      <c r="BJ505" s="83"/>
      <c r="BK505" s="83"/>
      <c r="BL505" s="83"/>
      <c r="BM505" s="83"/>
      <c r="BN505" s="83"/>
      <c r="BO505" s="83"/>
      <c r="BP505" s="83"/>
      <c r="BQ505" s="83"/>
      <c r="BR505" s="83"/>
      <c r="BS505" s="83"/>
      <c r="BT505" s="83"/>
      <c r="BU505" s="83"/>
    </row>
    <row r="506" spans="15:73"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  <c r="AX506" s="83"/>
      <c r="AY506" s="83"/>
      <c r="AZ506" s="83"/>
      <c r="BA506" s="83"/>
      <c r="BB506" s="83"/>
      <c r="BC506" s="83"/>
      <c r="BD506" s="83"/>
      <c r="BE506" s="83"/>
      <c r="BF506" s="83"/>
      <c r="BG506" s="83"/>
      <c r="BH506" s="83"/>
      <c r="BI506" s="83"/>
      <c r="BJ506" s="83"/>
      <c r="BK506" s="83"/>
      <c r="BL506" s="83"/>
      <c r="BM506" s="83"/>
      <c r="BN506" s="83"/>
      <c r="BO506" s="83"/>
      <c r="BP506" s="83"/>
      <c r="BQ506" s="83"/>
      <c r="BR506" s="83"/>
      <c r="BS506" s="83"/>
      <c r="BT506" s="83"/>
      <c r="BU506" s="83"/>
    </row>
    <row r="507" spans="15:73"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  <c r="BA507" s="83"/>
      <c r="BB507" s="83"/>
      <c r="BC507" s="83"/>
      <c r="BD507" s="83"/>
      <c r="BE507" s="83"/>
      <c r="BF507" s="83"/>
      <c r="BG507" s="83"/>
      <c r="BH507" s="83"/>
      <c r="BI507" s="83"/>
      <c r="BJ507" s="83"/>
      <c r="BK507" s="83"/>
      <c r="BL507" s="83"/>
      <c r="BM507" s="83"/>
      <c r="BN507" s="83"/>
      <c r="BO507" s="83"/>
      <c r="BP507" s="83"/>
      <c r="BQ507" s="83"/>
      <c r="BR507" s="83"/>
      <c r="BS507" s="83"/>
      <c r="BT507" s="83"/>
      <c r="BU507" s="83"/>
    </row>
    <row r="508" spans="15:73"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/>
      <c r="AX508" s="83"/>
      <c r="AY508" s="83"/>
      <c r="AZ508" s="83"/>
      <c r="BA508" s="83"/>
      <c r="BB508" s="83"/>
      <c r="BC508" s="83"/>
      <c r="BD508" s="83"/>
      <c r="BE508" s="83"/>
      <c r="BF508" s="83"/>
      <c r="BG508" s="83"/>
      <c r="BH508" s="83"/>
      <c r="BI508" s="83"/>
      <c r="BJ508" s="83"/>
      <c r="BK508" s="83"/>
      <c r="BL508" s="83"/>
      <c r="BM508" s="83"/>
      <c r="BN508" s="83"/>
      <c r="BO508" s="83"/>
      <c r="BP508" s="83"/>
      <c r="BQ508" s="83"/>
      <c r="BR508" s="83"/>
      <c r="BS508" s="83"/>
      <c r="BT508" s="83"/>
      <c r="BU508" s="83"/>
    </row>
    <row r="509" spans="15:73"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  <c r="BA509" s="83"/>
      <c r="BB509" s="83"/>
      <c r="BC509" s="83"/>
      <c r="BD509" s="83"/>
      <c r="BE509" s="83"/>
      <c r="BF509" s="83"/>
      <c r="BG509" s="83"/>
      <c r="BH509" s="83"/>
      <c r="BI509" s="83"/>
      <c r="BJ509" s="83"/>
      <c r="BK509" s="83"/>
      <c r="BL509" s="83"/>
      <c r="BM509" s="83"/>
      <c r="BN509" s="83"/>
      <c r="BO509" s="83"/>
      <c r="BP509" s="83"/>
      <c r="BQ509" s="83"/>
      <c r="BR509" s="83"/>
      <c r="BS509" s="83"/>
      <c r="BT509" s="83"/>
      <c r="BU509" s="83"/>
    </row>
    <row r="510" spans="15:73"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83"/>
      <c r="BM510" s="83"/>
      <c r="BN510" s="83"/>
      <c r="BO510" s="83"/>
      <c r="BP510" s="83"/>
      <c r="BQ510" s="83"/>
      <c r="BR510" s="83"/>
      <c r="BS510" s="83"/>
      <c r="BT510" s="83"/>
      <c r="BU510" s="83"/>
    </row>
    <row r="511" spans="15:73"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83"/>
      <c r="BM511" s="83"/>
      <c r="BN511" s="83"/>
      <c r="BO511" s="83"/>
      <c r="BP511" s="83"/>
      <c r="BQ511" s="83"/>
      <c r="BR511" s="83"/>
      <c r="BS511" s="83"/>
      <c r="BT511" s="83"/>
      <c r="BU511" s="83"/>
    </row>
    <row r="512" spans="15:73"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/>
      <c r="AX512" s="83"/>
      <c r="AY512" s="83"/>
      <c r="AZ512" s="83"/>
      <c r="BA512" s="83"/>
      <c r="BB512" s="83"/>
      <c r="BC512" s="83"/>
      <c r="BD512" s="83"/>
      <c r="BE512" s="83"/>
      <c r="BF512" s="83"/>
      <c r="BG512" s="83"/>
      <c r="BH512" s="83"/>
      <c r="BI512" s="83"/>
      <c r="BJ512" s="83"/>
      <c r="BK512" s="83"/>
      <c r="BL512" s="83"/>
      <c r="BM512" s="83"/>
      <c r="BN512" s="83"/>
      <c r="BO512" s="83"/>
      <c r="BP512" s="83"/>
      <c r="BQ512" s="83"/>
      <c r="BR512" s="83"/>
      <c r="BS512" s="83"/>
      <c r="BT512" s="83"/>
      <c r="BU512" s="83"/>
    </row>
    <row r="513" spans="15:73"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83"/>
      <c r="BB513" s="83"/>
      <c r="BC513" s="83"/>
      <c r="BD513" s="83"/>
      <c r="BE513" s="83"/>
      <c r="BF513" s="83"/>
      <c r="BG513" s="83"/>
      <c r="BH513" s="83"/>
      <c r="BI513" s="83"/>
      <c r="BJ513" s="83"/>
      <c r="BK513" s="83"/>
      <c r="BL513" s="83"/>
      <c r="BM513" s="83"/>
      <c r="BN513" s="83"/>
      <c r="BO513" s="83"/>
      <c r="BP513" s="83"/>
      <c r="BQ513" s="83"/>
      <c r="BR513" s="83"/>
      <c r="BS513" s="83"/>
      <c r="BT513" s="83"/>
      <c r="BU513" s="83"/>
    </row>
    <row r="514" spans="15:73"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83"/>
      <c r="BC514" s="83"/>
      <c r="BD514" s="83"/>
      <c r="BE514" s="83"/>
      <c r="BF514" s="83"/>
      <c r="BG514" s="83"/>
      <c r="BH514" s="83"/>
      <c r="BI514" s="83"/>
      <c r="BJ514" s="83"/>
      <c r="BK514" s="83"/>
      <c r="BL514" s="83"/>
      <c r="BM514" s="83"/>
      <c r="BN514" s="83"/>
      <c r="BO514" s="83"/>
      <c r="BP514" s="83"/>
      <c r="BQ514" s="83"/>
      <c r="BR514" s="83"/>
      <c r="BS514" s="83"/>
      <c r="BT514" s="83"/>
      <c r="BU514" s="83"/>
    </row>
    <row r="515" spans="15:73"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  <c r="BC515" s="83"/>
      <c r="BD515" s="83"/>
      <c r="BE515" s="83"/>
      <c r="BF515" s="83"/>
      <c r="BG515" s="83"/>
      <c r="BH515" s="83"/>
      <c r="BI515" s="83"/>
      <c r="BJ515" s="83"/>
      <c r="BK515" s="83"/>
      <c r="BL515" s="83"/>
      <c r="BM515" s="83"/>
      <c r="BN515" s="83"/>
      <c r="BO515" s="83"/>
      <c r="BP515" s="83"/>
      <c r="BQ515" s="83"/>
      <c r="BR515" s="83"/>
      <c r="BS515" s="83"/>
      <c r="BT515" s="83"/>
      <c r="BU515" s="83"/>
    </row>
    <row r="516" spans="15:73"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  <c r="BA516" s="83"/>
      <c r="BB516" s="83"/>
      <c r="BC516" s="83"/>
      <c r="BD516" s="83"/>
      <c r="BE516" s="83"/>
      <c r="BF516" s="83"/>
      <c r="BG516" s="83"/>
      <c r="BH516" s="83"/>
      <c r="BI516" s="83"/>
      <c r="BJ516" s="83"/>
      <c r="BK516" s="83"/>
      <c r="BL516" s="83"/>
      <c r="BM516" s="83"/>
      <c r="BN516" s="83"/>
      <c r="BO516" s="83"/>
      <c r="BP516" s="83"/>
      <c r="BQ516" s="83"/>
      <c r="BR516" s="83"/>
      <c r="BS516" s="83"/>
      <c r="BT516" s="83"/>
      <c r="BU516" s="83"/>
    </row>
    <row r="517" spans="15:73"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  <c r="BC517" s="83"/>
      <c r="BD517" s="83"/>
      <c r="BE517" s="83"/>
      <c r="BF517" s="83"/>
      <c r="BG517" s="83"/>
      <c r="BH517" s="83"/>
      <c r="BI517" s="83"/>
      <c r="BJ517" s="83"/>
      <c r="BK517" s="83"/>
      <c r="BL517" s="83"/>
      <c r="BM517" s="83"/>
      <c r="BN517" s="83"/>
      <c r="BO517" s="83"/>
      <c r="BP517" s="83"/>
      <c r="BQ517" s="83"/>
      <c r="BR517" s="83"/>
      <c r="BS517" s="83"/>
      <c r="BT517" s="83"/>
      <c r="BU517" s="83"/>
    </row>
    <row r="518" spans="15:73"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AY518" s="83"/>
      <c r="AZ518" s="83"/>
      <c r="BA518" s="83"/>
      <c r="BB518" s="83"/>
      <c r="BC518" s="83"/>
      <c r="BD518" s="83"/>
      <c r="BE518" s="83"/>
      <c r="BF518" s="83"/>
      <c r="BG518" s="83"/>
      <c r="BH518" s="83"/>
      <c r="BI518" s="83"/>
      <c r="BJ518" s="83"/>
      <c r="BK518" s="83"/>
      <c r="BL518" s="83"/>
      <c r="BM518" s="83"/>
      <c r="BN518" s="83"/>
      <c r="BO518" s="83"/>
      <c r="BP518" s="83"/>
      <c r="BQ518" s="83"/>
      <c r="BR518" s="83"/>
      <c r="BS518" s="83"/>
      <c r="BT518" s="83"/>
      <c r="BU518" s="83"/>
    </row>
    <row r="519" spans="15:73"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AY519" s="83"/>
      <c r="AZ519" s="83"/>
      <c r="BA519" s="83"/>
      <c r="BB519" s="83"/>
      <c r="BC519" s="83"/>
      <c r="BD519" s="83"/>
      <c r="BE519" s="83"/>
      <c r="BF519" s="83"/>
      <c r="BG519" s="83"/>
      <c r="BH519" s="83"/>
      <c r="BI519" s="83"/>
      <c r="BJ519" s="83"/>
      <c r="BK519" s="83"/>
      <c r="BL519" s="83"/>
      <c r="BM519" s="83"/>
      <c r="BN519" s="83"/>
      <c r="BO519" s="83"/>
      <c r="BP519" s="83"/>
      <c r="BQ519" s="83"/>
      <c r="BR519" s="83"/>
      <c r="BS519" s="83"/>
      <c r="BT519" s="83"/>
      <c r="BU519" s="83"/>
    </row>
    <row r="520" spans="15:73"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/>
      <c r="AU520" s="83"/>
      <c r="AV520" s="83"/>
      <c r="AW520" s="83"/>
      <c r="AX520" s="83"/>
      <c r="AY520" s="83"/>
      <c r="AZ520" s="83"/>
      <c r="BA520" s="83"/>
      <c r="BB520" s="83"/>
      <c r="BC520" s="83"/>
      <c r="BD520" s="83"/>
      <c r="BE520" s="83"/>
      <c r="BF520" s="83"/>
      <c r="BG520" s="83"/>
      <c r="BH520" s="83"/>
      <c r="BI520" s="83"/>
      <c r="BJ520" s="83"/>
      <c r="BK520" s="83"/>
      <c r="BL520" s="83"/>
      <c r="BM520" s="83"/>
      <c r="BN520" s="83"/>
      <c r="BO520" s="83"/>
      <c r="BP520" s="83"/>
      <c r="BQ520" s="83"/>
      <c r="BR520" s="83"/>
      <c r="BS520" s="83"/>
      <c r="BT520" s="83"/>
      <c r="BU520" s="83"/>
    </row>
    <row r="521" spans="15:73"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/>
      <c r="AX521" s="83"/>
      <c r="AY521" s="83"/>
      <c r="AZ521" s="83"/>
      <c r="BA521" s="83"/>
      <c r="BB521" s="83"/>
      <c r="BC521" s="83"/>
      <c r="BD521" s="83"/>
      <c r="BE521" s="83"/>
      <c r="BF521" s="83"/>
      <c r="BG521" s="83"/>
      <c r="BH521" s="83"/>
      <c r="BI521" s="83"/>
      <c r="BJ521" s="83"/>
      <c r="BK521" s="83"/>
      <c r="BL521" s="83"/>
      <c r="BM521" s="83"/>
      <c r="BN521" s="83"/>
      <c r="BO521" s="83"/>
      <c r="BP521" s="83"/>
      <c r="BQ521" s="83"/>
      <c r="BR521" s="83"/>
      <c r="BS521" s="83"/>
      <c r="BT521" s="83"/>
      <c r="BU521" s="83"/>
    </row>
    <row r="522" spans="15:73"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/>
      <c r="AX522" s="83"/>
      <c r="AY522" s="83"/>
      <c r="AZ522" s="83"/>
      <c r="BA522" s="83"/>
      <c r="BB522" s="83"/>
      <c r="BC522" s="83"/>
      <c r="BD522" s="83"/>
      <c r="BE522" s="83"/>
      <c r="BF522" s="83"/>
      <c r="BG522" s="83"/>
      <c r="BH522" s="83"/>
      <c r="BI522" s="83"/>
      <c r="BJ522" s="83"/>
      <c r="BK522" s="83"/>
      <c r="BL522" s="83"/>
      <c r="BM522" s="83"/>
      <c r="BN522" s="83"/>
      <c r="BO522" s="83"/>
      <c r="BP522" s="83"/>
      <c r="BQ522" s="83"/>
      <c r="BR522" s="83"/>
      <c r="BS522" s="83"/>
      <c r="BT522" s="83"/>
      <c r="BU522" s="83"/>
    </row>
    <row r="523" spans="15:73"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/>
      <c r="AU523" s="83"/>
      <c r="AV523" s="83"/>
      <c r="AW523" s="83"/>
      <c r="AX523" s="83"/>
      <c r="AY523" s="83"/>
      <c r="AZ523" s="83"/>
      <c r="BA523" s="83"/>
      <c r="BB523" s="83"/>
      <c r="BC523" s="83"/>
      <c r="BD523" s="83"/>
      <c r="BE523" s="83"/>
      <c r="BF523" s="83"/>
      <c r="BG523" s="83"/>
      <c r="BH523" s="83"/>
      <c r="BI523" s="83"/>
      <c r="BJ523" s="83"/>
      <c r="BK523" s="83"/>
      <c r="BL523" s="83"/>
      <c r="BM523" s="83"/>
      <c r="BN523" s="83"/>
      <c r="BO523" s="83"/>
      <c r="BP523" s="83"/>
      <c r="BQ523" s="83"/>
      <c r="BR523" s="83"/>
      <c r="BS523" s="83"/>
      <c r="BT523" s="83"/>
      <c r="BU523" s="83"/>
    </row>
    <row r="524" spans="15:73"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/>
      <c r="AW524" s="83"/>
      <c r="AX524" s="83"/>
      <c r="AY524" s="83"/>
      <c r="AZ524" s="83"/>
      <c r="BA524" s="83"/>
      <c r="BB524" s="83"/>
      <c r="BC524" s="83"/>
      <c r="BD524" s="83"/>
      <c r="BE524" s="83"/>
      <c r="BF524" s="83"/>
      <c r="BG524" s="83"/>
      <c r="BH524" s="83"/>
      <c r="BI524" s="83"/>
      <c r="BJ524" s="83"/>
      <c r="BK524" s="83"/>
      <c r="BL524" s="83"/>
      <c r="BM524" s="83"/>
      <c r="BN524" s="83"/>
      <c r="BO524" s="83"/>
      <c r="BP524" s="83"/>
      <c r="BQ524" s="83"/>
      <c r="BR524" s="83"/>
      <c r="BS524" s="83"/>
      <c r="BT524" s="83"/>
      <c r="BU524" s="83"/>
    </row>
    <row r="525" spans="15:73"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AY525" s="83"/>
      <c r="AZ525" s="83"/>
      <c r="BA525" s="83"/>
      <c r="BB525" s="83"/>
      <c r="BC525" s="83"/>
      <c r="BD525" s="83"/>
      <c r="BE525" s="83"/>
      <c r="BF525" s="83"/>
      <c r="BG525" s="83"/>
      <c r="BH525" s="83"/>
      <c r="BI525" s="83"/>
      <c r="BJ525" s="83"/>
      <c r="BK525" s="83"/>
      <c r="BL525" s="83"/>
      <c r="BM525" s="83"/>
      <c r="BN525" s="83"/>
      <c r="BO525" s="83"/>
      <c r="BP525" s="83"/>
      <c r="BQ525" s="83"/>
      <c r="BR525" s="83"/>
      <c r="BS525" s="83"/>
      <c r="BT525" s="83"/>
      <c r="BU525" s="83"/>
    </row>
    <row r="526" spans="15:73"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/>
      <c r="AX526" s="83"/>
      <c r="AY526" s="83"/>
      <c r="AZ526" s="83"/>
      <c r="BA526" s="83"/>
      <c r="BB526" s="83"/>
      <c r="BC526" s="83"/>
      <c r="BD526" s="83"/>
      <c r="BE526" s="83"/>
      <c r="BF526" s="83"/>
      <c r="BG526" s="83"/>
      <c r="BH526" s="83"/>
      <c r="BI526" s="83"/>
      <c r="BJ526" s="83"/>
      <c r="BK526" s="83"/>
      <c r="BL526" s="83"/>
      <c r="BM526" s="83"/>
      <c r="BN526" s="83"/>
      <c r="BO526" s="83"/>
      <c r="BP526" s="83"/>
      <c r="BQ526" s="83"/>
      <c r="BR526" s="83"/>
      <c r="BS526" s="83"/>
      <c r="BT526" s="83"/>
      <c r="BU526" s="83"/>
    </row>
    <row r="527" spans="15:73"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/>
      <c r="AW527" s="83"/>
      <c r="AX527" s="83"/>
      <c r="AY527" s="83"/>
      <c r="AZ527" s="83"/>
      <c r="BA527" s="83"/>
      <c r="BB527" s="83"/>
      <c r="BC527" s="83"/>
      <c r="BD527" s="83"/>
      <c r="BE527" s="83"/>
      <c r="BF527" s="83"/>
      <c r="BG527" s="83"/>
      <c r="BH527" s="83"/>
      <c r="BI527" s="83"/>
      <c r="BJ527" s="83"/>
      <c r="BK527" s="83"/>
      <c r="BL527" s="83"/>
      <c r="BM527" s="83"/>
      <c r="BN527" s="83"/>
      <c r="BO527" s="83"/>
      <c r="BP527" s="83"/>
      <c r="BQ527" s="83"/>
      <c r="BR527" s="83"/>
      <c r="BS527" s="83"/>
      <c r="BT527" s="83"/>
      <c r="BU527" s="83"/>
    </row>
    <row r="528" spans="15:73"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/>
      <c r="AX528" s="83"/>
      <c r="AY528" s="83"/>
      <c r="AZ528" s="83"/>
      <c r="BA528" s="83"/>
      <c r="BB528" s="83"/>
      <c r="BC528" s="83"/>
      <c r="BD528" s="83"/>
      <c r="BE528" s="83"/>
      <c r="BF528" s="83"/>
      <c r="BG528" s="83"/>
      <c r="BH528" s="83"/>
      <c r="BI528" s="83"/>
      <c r="BJ528" s="83"/>
      <c r="BK528" s="83"/>
      <c r="BL528" s="83"/>
      <c r="BM528" s="83"/>
      <c r="BN528" s="83"/>
      <c r="BO528" s="83"/>
      <c r="BP528" s="83"/>
      <c r="BQ528" s="83"/>
      <c r="BR528" s="83"/>
      <c r="BS528" s="83"/>
      <c r="BT528" s="83"/>
      <c r="BU528" s="83"/>
    </row>
    <row r="529" spans="15:73"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/>
      <c r="AX529" s="83"/>
      <c r="AY529" s="83"/>
      <c r="AZ529" s="83"/>
      <c r="BA529" s="83"/>
      <c r="BB529" s="83"/>
      <c r="BC529" s="83"/>
      <c r="BD529" s="83"/>
      <c r="BE529" s="83"/>
      <c r="BF529" s="83"/>
      <c r="BG529" s="83"/>
      <c r="BH529" s="83"/>
      <c r="BI529" s="83"/>
      <c r="BJ529" s="83"/>
      <c r="BK529" s="83"/>
      <c r="BL529" s="83"/>
      <c r="BM529" s="83"/>
      <c r="BN529" s="83"/>
      <c r="BO529" s="83"/>
      <c r="BP529" s="83"/>
      <c r="BQ529" s="83"/>
      <c r="BR529" s="83"/>
      <c r="BS529" s="83"/>
      <c r="BT529" s="83"/>
      <c r="BU529" s="83"/>
    </row>
    <row r="530" spans="15:73"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/>
      <c r="AW530" s="83"/>
      <c r="AX530" s="83"/>
      <c r="AY530" s="83"/>
      <c r="AZ530" s="83"/>
      <c r="BA530" s="83"/>
      <c r="BB530" s="83"/>
      <c r="BC530" s="83"/>
      <c r="BD530" s="83"/>
      <c r="BE530" s="83"/>
      <c r="BF530" s="83"/>
      <c r="BG530" s="83"/>
      <c r="BH530" s="83"/>
      <c r="BI530" s="83"/>
      <c r="BJ530" s="83"/>
      <c r="BK530" s="83"/>
      <c r="BL530" s="83"/>
      <c r="BM530" s="83"/>
      <c r="BN530" s="83"/>
      <c r="BO530" s="83"/>
      <c r="BP530" s="83"/>
      <c r="BQ530" s="83"/>
      <c r="BR530" s="83"/>
      <c r="BS530" s="83"/>
      <c r="BT530" s="83"/>
      <c r="BU530" s="83"/>
    </row>
    <row r="531" spans="15:73"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  <c r="AX531" s="83"/>
      <c r="AY531" s="83"/>
      <c r="AZ531" s="83"/>
      <c r="BA531" s="83"/>
      <c r="BB531" s="83"/>
      <c r="BC531" s="83"/>
      <c r="BD531" s="83"/>
      <c r="BE531" s="83"/>
      <c r="BF531" s="83"/>
      <c r="BG531" s="83"/>
      <c r="BH531" s="83"/>
      <c r="BI531" s="83"/>
      <c r="BJ531" s="83"/>
      <c r="BK531" s="83"/>
      <c r="BL531" s="83"/>
      <c r="BM531" s="83"/>
      <c r="BN531" s="83"/>
      <c r="BO531" s="83"/>
      <c r="BP531" s="83"/>
      <c r="BQ531" s="83"/>
      <c r="BR531" s="83"/>
      <c r="BS531" s="83"/>
      <c r="BT531" s="83"/>
      <c r="BU531" s="83"/>
    </row>
    <row r="532" spans="15:73"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/>
      <c r="AX532" s="83"/>
      <c r="AY532" s="83"/>
      <c r="AZ532" s="83"/>
      <c r="BA532" s="83"/>
      <c r="BB532" s="83"/>
      <c r="BC532" s="83"/>
      <c r="BD532" s="83"/>
      <c r="BE532" s="83"/>
      <c r="BF532" s="83"/>
      <c r="BG532" s="83"/>
      <c r="BH532" s="83"/>
      <c r="BI532" s="83"/>
      <c r="BJ532" s="83"/>
      <c r="BK532" s="83"/>
      <c r="BL532" s="83"/>
      <c r="BM532" s="83"/>
      <c r="BN532" s="83"/>
      <c r="BO532" s="83"/>
      <c r="BP532" s="83"/>
      <c r="BQ532" s="83"/>
      <c r="BR532" s="83"/>
      <c r="BS532" s="83"/>
      <c r="BT532" s="83"/>
      <c r="BU532" s="83"/>
    </row>
    <row r="533" spans="15:73"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/>
      <c r="AX533" s="83"/>
      <c r="AY533" s="83"/>
      <c r="AZ533" s="83"/>
      <c r="BA533" s="83"/>
      <c r="BB533" s="83"/>
      <c r="BC533" s="83"/>
      <c r="BD533" s="83"/>
      <c r="BE533" s="83"/>
      <c r="BF533" s="83"/>
      <c r="BG533" s="83"/>
      <c r="BH533" s="83"/>
      <c r="BI533" s="83"/>
      <c r="BJ533" s="83"/>
      <c r="BK533" s="83"/>
      <c r="BL533" s="83"/>
      <c r="BM533" s="83"/>
      <c r="BN533" s="83"/>
      <c r="BO533" s="83"/>
      <c r="BP533" s="83"/>
      <c r="BQ533" s="83"/>
      <c r="BR533" s="83"/>
      <c r="BS533" s="83"/>
      <c r="BT533" s="83"/>
      <c r="BU533" s="83"/>
    </row>
    <row r="534" spans="15:73"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/>
      <c r="AX534" s="83"/>
      <c r="AY534" s="83"/>
      <c r="AZ534" s="83"/>
      <c r="BA534" s="83"/>
      <c r="BB534" s="83"/>
      <c r="BC534" s="83"/>
      <c r="BD534" s="83"/>
      <c r="BE534" s="83"/>
      <c r="BF534" s="83"/>
      <c r="BG534" s="83"/>
      <c r="BH534" s="83"/>
      <c r="BI534" s="83"/>
      <c r="BJ534" s="83"/>
      <c r="BK534" s="83"/>
      <c r="BL534" s="83"/>
      <c r="BM534" s="83"/>
      <c r="BN534" s="83"/>
      <c r="BO534" s="83"/>
      <c r="BP534" s="83"/>
      <c r="BQ534" s="83"/>
      <c r="BR534" s="83"/>
      <c r="BS534" s="83"/>
      <c r="BT534" s="83"/>
      <c r="BU534" s="83"/>
    </row>
    <row r="535" spans="15:73"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/>
      <c r="AT535" s="83"/>
      <c r="AU535" s="83"/>
      <c r="AV535" s="83"/>
      <c r="AW535" s="83"/>
      <c r="AX535" s="83"/>
      <c r="AY535" s="83"/>
      <c r="AZ535" s="83"/>
      <c r="BA535" s="83"/>
      <c r="BB535" s="83"/>
      <c r="BC535" s="83"/>
      <c r="BD535" s="83"/>
      <c r="BE535" s="83"/>
      <c r="BF535" s="83"/>
      <c r="BG535" s="83"/>
      <c r="BH535" s="83"/>
      <c r="BI535" s="83"/>
      <c r="BJ535" s="83"/>
      <c r="BK535" s="83"/>
      <c r="BL535" s="83"/>
      <c r="BM535" s="83"/>
      <c r="BN535" s="83"/>
      <c r="BO535" s="83"/>
      <c r="BP535" s="83"/>
      <c r="BQ535" s="83"/>
      <c r="BR535" s="83"/>
      <c r="BS535" s="83"/>
      <c r="BT535" s="83"/>
      <c r="BU535" s="83"/>
    </row>
    <row r="536" spans="15:73"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  <c r="AZ536" s="83"/>
      <c r="BA536" s="83"/>
      <c r="BB536" s="83"/>
      <c r="BC536" s="83"/>
      <c r="BD536" s="83"/>
      <c r="BE536" s="83"/>
      <c r="BF536" s="83"/>
      <c r="BG536" s="83"/>
      <c r="BH536" s="83"/>
      <c r="BI536" s="83"/>
      <c r="BJ536" s="83"/>
      <c r="BK536" s="83"/>
      <c r="BL536" s="83"/>
      <c r="BM536" s="83"/>
      <c r="BN536" s="83"/>
      <c r="BO536" s="83"/>
      <c r="BP536" s="83"/>
      <c r="BQ536" s="83"/>
      <c r="BR536" s="83"/>
      <c r="BS536" s="83"/>
      <c r="BT536" s="83"/>
      <c r="BU536" s="83"/>
    </row>
    <row r="537" spans="15:73"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/>
      <c r="AX537" s="83"/>
      <c r="AY537" s="83"/>
      <c r="AZ537" s="83"/>
      <c r="BA537" s="83"/>
      <c r="BB537" s="83"/>
      <c r="BC537" s="83"/>
      <c r="BD537" s="83"/>
      <c r="BE537" s="83"/>
      <c r="BF537" s="83"/>
      <c r="BG537" s="83"/>
      <c r="BH537" s="83"/>
      <c r="BI537" s="83"/>
      <c r="BJ537" s="83"/>
      <c r="BK537" s="83"/>
      <c r="BL537" s="83"/>
      <c r="BM537" s="83"/>
      <c r="BN537" s="83"/>
      <c r="BO537" s="83"/>
      <c r="BP537" s="83"/>
      <c r="BQ537" s="83"/>
      <c r="BR537" s="83"/>
      <c r="BS537" s="83"/>
      <c r="BT537" s="83"/>
      <c r="BU537" s="83"/>
    </row>
    <row r="538" spans="15:73"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/>
      <c r="AX538" s="83"/>
      <c r="AY538" s="83"/>
      <c r="AZ538" s="83"/>
      <c r="BA538" s="83"/>
      <c r="BB538" s="83"/>
      <c r="BC538" s="83"/>
      <c r="BD538" s="83"/>
      <c r="BE538" s="83"/>
      <c r="BF538" s="83"/>
      <c r="BG538" s="83"/>
      <c r="BH538" s="83"/>
      <c r="BI538" s="83"/>
      <c r="BJ538" s="83"/>
      <c r="BK538" s="83"/>
      <c r="BL538" s="83"/>
      <c r="BM538" s="83"/>
      <c r="BN538" s="83"/>
      <c r="BO538" s="83"/>
      <c r="BP538" s="83"/>
      <c r="BQ538" s="83"/>
      <c r="BR538" s="83"/>
      <c r="BS538" s="83"/>
      <c r="BT538" s="83"/>
      <c r="BU538" s="83"/>
    </row>
    <row r="539" spans="15:73"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83"/>
      <c r="AT539" s="83"/>
      <c r="AU539" s="83"/>
      <c r="AV539" s="83"/>
      <c r="AW539" s="83"/>
      <c r="AX539" s="83"/>
      <c r="AY539" s="83"/>
      <c r="AZ539" s="83"/>
      <c r="BA539" s="83"/>
      <c r="BB539" s="83"/>
      <c r="BC539" s="83"/>
      <c r="BD539" s="83"/>
      <c r="BE539" s="83"/>
      <c r="BF539" s="83"/>
      <c r="BG539" s="83"/>
      <c r="BH539" s="83"/>
      <c r="BI539" s="83"/>
      <c r="BJ539" s="83"/>
      <c r="BK539" s="83"/>
      <c r="BL539" s="83"/>
      <c r="BM539" s="83"/>
      <c r="BN539" s="83"/>
      <c r="BO539" s="83"/>
      <c r="BP539" s="83"/>
      <c r="BQ539" s="83"/>
      <c r="BR539" s="83"/>
      <c r="BS539" s="83"/>
      <c r="BT539" s="83"/>
      <c r="BU539" s="83"/>
    </row>
    <row r="540" spans="15:73"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  <c r="AS540" s="83"/>
      <c r="AT540" s="83"/>
      <c r="AU540" s="83"/>
      <c r="AV540" s="83"/>
      <c r="AW540" s="83"/>
      <c r="AX540" s="83"/>
      <c r="AY540" s="83"/>
      <c r="AZ540" s="83"/>
      <c r="BA540" s="83"/>
      <c r="BB540" s="83"/>
      <c r="BC540" s="83"/>
      <c r="BD540" s="83"/>
      <c r="BE540" s="83"/>
      <c r="BF540" s="83"/>
      <c r="BG540" s="83"/>
      <c r="BH540" s="83"/>
      <c r="BI540" s="83"/>
      <c r="BJ540" s="83"/>
      <c r="BK540" s="83"/>
      <c r="BL540" s="83"/>
      <c r="BM540" s="83"/>
      <c r="BN540" s="83"/>
      <c r="BO540" s="83"/>
      <c r="BP540" s="83"/>
      <c r="BQ540" s="83"/>
      <c r="BR540" s="83"/>
      <c r="BS540" s="83"/>
      <c r="BT540" s="83"/>
      <c r="BU540" s="83"/>
    </row>
    <row r="541" spans="15:73"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/>
      <c r="AW541" s="83"/>
      <c r="AX541" s="83"/>
      <c r="AY541" s="83"/>
      <c r="AZ541" s="83"/>
      <c r="BA541" s="83"/>
      <c r="BB541" s="83"/>
      <c r="BC541" s="83"/>
      <c r="BD541" s="83"/>
      <c r="BE541" s="83"/>
      <c r="BF541" s="83"/>
      <c r="BG541" s="83"/>
      <c r="BH541" s="83"/>
      <c r="BI541" s="83"/>
      <c r="BJ541" s="83"/>
      <c r="BK541" s="83"/>
      <c r="BL541" s="83"/>
      <c r="BM541" s="83"/>
      <c r="BN541" s="83"/>
      <c r="BO541" s="83"/>
      <c r="BP541" s="83"/>
      <c r="BQ541" s="83"/>
      <c r="BR541" s="83"/>
      <c r="BS541" s="83"/>
      <c r="BT541" s="83"/>
      <c r="BU541" s="83"/>
    </row>
    <row r="542" spans="15:73"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/>
      <c r="AU542" s="83"/>
      <c r="AV542" s="83"/>
      <c r="AW542" s="83"/>
      <c r="AX542" s="83"/>
      <c r="AY542" s="83"/>
      <c r="AZ542" s="83"/>
      <c r="BA542" s="83"/>
      <c r="BB542" s="83"/>
      <c r="BC542" s="83"/>
      <c r="BD542" s="83"/>
      <c r="BE542" s="83"/>
      <c r="BF542" s="83"/>
      <c r="BG542" s="83"/>
      <c r="BH542" s="83"/>
      <c r="BI542" s="83"/>
      <c r="BJ542" s="83"/>
      <c r="BK542" s="83"/>
      <c r="BL542" s="83"/>
      <c r="BM542" s="83"/>
      <c r="BN542" s="83"/>
      <c r="BO542" s="83"/>
      <c r="BP542" s="83"/>
      <c r="BQ542" s="83"/>
      <c r="BR542" s="83"/>
      <c r="BS542" s="83"/>
      <c r="BT542" s="83"/>
      <c r="BU542" s="83"/>
    </row>
    <row r="543" spans="15:73"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  <c r="AU543" s="83"/>
      <c r="AV543" s="83"/>
      <c r="AW543" s="83"/>
      <c r="AX543" s="83"/>
      <c r="AY543" s="83"/>
      <c r="AZ543" s="83"/>
      <c r="BA543" s="83"/>
      <c r="BB543" s="83"/>
      <c r="BC543" s="83"/>
      <c r="BD543" s="83"/>
      <c r="BE543" s="83"/>
      <c r="BF543" s="83"/>
      <c r="BG543" s="83"/>
      <c r="BH543" s="83"/>
      <c r="BI543" s="83"/>
      <c r="BJ543" s="83"/>
      <c r="BK543" s="83"/>
      <c r="BL543" s="83"/>
      <c r="BM543" s="83"/>
      <c r="BN543" s="83"/>
      <c r="BO543" s="83"/>
      <c r="BP543" s="83"/>
      <c r="BQ543" s="83"/>
      <c r="BR543" s="83"/>
      <c r="BS543" s="83"/>
      <c r="BT543" s="83"/>
      <c r="BU543" s="83"/>
    </row>
    <row r="544" spans="15:73"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83"/>
      <c r="AT544" s="83"/>
      <c r="AU544" s="83"/>
      <c r="AV544" s="83"/>
      <c r="AW544" s="83"/>
      <c r="AX544" s="83"/>
      <c r="AY544" s="83"/>
      <c r="AZ544" s="83"/>
      <c r="BA544" s="83"/>
      <c r="BB544" s="83"/>
      <c r="BC544" s="83"/>
      <c r="BD544" s="83"/>
      <c r="BE544" s="83"/>
      <c r="BF544" s="83"/>
      <c r="BG544" s="83"/>
      <c r="BH544" s="83"/>
      <c r="BI544" s="83"/>
      <c r="BJ544" s="83"/>
      <c r="BK544" s="83"/>
      <c r="BL544" s="83"/>
      <c r="BM544" s="83"/>
      <c r="BN544" s="83"/>
      <c r="BO544" s="83"/>
      <c r="BP544" s="83"/>
      <c r="BQ544" s="83"/>
      <c r="BR544" s="83"/>
      <c r="BS544" s="83"/>
      <c r="BT544" s="83"/>
      <c r="BU544" s="83"/>
    </row>
    <row r="545" spans="15:73"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  <c r="AU545" s="83"/>
      <c r="AV545" s="83"/>
      <c r="AW545" s="83"/>
      <c r="AX545" s="83"/>
      <c r="AY545" s="83"/>
      <c r="AZ545" s="83"/>
      <c r="BA545" s="83"/>
      <c r="BB545" s="83"/>
      <c r="BC545" s="83"/>
      <c r="BD545" s="83"/>
      <c r="BE545" s="83"/>
      <c r="BF545" s="83"/>
      <c r="BG545" s="83"/>
      <c r="BH545" s="83"/>
      <c r="BI545" s="83"/>
      <c r="BJ545" s="83"/>
      <c r="BK545" s="83"/>
      <c r="BL545" s="83"/>
      <c r="BM545" s="83"/>
      <c r="BN545" s="83"/>
      <c r="BO545" s="83"/>
      <c r="BP545" s="83"/>
      <c r="BQ545" s="83"/>
      <c r="BR545" s="83"/>
      <c r="BS545" s="83"/>
      <c r="BT545" s="83"/>
      <c r="BU545" s="83"/>
    </row>
    <row r="546" spans="15:73"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  <c r="AU546" s="83"/>
      <c r="AV546" s="83"/>
      <c r="AW546" s="83"/>
      <c r="AX546" s="83"/>
      <c r="AY546" s="83"/>
      <c r="AZ546" s="83"/>
      <c r="BA546" s="83"/>
      <c r="BB546" s="83"/>
      <c r="BC546" s="83"/>
      <c r="BD546" s="83"/>
      <c r="BE546" s="83"/>
      <c r="BF546" s="83"/>
      <c r="BG546" s="83"/>
      <c r="BH546" s="83"/>
      <c r="BI546" s="83"/>
      <c r="BJ546" s="83"/>
      <c r="BK546" s="83"/>
      <c r="BL546" s="83"/>
      <c r="BM546" s="83"/>
      <c r="BN546" s="83"/>
      <c r="BO546" s="83"/>
      <c r="BP546" s="83"/>
      <c r="BQ546" s="83"/>
      <c r="BR546" s="83"/>
      <c r="BS546" s="83"/>
      <c r="BT546" s="83"/>
      <c r="BU546" s="83"/>
    </row>
    <row r="547" spans="15:73"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83"/>
      <c r="AW547" s="83"/>
      <c r="AX547" s="83"/>
      <c r="AY547" s="83"/>
      <c r="AZ547" s="83"/>
      <c r="BA547" s="83"/>
      <c r="BB547" s="83"/>
      <c r="BC547" s="83"/>
      <c r="BD547" s="83"/>
      <c r="BE547" s="83"/>
      <c r="BF547" s="83"/>
      <c r="BG547" s="83"/>
      <c r="BH547" s="83"/>
      <c r="BI547" s="83"/>
      <c r="BJ547" s="83"/>
      <c r="BK547" s="83"/>
      <c r="BL547" s="83"/>
      <c r="BM547" s="83"/>
      <c r="BN547" s="83"/>
      <c r="BO547" s="83"/>
      <c r="BP547" s="83"/>
      <c r="BQ547" s="83"/>
      <c r="BR547" s="83"/>
      <c r="BS547" s="83"/>
      <c r="BT547" s="83"/>
      <c r="BU547" s="83"/>
    </row>
    <row r="548" spans="15:73"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  <c r="AU548" s="83"/>
      <c r="AV548" s="83"/>
      <c r="AW548" s="83"/>
      <c r="AX548" s="83"/>
      <c r="AY548" s="83"/>
      <c r="AZ548" s="83"/>
      <c r="BA548" s="83"/>
      <c r="BB548" s="83"/>
      <c r="BC548" s="83"/>
      <c r="BD548" s="83"/>
      <c r="BE548" s="83"/>
      <c r="BF548" s="83"/>
      <c r="BG548" s="83"/>
      <c r="BH548" s="83"/>
      <c r="BI548" s="83"/>
      <c r="BJ548" s="83"/>
      <c r="BK548" s="83"/>
      <c r="BL548" s="83"/>
      <c r="BM548" s="83"/>
      <c r="BN548" s="83"/>
      <c r="BO548" s="83"/>
      <c r="BP548" s="83"/>
      <c r="BQ548" s="83"/>
      <c r="BR548" s="83"/>
      <c r="BS548" s="83"/>
      <c r="BT548" s="83"/>
      <c r="BU548" s="83"/>
    </row>
    <row r="549" spans="15:73"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  <c r="AX549" s="83"/>
      <c r="AY549" s="83"/>
      <c r="AZ549" s="83"/>
      <c r="BA549" s="83"/>
      <c r="BB549" s="83"/>
      <c r="BC549" s="83"/>
      <c r="BD549" s="83"/>
      <c r="BE549" s="83"/>
      <c r="BF549" s="83"/>
      <c r="BG549" s="83"/>
      <c r="BH549" s="83"/>
      <c r="BI549" s="83"/>
      <c r="BJ549" s="83"/>
      <c r="BK549" s="83"/>
      <c r="BL549" s="83"/>
      <c r="BM549" s="83"/>
      <c r="BN549" s="83"/>
      <c r="BO549" s="83"/>
      <c r="BP549" s="83"/>
      <c r="BQ549" s="83"/>
      <c r="BR549" s="83"/>
      <c r="BS549" s="83"/>
      <c r="BT549" s="83"/>
      <c r="BU549" s="83"/>
    </row>
    <row r="550" spans="15:73"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  <c r="AU550" s="83"/>
      <c r="AV550" s="83"/>
      <c r="AW550" s="83"/>
      <c r="AX550" s="83"/>
      <c r="AY550" s="83"/>
      <c r="AZ550" s="83"/>
      <c r="BA550" s="83"/>
      <c r="BB550" s="83"/>
      <c r="BC550" s="83"/>
      <c r="BD550" s="83"/>
      <c r="BE550" s="83"/>
      <c r="BF550" s="83"/>
      <c r="BG550" s="83"/>
      <c r="BH550" s="83"/>
      <c r="BI550" s="83"/>
      <c r="BJ550" s="83"/>
      <c r="BK550" s="83"/>
      <c r="BL550" s="83"/>
      <c r="BM550" s="83"/>
      <c r="BN550" s="83"/>
      <c r="BO550" s="83"/>
      <c r="BP550" s="83"/>
      <c r="BQ550" s="83"/>
      <c r="BR550" s="83"/>
      <c r="BS550" s="83"/>
      <c r="BT550" s="83"/>
      <c r="BU550" s="83"/>
    </row>
    <row r="551" spans="15:73"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  <c r="AT551" s="83"/>
      <c r="AU551" s="83"/>
      <c r="AV551" s="83"/>
      <c r="AW551" s="83"/>
      <c r="AX551" s="83"/>
      <c r="AY551" s="83"/>
      <c r="AZ551" s="83"/>
      <c r="BA551" s="83"/>
      <c r="BB551" s="83"/>
      <c r="BC551" s="83"/>
      <c r="BD551" s="83"/>
      <c r="BE551" s="83"/>
      <c r="BF551" s="83"/>
      <c r="BG551" s="83"/>
      <c r="BH551" s="83"/>
      <c r="BI551" s="83"/>
      <c r="BJ551" s="83"/>
      <c r="BK551" s="83"/>
      <c r="BL551" s="83"/>
      <c r="BM551" s="83"/>
      <c r="BN551" s="83"/>
      <c r="BO551" s="83"/>
      <c r="BP551" s="83"/>
      <c r="BQ551" s="83"/>
      <c r="BR551" s="83"/>
      <c r="BS551" s="83"/>
      <c r="BT551" s="83"/>
      <c r="BU551" s="83"/>
    </row>
    <row r="552" spans="15:73"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/>
      <c r="AU552" s="83"/>
      <c r="AV552" s="83"/>
      <c r="AW552" s="83"/>
      <c r="AX552" s="83"/>
      <c r="AY552" s="83"/>
      <c r="AZ552" s="83"/>
      <c r="BA552" s="83"/>
      <c r="BB552" s="83"/>
      <c r="BC552" s="83"/>
      <c r="BD552" s="83"/>
      <c r="BE552" s="83"/>
      <c r="BF552" s="83"/>
      <c r="BG552" s="83"/>
      <c r="BH552" s="83"/>
      <c r="BI552" s="83"/>
      <c r="BJ552" s="83"/>
      <c r="BK552" s="83"/>
      <c r="BL552" s="83"/>
      <c r="BM552" s="83"/>
      <c r="BN552" s="83"/>
      <c r="BO552" s="83"/>
      <c r="BP552" s="83"/>
      <c r="BQ552" s="83"/>
      <c r="BR552" s="83"/>
      <c r="BS552" s="83"/>
      <c r="BT552" s="83"/>
      <c r="BU552" s="83"/>
    </row>
    <row r="553" spans="15:73"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  <c r="AU553" s="83"/>
      <c r="AV553" s="83"/>
      <c r="AW553" s="83"/>
      <c r="AX553" s="83"/>
      <c r="AY553" s="83"/>
      <c r="AZ553" s="83"/>
      <c r="BA553" s="83"/>
      <c r="BB553" s="83"/>
      <c r="BC553" s="83"/>
      <c r="BD553" s="83"/>
      <c r="BE553" s="83"/>
      <c r="BF553" s="83"/>
      <c r="BG553" s="83"/>
      <c r="BH553" s="83"/>
      <c r="BI553" s="83"/>
      <c r="BJ553" s="83"/>
      <c r="BK553" s="83"/>
      <c r="BL553" s="83"/>
      <c r="BM553" s="83"/>
      <c r="BN553" s="83"/>
      <c r="BO553" s="83"/>
      <c r="BP553" s="83"/>
      <c r="BQ553" s="83"/>
      <c r="BR553" s="83"/>
      <c r="BS553" s="83"/>
      <c r="BT553" s="83"/>
      <c r="BU553" s="83"/>
    </row>
    <row r="554" spans="15:73"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/>
      <c r="AU554" s="83"/>
      <c r="AV554" s="83"/>
      <c r="AW554" s="83"/>
      <c r="AX554" s="83"/>
      <c r="AY554" s="83"/>
      <c r="AZ554" s="83"/>
      <c r="BA554" s="83"/>
      <c r="BB554" s="83"/>
      <c r="BC554" s="83"/>
      <c r="BD554" s="83"/>
      <c r="BE554" s="83"/>
      <c r="BF554" s="83"/>
      <c r="BG554" s="83"/>
      <c r="BH554" s="83"/>
      <c r="BI554" s="83"/>
      <c r="BJ554" s="83"/>
      <c r="BK554" s="83"/>
      <c r="BL554" s="83"/>
      <c r="BM554" s="83"/>
      <c r="BN554" s="83"/>
      <c r="BO554" s="83"/>
      <c r="BP554" s="83"/>
      <c r="BQ554" s="83"/>
      <c r="BR554" s="83"/>
      <c r="BS554" s="83"/>
      <c r="BT554" s="83"/>
      <c r="BU554" s="83"/>
    </row>
    <row r="555" spans="15:73"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  <c r="AR555" s="83"/>
      <c r="AS555" s="83"/>
      <c r="AT555" s="83"/>
      <c r="AU555" s="83"/>
      <c r="AV555" s="83"/>
      <c r="AW555" s="83"/>
      <c r="AX555" s="83"/>
      <c r="AY555" s="83"/>
      <c r="AZ555" s="83"/>
      <c r="BA555" s="83"/>
      <c r="BB555" s="83"/>
      <c r="BC555" s="83"/>
      <c r="BD555" s="83"/>
      <c r="BE555" s="83"/>
      <c r="BF555" s="83"/>
      <c r="BG555" s="83"/>
      <c r="BH555" s="83"/>
      <c r="BI555" s="83"/>
      <c r="BJ555" s="83"/>
      <c r="BK555" s="83"/>
      <c r="BL555" s="83"/>
      <c r="BM555" s="83"/>
      <c r="BN555" s="83"/>
      <c r="BO555" s="83"/>
      <c r="BP555" s="83"/>
      <c r="BQ555" s="83"/>
      <c r="BR555" s="83"/>
      <c r="BS555" s="83"/>
      <c r="BT555" s="83"/>
      <c r="BU555" s="83"/>
    </row>
    <row r="556" spans="15:73"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/>
      <c r="AM556" s="83"/>
      <c r="AN556" s="83"/>
      <c r="AO556" s="83"/>
      <c r="AP556" s="83"/>
      <c r="AQ556" s="83"/>
      <c r="AR556" s="83"/>
      <c r="AS556" s="83"/>
      <c r="AT556" s="83"/>
      <c r="AU556" s="83"/>
      <c r="AV556" s="83"/>
      <c r="AW556" s="83"/>
      <c r="AX556" s="83"/>
      <c r="AY556" s="83"/>
      <c r="AZ556" s="83"/>
      <c r="BA556" s="83"/>
      <c r="BB556" s="83"/>
      <c r="BC556" s="83"/>
      <c r="BD556" s="83"/>
      <c r="BE556" s="83"/>
      <c r="BF556" s="83"/>
      <c r="BG556" s="83"/>
      <c r="BH556" s="83"/>
      <c r="BI556" s="83"/>
      <c r="BJ556" s="83"/>
      <c r="BK556" s="83"/>
      <c r="BL556" s="83"/>
      <c r="BM556" s="83"/>
      <c r="BN556" s="83"/>
      <c r="BO556" s="83"/>
      <c r="BP556" s="83"/>
      <c r="BQ556" s="83"/>
      <c r="BR556" s="83"/>
      <c r="BS556" s="83"/>
      <c r="BT556" s="83"/>
      <c r="BU556" s="83"/>
    </row>
    <row r="557" spans="15:73"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83"/>
      <c r="AT557" s="83"/>
      <c r="AU557" s="83"/>
      <c r="AV557" s="83"/>
      <c r="AW557" s="83"/>
      <c r="AX557" s="83"/>
      <c r="AY557" s="83"/>
      <c r="AZ557" s="83"/>
      <c r="BA557" s="83"/>
      <c r="BB557" s="83"/>
      <c r="BC557" s="83"/>
      <c r="BD557" s="83"/>
      <c r="BE557" s="83"/>
      <c r="BF557" s="83"/>
      <c r="BG557" s="83"/>
      <c r="BH557" s="83"/>
      <c r="BI557" s="83"/>
      <c r="BJ557" s="83"/>
      <c r="BK557" s="83"/>
      <c r="BL557" s="83"/>
      <c r="BM557" s="83"/>
      <c r="BN557" s="83"/>
      <c r="BO557" s="83"/>
      <c r="BP557" s="83"/>
      <c r="BQ557" s="83"/>
      <c r="BR557" s="83"/>
      <c r="BS557" s="83"/>
      <c r="BT557" s="83"/>
      <c r="BU557" s="83"/>
    </row>
    <row r="558" spans="15:73"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  <c r="AS558" s="83"/>
      <c r="AT558" s="83"/>
      <c r="AU558" s="83"/>
      <c r="AV558" s="83"/>
      <c r="AW558" s="83"/>
      <c r="AX558" s="83"/>
      <c r="AY558" s="83"/>
      <c r="AZ558" s="83"/>
      <c r="BA558" s="83"/>
      <c r="BB558" s="83"/>
      <c r="BC558" s="83"/>
      <c r="BD558" s="83"/>
      <c r="BE558" s="83"/>
      <c r="BF558" s="83"/>
      <c r="BG558" s="83"/>
      <c r="BH558" s="83"/>
      <c r="BI558" s="83"/>
      <c r="BJ558" s="83"/>
      <c r="BK558" s="83"/>
      <c r="BL558" s="83"/>
      <c r="BM558" s="83"/>
      <c r="BN558" s="83"/>
      <c r="BO558" s="83"/>
      <c r="BP558" s="83"/>
      <c r="BQ558" s="83"/>
      <c r="BR558" s="83"/>
      <c r="BS558" s="83"/>
      <c r="BT558" s="83"/>
      <c r="BU558" s="83"/>
    </row>
  </sheetData>
  <dataConsolidate link="1"/>
  <phoneticPr fontId="49" type="noConversion"/>
  <pageMargins left="0.75" right="0.75" top="1" bottom="1" header="0.5" footer="0.5"/>
  <pageSetup scale="48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N41"/>
  <sheetViews>
    <sheetView showGridLines="0" zoomScale="70" zoomScaleNormal="70" workbookViewId="0"/>
  </sheetViews>
  <sheetFormatPr defaultColWidth="9.109375" defaultRowHeight="13.2"/>
  <cols>
    <col min="1" max="1" width="16" customWidth="1"/>
    <col min="2" max="2" width="12.44140625" bestFit="1" customWidth="1"/>
    <col min="3" max="3" width="13.44140625" bestFit="1" customWidth="1"/>
    <col min="4" max="4" width="12" bestFit="1" customWidth="1"/>
    <col min="5" max="5" width="13.44140625" bestFit="1" customWidth="1"/>
    <col min="6" max="6" width="1.5546875" customWidth="1"/>
    <col min="7" max="7" width="14.44140625" bestFit="1" customWidth="1"/>
    <col min="8" max="8" width="15.44140625" bestFit="1" customWidth="1"/>
    <col min="9" max="9" width="13.44140625" bestFit="1" customWidth="1"/>
    <col min="10" max="10" width="10.5546875" customWidth="1"/>
    <col min="11" max="11" width="13.5546875" customWidth="1"/>
    <col min="12" max="12" width="11.5546875" bestFit="1" customWidth="1"/>
    <col min="13" max="13" width="14.6640625" customWidth="1"/>
    <col min="14" max="14" width="10.6640625" customWidth="1"/>
  </cols>
  <sheetData>
    <row r="1" spans="1:14" ht="13.8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</row>
    <row r="2" spans="1:14" ht="13.8">
      <c r="A2" s="15"/>
      <c r="B2" s="171" t="s">
        <v>58</v>
      </c>
      <c r="C2" s="171"/>
      <c r="D2" s="171"/>
      <c r="E2" s="171"/>
      <c r="F2" s="15"/>
      <c r="G2" s="171" t="s">
        <v>59</v>
      </c>
      <c r="H2" s="171"/>
      <c r="I2" s="171"/>
      <c r="J2" s="15"/>
    </row>
    <row r="3" spans="1:14" ht="13.8">
      <c r="A3" s="15" t="s">
        <v>17</v>
      </c>
      <c r="B3" s="17" t="s">
        <v>20</v>
      </c>
      <c r="C3" s="20"/>
      <c r="D3" s="20"/>
      <c r="E3" s="20"/>
      <c r="F3" s="20"/>
      <c r="G3" s="20"/>
      <c r="H3" s="20"/>
      <c r="I3" s="20"/>
      <c r="J3" s="17" t="s">
        <v>60</v>
      </c>
    </row>
    <row r="4" spans="1:14" ht="13.8">
      <c r="A4" s="21" t="s">
        <v>61</v>
      </c>
      <c r="B4" s="23" t="s">
        <v>62</v>
      </c>
      <c r="C4" s="23" t="s">
        <v>26</v>
      </c>
      <c r="D4" s="23" t="s">
        <v>27</v>
      </c>
      <c r="E4" s="25" t="s">
        <v>63</v>
      </c>
      <c r="F4" s="24"/>
      <c r="G4" s="23" t="s">
        <v>64</v>
      </c>
      <c r="H4" s="23" t="s">
        <v>65</v>
      </c>
      <c r="I4" s="23" t="s">
        <v>63</v>
      </c>
      <c r="J4" s="23" t="s">
        <v>66</v>
      </c>
    </row>
    <row r="5" spans="1:14" ht="14.4">
      <c r="A5" s="15"/>
      <c r="B5" s="172" t="s">
        <v>67</v>
      </c>
      <c r="C5" s="172"/>
      <c r="D5" s="172"/>
      <c r="E5" s="172"/>
      <c r="F5" s="172"/>
      <c r="G5" s="172"/>
      <c r="H5" s="172"/>
      <c r="I5" s="172"/>
      <c r="J5" s="172"/>
    </row>
    <row r="6" spans="1:14" ht="13.8">
      <c r="A6" s="15" t="s">
        <v>37</v>
      </c>
      <c r="B6" s="129">
        <v>310.92700000000002</v>
      </c>
      <c r="C6" s="37">
        <f>C23</f>
        <v>52493.097999999998</v>
      </c>
      <c r="D6" s="140">
        <f>D23</f>
        <v>634.23588423800004</v>
      </c>
      <c r="E6" s="128">
        <f>SUM(B6:D6)</f>
        <v>53438.260884238</v>
      </c>
      <c r="F6" s="37"/>
      <c r="G6" s="37">
        <f>E6-H6-J6</f>
        <v>38520.852924328996</v>
      </c>
      <c r="H6" s="132">
        <f>H23</f>
        <v>14546.516959908999</v>
      </c>
      <c r="I6" s="37">
        <f>E6-J6</f>
        <v>53067.369884237996</v>
      </c>
      <c r="J6" s="37">
        <f>J22</f>
        <v>370.89100000000002</v>
      </c>
      <c r="M6" s="97"/>
    </row>
    <row r="7" spans="1:14" ht="16.2">
      <c r="A7" s="15" t="s">
        <v>155</v>
      </c>
      <c r="B7" s="129">
        <f>J6</f>
        <v>370.89100000000002</v>
      </c>
      <c r="C7" s="37">
        <v>54004.108999999997</v>
      </c>
      <c r="D7" s="37">
        <v>650</v>
      </c>
      <c r="E7" s="128">
        <f>SUM(B7:D7)</f>
        <v>55025</v>
      </c>
      <c r="F7" s="37"/>
      <c r="G7" s="37">
        <v>38625</v>
      </c>
      <c r="H7" s="37">
        <v>16000</v>
      </c>
      <c r="I7" s="37">
        <f>SUM(G7:H7)</f>
        <v>54625</v>
      </c>
      <c r="J7" s="37">
        <f>E7-I7</f>
        <v>400</v>
      </c>
      <c r="K7" s="163"/>
      <c r="L7" s="164"/>
    </row>
    <row r="8" spans="1:14" ht="16.2">
      <c r="A8" s="15" t="s">
        <v>156</v>
      </c>
      <c r="B8" s="129">
        <f>J7</f>
        <v>400</v>
      </c>
      <c r="C8" s="37">
        <v>57075</v>
      </c>
      <c r="D8" s="37">
        <v>600</v>
      </c>
      <c r="E8" s="128">
        <f>SUM(B8:D8)</f>
        <v>58075</v>
      </c>
      <c r="F8" s="37"/>
      <c r="G8" s="37">
        <v>40125</v>
      </c>
      <c r="H8" s="37">
        <v>17500</v>
      </c>
      <c r="I8" s="37">
        <f>SUM(G8:H8)</f>
        <v>57625</v>
      </c>
      <c r="J8" s="37">
        <f>E8-I8</f>
        <v>450</v>
      </c>
      <c r="L8" s="165"/>
    </row>
    <row r="9" spans="1:14" ht="13.8">
      <c r="A9" s="15"/>
      <c r="B9" s="38"/>
      <c r="C9" s="38"/>
      <c r="D9" s="38"/>
      <c r="E9" s="38"/>
      <c r="F9" s="38"/>
      <c r="G9" s="37"/>
      <c r="H9" s="38"/>
      <c r="I9" s="38"/>
      <c r="J9" s="38"/>
    </row>
    <row r="10" spans="1:14" ht="13.8">
      <c r="A10" s="30" t="s">
        <v>37</v>
      </c>
      <c r="B10" s="39"/>
      <c r="C10" s="6"/>
      <c r="D10" s="6"/>
      <c r="E10" s="6"/>
      <c r="F10" s="6"/>
      <c r="G10" s="6"/>
      <c r="H10" s="6"/>
      <c r="I10" s="6"/>
      <c r="J10" s="6"/>
    </row>
    <row r="11" spans="1:14" ht="14.4">
      <c r="A11" s="15" t="s">
        <v>39</v>
      </c>
      <c r="B11" s="39">
        <f>B6</f>
        <v>310.92700000000002</v>
      </c>
      <c r="C11" s="6">
        <v>4603.3959999999997</v>
      </c>
      <c r="D11" s="6">
        <f>(52509.6*1.10231)/1000</f>
        <v>57.88185717599999</v>
      </c>
      <c r="E11" s="6">
        <f t="shared" ref="E11:E22" si="0">SUM(B11:D11)</f>
        <v>4972.2048571759997</v>
      </c>
      <c r="F11" s="6"/>
      <c r="G11" s="6">
        <f>I11-H11</f>
        <v>3639.92656076</v>
      </c>
      <c r="H11" s="6">
        <f>(865513.6*1.10231)/1000</f>
        <v>954.06429641599993</v>
      </c>
      <c r="I11" s="5">
        <f>E11-J11</f>
        <v>4593.9908571759997</v>
      </c>
      <c r="J11" s="6">
        <v>378.214</v>
      </c>
      <c r="K11" s="84"/>
      <c r="M11" s="131"/>
      <c r="N11" s="131"/>
    </row>
    <row r="12" spans="1:14" ht="14.4">
      <c r="A12" s="15" t="s">
        <v>40</v>
      </c>
      <c r="B12" s="39">
        <f t="shared" ref="B12:B17" si="1">J11</f>
        <v>378.214</v>
      </c>
      <c r="C12" s="6">
        <v>4469.9660000000003</v>
      </c>
      <c r="D12" s="6">
        <f>(53341.5*1.10231)/1000</f>
        <v>58.798868864999996</v>
      </c>
      <c r="E12" s="6">
        <f t="shared" si="0"/>
        <v>4906.9788688650005</v>
      </c>
      <c r="F12" s="6"/>
      <c r="G12" s="6">
        <f t="shared" ref="G12:G19" si="2">I12-H12</f>
        <v>3367.6497962010012</v>
      </c>
      <c r="H12" s="6">
        <f>(1079754.4*1.10231)/1000</f>
        <v>1190.2240726639998</v>
      </c>
      <c r="I12" s="5">
        <f t="shared" ref="I12:I22" si="3">E12-J12</f>
        <v>4557.873868865001</v>
      </c>
      <c r="J12" s="6">
        <v>349.10500000000002</v>
      </c>
      <c r="K12" s="84"/>
      <c r="M12" s="131"/>
      <c r="N12" s="131"/>
    </row>
    <row r="13" spans="1:14" ht="14.4">
      <c r="A13" s="15" t="s">
        <v>42</v>
      </c>
      <c r="B13" s="39">
        <f t="shared" si="1"/>
        <v>349.10500000000002</v>
      </c>
      <c r="C13" s="6">
        <v>4437.4089999999997</v>
      </c>
      <c r="D13" s="6">
        <f>(32200.7*1.10231)/1000</f>
        <v>35.495153617</v>
      </c>
      <c r="E13" s="6">
        <f t="shared" si="0"/>
        <v>4822.0091536169994</v>
      </c>
      <c r="F13" s="6"/>
      <c r="G13" s="6">
        <f t="shared" si="2"/>
        <v>3180.3555711099989</v>
      </c>
      <c r="H13" s="6">
        <f>(1075719.7*1.10231)/1000</f>
        <v>1185.7765825069998</v>
      </c>
      <c r="I13" s="5">
        <f t="shared" si="3"/>
        <v>4366.1321536169989</v>
      </c>
      <c r="J13" s="6">
        <v>455.87700000000001</v>
      </c>
      <c r="K13" s="84"/>
      <c r="M13" s="131"/>
      <c r="N13" s="131"/>
    </row>
    <row r="14" spans="1:14" ht="14.4">
      <c r="A14" s="15" t="s">
        <v>43</v>
      </c>
      <c r="B14" s="39">
        <f t="shared" si="1"/>
        <v>455.87700000000001</v>
      </c>
      <c r="C14" s="6">
        <v>4540.9090000000006</v>
      </c>
      <c r="D14" s="6">
        <f>(76327.1*1.10231)/1000</f>
        <v>84.136125600999989</v>
      </c>
      <c r="E14" s="6">
        <f t="shared" si="0"/>
        <v>5080.9221256010005</v>
      </c>
      <c r="F14" s="6"/>
      <c r="G14" s="6">
        <f t="shared" si="2"/>
        <v>3114.3403980780004</v>
      </c>
      <c r="H14" s="6">
        <f>(1382293.3*1.10231)/1000</f>
        <v>1523.7157275229999</v>
      </c>
      <c r="I14" s="5">
        <f t="shared" si="3"/>
        <v>4638.0561256010005</v>
      </c>
      <c r="J14" s="6">
        <v>442.86599999999999</v>
      </c>
      <c r="K14" s="84"/>
      <c r="M14" s="131"/>
      <c r="N14" s="131"/>
    </row>
    <row r="15" spans="1:14" ht="14.4">
      <c r="A15" s="15" t="s">
        <v>44</v>
      </c>
      <c r="B15" s="39">
        <f t="shared" si="1"/>
        <v>442.86599999999999</v>
      </c>
      <c r="C15" s="6">
        <v>4197.5839999999998</v>
      </c>
      <c r="D15" s="6">
        <f>(51242.8*1.10231)/1000</f>
        <v>56.485450868000001</v>
      </c>
      <c r="E15" s="6">
        <f t="shared" si="0"/>
        <v>4696.9354508679999</v>
      </c>
      <c r="F15" s="6"/>
      <c r="G15" s="6">
        <f t="shared" si="2"/>
        <v>3216.9337009630003</v>
      </c>
      <c r="H15" s="6">
        <f>(911125.5*1.10231)/1000</f>
        <v>1004.3427499049999</v>
      </c>
      <c r="I15" s="5">
        <f t="shared" si="3"/>
        <v>4221.2764508680002</v>
      </c>
      <c r="J15" s="6">
        <v>475.65899999999999</v>
      </c>
      <c r="K15" s="84"/>
      <c r="M15" s="131"/>
      <c r="N15" s="131"/>
    </row>
    <row r="16" spans="1:14" ht="14.4">
      <c r="A16" s="15" t="s">
        <v>46</v>
      </c>
      <c r="B16" s="39">
        <f t="shared" si="1"/>
        <v>475.65899999999999</v>
      </c>
      <c r="C16" s="6">
        <v>4698.1610000000001</v>
      </c>
      <c r="D16" s="6">
        <f>(44530*1.10231)/1000</f>
        <v>49.085864299999997</v>
      </c>
      <c r="E16" s="6">
        <f t="shared" si="0"/>
        <v>5222.9058642999998</v>
      </c>
      <c r="F16" s="6"/>
      <c r="G16" s="6">
        <f t="shared" si="2"/>
        <v>3377.8488210519999</v>
      </c>
      <c r="H16" s="6">
        <f>(1329940.8*1.10231)/1000</f>
        <v>1466.0070432479999</v>
      </c>
      <c r="I16" s="5">
        <f t="shared" si="3"/>
        <v>4843.8558642999997</v>
      </c>
      <c r="J16" s="6">
        <v>379.04999999999995</v>
      </c>
      <c r="K16" s="84"/>
      <c r="M16" s="131"/>
      <c r="N16" s="131"/>
    </row>
    <row r="17" spans="1:14" ht="14.4">
      <c r="A17" s="15" t="s">
        <v>47</v>
      </c>
      <c r="B17" s="39">
        <f t="shared" si="1"/>
        <v>379.04999999999995</v>
      </c>
      <c r="C17" s="6">
        <v>4433.6350000000002</v>
      </c>
      <c r="D17" s="6">
        <f>(26587.9*1.10231)/1000</f>
        <v>29.308108048999998</v>
      </c>
      <c r="E17" s="6">
        <f t="shared" si="0"/>
        <v>4841.9931080490005</v>
      </c>
      <c r="F17" s="6"/>
      <c r="G17" s="6">
        <f t="shared" si="2"/>
        <v>3024.9898179200009</v>
      </c>
      <c r="H17" s="6">
        <f>(1124155.9*1.10231)/1000</f>
        <v>1239.1682901289998</v>
      </c>
      <c r="I17" s="5">
        <f t="shared" si="3"/>
        <v>4264.1581080490005</v>
      </c>
      <c r="J17" s="6">
        <v>577.83499999999992</v>
      </c>
      <c r="K17" s="84"/>
      <c r="M17" s="131"/>
      <c r="N17" s="131"/>
    </row>
    <row r="18" spans="1:14" ht="14.4">
      <c r="A18" s="15" t="s">
        <v>48</v>
      </c>
      <c r="B18" s="39">
        <f>J17</f>
        <v>577.83499999999992</v>
      </c>
      <c r="C18" s="6">
        <v>4461.268</v>
      </c>
      <c r="D18" s="6">
        <f>(50142.7*1.10231)/1000</f>
        <v>55.272799636999991</v>
      </c>
      <c r="E18" s="6">
        <f t="shared" si="0"/>
        <v>5094.3757996370005</v>
      </c>
      <c r="F18" s="6"/>
      <c r="G18" s="6">
        <f t="shared" si="2"/>
        <v>3496.5640024500008</v>
      </c>
      <c r="H18" s="6">
        <f>(1060747.7*1.10231)/1000</f>
        <v>1169.2727971869999</v>
      </c>
      <c r="I18" s="5">
        <f t="shared" si="3"/>
        <v>4665.8367996370007</v>
      </c>
      <c r="J18" s="6">
        <v>428.53899999999999</v>
      </c>
      <c r="K18" s="84"/>
      <c r="M18" s="131"/>
      <c r="N18" s="131"/>
    </row>
    <row r="19" spans="1:14" ht="14.4">
      <c r="A19" s="15" t="s">
        <v>50</v>
      </c>
      <c r="B19" s="39">
        <f>J18</f>
        <v>428.53899999999999</v>
      </c>
      <c r="C19" s="6">
        <v>4152.3280000000004</v>
      </c>
      <c r="D19" s="6">
        <f>(47208.3*1.10231)/1000</f>
        <v>52.038181172999998</v>
      </c>
      <c r="E19" s="6">
        <f t="shared" si="0"/>
        <v>4632.9051811730005</v>
      </c>
      <c r="F19" s="6"/>
      <c r="G19" s="6">
        <f t="shared" si="2"/>
        <v>2902.0146138540003</v>
      </c>
      <c r="H19" s="6">
        <f>(1238604.9*1.10231)/1000</f>
        <v>1365.3265673189997</v>
      </c>
      <c r="I19" s="5">
        <f>E19-J19</f>
        <v>4267.3411811730002</v>
      </c>
      <c r="J19" s="6">
        <v>365.56400000000002</v>
      </c>
      <c r="K19" s="84"/>
      <c r="M19" s="131"/>
      <c r="N19" s="131"/>
    </row>
    <row r="20" spans="1:14" ht="14.4">
      <c r="A20" s="15" t="s">
        <v>51</v>
      </c>
      <c r="B20" s="39">
        <f>J19</f>
        <v>365.56400000000002</v>
      </c>
      <c r="C20" s="6">
        <v>4362.93</v>
      </c>
      <c r="D20" s="6">
        <f>(44970.6*1.10231)/1000</f>
        <v>49.571542085999994</v>
      </c>
      <c r="E20" s="6">
        <f t="shared" si="0"/>
        <v>4778.0655420860003</v>
      </c>
      <c r="F20" s="6"/>
      <c r="G20" s="6">
        <f>I20-H20</f>
        <v>3145.9025870680007</v>
      </c>
      <c r="H20" s="6">
        <f>(1054707.8*1.10231)/1000</f>
        <v>1162.614955018</v>
      </c>
      <c r="I20" s="5">
        <f t="shared" si="3"/>
        <v>4308.5175420860005</v>
      </c>
      <c r="J20" s="6">
        <v>469.548</v>
      </c>
      <c r="K20" s="84"/>
      <c r="M20" s="131"/>
      <c r="N20" s="131"/>
    </row>
    <row r="21" spans="1:14" ht="14.4">
      <c r="A21" s="15" t="s">
        <v>52</v>
      </c>
      <c r="B21" s="39">
        <f>J20</f>
        <v>469.548</v>
      </c>
      <c r="C21" s="6">
        <v>4029.8919999999998</v>
      </c>
      <c r="D21" s="6">
        <f>(49389.3*1.10231)/1000</f>
        <v>54.442319282999996</v>
      </c>
      <c r="E21" s="6">
        <f t="shared" si="0"/>
        <v>4553.8823192829996</v>
      </c>
      <c r="F21" s="6"/>
      <c r="G21" s="6">
        <f t="shared" ref="G21:G22" si="4">I21-H21</f>
        <v>3031.4960194669993</v>
      </c>
      <c r="H21" s="6">
        <f>(1093653.6*1.10231)/1000</f>
        <v>1205.5452998160001</v>
      </c>
      <c r="I21" s="5">
        <f t="shared" si="3"/>
        <v>4237.0413192829992</v>
      </c>
      <c r="J21" s="6">
        <v>316.84100000000001</v>
      </c>
      <c r="K21" s="84"/>
      <c r="M21" s="131"/>
      <c r="N21" s="131"/>
    </row>
    <row r="22" spans="1:14" ht="14.4">
      <c r="A22" s="15" t="s">
        <v>38</v>
      </c>
      <c r="B22" s="39">
        <f>J21</f>
        <v>316.84100000000001</v>
      </c>
      <c r="C22" s="6">
        <v>4105.62</v>
      </c>
      <c r="D22" s="6">
        <f>(46919.3*1.10231)/1000</f>
        <v>51.719613582999997</v>
      </c>
      <c r="E22" s="6">
        <f t="shared" si="0"/>
        <v>4474.1806135830002</v>
      </c>
      <c r="F22" s="6"/>
      <c r="G22" s="6">
        <f t="shared" si="4"/>
        <v>3022.8310354060004</v>
      </c>
      <c r="H22" s="6">
        <f>(980176.7*1.10231)/1000</f>
        <v>1080.4585781769999</v>
      </c>
      <c r="I22" s="5">
        <f t="shared" si="3"/>
        <v>4103.2896135830006</v>
      </c>
      <c r="J22" s="6">
        <v>370.89100000000002</v>
      </c>
      <c r="K22" s="87"/>
      <c r="M22" s="131"/>
      <c r="N22" s="131"/>
    </row>
    <row r="23" spans="1:14" ht="14.4">
      <c r="A23" s="15" t="s">
        <v>28</v>
      </c>
      <c r="B23" s="39"/>
      <c r="C23" s="6">
        <f>SUM(C11:C22)</f>
        <v>52493.097999999998</v>
      </c>
      <c r="D23" s="6">
        <f>(575369.8*1.10231)/1000</f>
        <v>634.23588423800004</v>
      </c>
      <c r="E23" s="6">
        <f>B11+C23+D23</f>
        <v>53438.260884238</v>
      </c>
      <c r="F23" s="6"/>
      <c r="G23" s="6">
        <f>SUM(G11:G22)</f>
        <v>38520.85292432901</v>
      </c>
      <c r="H23" s="128">
        <f>(13196393.9*1.10231)/1000</f>
        <v>14546.516959908999</v>
      </c>
      <c r="I23" s="5">
        <f>SUM(I11:I22)</f>
        <v>53067.369884238004</v>
      </c>
      <c r="J23" s="6"/>
      <c r="K23" s="130"/>
      <c r="M23" s="131"/>
      <c r="N23" s="34"/>
    </row>
    <row r="24" spans="1:14" ht="14.4">
      <c r="A24" s="15"/>
      <c r="B24" s="39"/>
      <c r="C24" s="6"/>
      <c r="D24" s="6"/>
      <c r="E24" s="6"/>
      <c r="F24" s="6"/>
      <c r="G24" s="6"/>
      <c r="H24" s="6"/>
      <c r="I24" s="6"/>
      <c r="J24" s="6"/>
      <c r="K24" s="84"/>
      <c r="N24" s="34"/>
    </row>
    <row r="25" spans="1:14" ht="14.4">
      <c r="A25" s="30" t="s">
        <v>54</v>
      </c>
      <c r="B25" s="39"/>
      <c r="C25" s="6"/>
      <c r="D25" s="6"/>
      <c r="E25" s="6"/>
      <c r="F25" s="6"/>
      <c r="G25" s="6"/>
      <c r="H25" s="6"/>
      <c r="I25" s="6"/>
      <c r="J25" s="6"/>
      <c r="K25" s="84"/>
      <c r="N25" s="34"/>
    </row>
    <row r="26" spans="1:14" ht="14.4">
      <c r="A26" s="15" t="s">
        <v>39</v>
      </c>
      <c r="B26" s="107">
        <f>J22</f>
        <v>370.89100000000002</v>
      </c>
      <c r="C26" s="108">
        <v>4738.4830000000002</v>
      </c>
      <c r="D26" s="6">
        <f>(43352.2*1.10231)/1000</f>
        <v>47.787563581999997</v>
      </c>
      <c r="E26" s="6">
        <f t="shared" ref="E26:E31" si="5">SUM(B26:D26)</f>
        <v>5157.1615635819999</v>
      </c>
      <c r="F26" s="6"/>
      <c r="G26" s="6">
        <f t="shared" ref="G26:G31" si="6">I26-H26</f>
        <v>3602.9976581149999</v>
      </c>
      <c r="H26" s="6">
        <f>(1106335.7*1.10231)/1000</f>
        <v>1219.5249054669998</v>
      </c>
      <c r="I26" s="100">
        <f t="shared" ref="I26:I31" si="7">E26-J26</f>
        <v>4822.5225635819997</v>
      </c>
      <c r="J26" s="108">
        <v>334.63900000000001</v>
      </c>
      <c r="K26" s="84"/>
      <c r="N26" s="34"/>
    </row>
    <row r="27" spans="1:14" ht="14.4">
      <c r="A27" s="15" t="s">
        <v>40</v>
      </c>
      <c r="B27" s="39">
        <f t="shared" ref="B27:B33" si="8">J26</f>
        <v>334.63900000000001</v>
      </c>
      <c r="C27" s="6">
        <v>4706.2079999999996</v>
      </c>
      <c r="D27" s="6">
        <f>(48390.3*1.10231)/1000</f>
        <v>53.341111593000001</v>
      </c>
      <c r="E27" s="6">
        <f t="shared" si="5"/>
        <v>5094.188111593</v>
      </c>
      <c r="F27" s="6"/>
      <c r="G27" s="6">
        <f t="shared" si="6"/>
        <v>3280.6629275390005</v>
      </c>
      <c r="H27" s="6">
        <f>(1369023.4*1.10231)/1000</f>
        <v>1509.0881840539998</v>
      </c>
      <c r="I27" s="6">
        <f t="shared" si="7"/>
        <v>4789.7511115930001</v>
      </c>
      <c r="J27" s="6">
        <v>304.43700000000001</v>
      </c>
      <c r="K27" s="84"/>
      <c r="N27" s="34"/>
    </row>
    <row r="28" spans="1:14" ht="14.4">
      <c r="A28" s="15" t="s">
        <v>42</v>
      </c>
      <c r="B28" s="39">
        <f t="shared" si="8"/>
        <v>304.43700000000001</v>
      </c>
      <c r="C28" s="6">
        <v>4818.3419999999996</v>
      </c>
      <c r="D28" s="104">
        <f>(53099.9*1.10231)/1000</f>
        <v>58.532550768999997</v>
      </c>
      <c r="E28" s="104">
        <f t="shared" si="5"/>
        <v>5181.311550769</v>
      </c>
      <c r="F28" s="104"/>
      <c r="G28" s="104">
        <f t="shared" si="6"/>
        <v>3073.843674963</v>
      </c>
      <c r="H28" s="104">
        <f>(1457582.6*1.10231)/1000</f>
        <v>1606.7078758059999</v>
      </c>
      <c r="I28" s="104">
        <f t="shared" si="7"/>
        <v>4680.5515507689997</v>
      </c>
      <c r="J28" s="6">
        <v>500.76</v>
      </c>
      <c r="K28" s="84"/>
      <c r="L28" s="34"/>
      <c r="N28" s="34"/>
    </row>
    <row r="29" spans="1:14" ht="14.4">
      <c r="A29" s="15" t="s">
        <v>43</v>
      </c>
      <c r="B29" s="39">
        <f t="shared" si="8"/>
        <v>500.76</v>
      </c>
      <c r="C29" s="6">
        <v>4595.6220000000003</v>
      </c>
      <c r="D29" s="104">
        <f>(53674.5*1.10231)/1000</f>
        <v>59.165938094999994</v>
      </c>
      <c r="E29" s="104">
        <f t="shared" si="5"/>
        <v>5155.5479380950001</v>
      </c>
      <c r="F29" s="104"/>
      <c r="G29" s="104">
        <f t="shared" si="6"/>
        <v>3288.6776487350007</v>
      </c>
      <c r="H29" s="104">
        <f>(1376056*1.10231)/1000</f>
        <v>1516.8402893599998</v>
      </c>
      <c r="I29" s="104">
        <f t="shared" si="7"/>
        <v>4805.5179380950003</v>
      </c>
      <c r="J29" s="6">
        <v>350.03</v>
      </c>
      <c r="K29" s="84"/>
      <c r="L29" s="34"/>
      <c r="M29" s="93"/>
    </row>
    <row r="30" spans="1:14" ht="14.4">
      <c r="A30" s="15" t="s">
        <v>44</v>
      </c>
      <c r="B30" s="39">
        <f t="shared" si="8"/>
        <v>350.03</v>
      </c>
      <c r="C30" s="6">
        <v>4557.0920000000006</v>
      </c>
      <c r="D30" s="104">
        <f>(57158.1*1.10231)/1000</f>
        <v>63.00594521099999</v>
      </c>
      <c r="E30" s="104">
        <f t="shared" si="5"/>
        <v>4970.1279452110002</v>
      </c>
      <c r="F30" s="104"/>
      <c r="G30" s="104">
        <f t="shared" si="6"/>
        <v>3138.4475940110005</v>
      </c>
      <c r="H30" s="104">
        <f>(1365520*1.10231)/1000</f>
        <v>1505.2263512</v>
      </c>
      <c r="I30" s="104">
        <f t="shared" si="7"/>
        <v>4643.6739452110005</v>
      </c>
      <c r="J30" s="6">
        <v>326.45400000000001</v>
      </c>
      <c r="K30" s="84"/>
      <c r="L30" s="34"/>
      <c r="M30" s="120"/>
    </row>
    <row r="31" spans="1:14" ht="14.4">
      <c r="A31" s="15" t="s">
        <v>46</v>
      </c>
      <c r="B31" s="39">
        <f t="shared" si="8"/>
        <v>326.45400000000001</v>
      </c>
      <c r="C31" s="6">
        <v>4797.4049999999997</v>
      </c>
      <c r="D31" s="104">
        <f>(52412.6*1.10231)/1000</f>
        <v>57.774933105999999</v>
      </c>
      <c r="E31" s="104">
        <f t="shared" si="5"/>
        <v>5181.6339331059999</v>
      </c>
      <c r="F31" s="104"/>
      <c r="G31" s="104">
        <f t="shared" si="6"/>
        <v>2969.6471064249995</v>
      </c>
      <c r="H31" s="104">
        <f>(1498795.1*1.10231)/1000</f>
        <v>1652.136826681</v>
      </c>
      <c r="I31" s="104">
        <f t="shared" si="7"/>
        <v>4621.7839331059995</v>
      </c>
      <c r="J31" s="6">
        <v>559.85</v>
      </c>
      <c r="K31" s="84"/>
      <c r="L31" s="34"/>
      <c r="M31" s="120"/>
    </row>
    <row r="32" spans="1:14" ht="14.4">
      <c r="A32" s="15" t="s">
        <v>47</v>
      </c>
      <c r="B32" s="39">
        <f t="shared" si="8"/>
        <v>559.85</v>
      </c>
      <c r="C32" s="6">
        <v>4205.6130000000003</v>
      </c>
      <c r="D32" s="104">
        <f>(45671.7*1.10231)/1000</f>
        <v>50.344371626999994</v>
      </c>
      <c r="E32" s="104">
        <f t="shared" ref="E32:E34" si="9">SUM(B32:D32)</f>
        <v>4815.807371627001</v>
      </c>
      <c r="F32" s="104"/>
      <c r="G32" s="104">
        <f t="shared" ref="G32:G34" si="10">I32-H32</f>
        <v>3094.5719551340007</v>
      </c>
      <c r="H32" s="104">
        <f>(1257180.3*1.10231)/1000</f>
        <v>1385.802416493</v>
      </c>
      <c r="I32" s="104">
        <f t="shared" ref="I32:I34" si="11">E32-J32</f>
        <v>4480.374371627001</v>
      </c>
      <c r="J32" s="6">
        <v>335.43299999999999</v>
      </c>
      <c r="K32" s="84"/>
      <c r="L32" s="34"/>
      <c r="M32" s="120"/>
    </row>
    <row r="33" spans="1:13" ht="14.4">
      <c r="A33" s="15" t="s">
        <v>48</v>
      </c>
      <c r="B33" s="39">
        <f t="shared" si="8"/>
        <v>335.43299999999999</v>
      </c>
      <c r="C33" s="6">
        <v>4511.01</v>
      </c>
      <c r="D33" s="104">
        <f>(61818.5*1.10231)/1000</f>
        <v>68.143150734999992</v>
      </c>
      <c r="E33" s="104">
        <f t="shared" si="9"/>
        <v>4914.586150735</v>
      </c>
      <c r="F33" s="104"/>
      <c r="G33" s="104">
        <f t="shared" si="10"/>
        <v>3448.3553320180008</v>
      </c>
      <c r="H33" s="104">
        <f>(1010410.7*1.10231)/1000</f>
        <v>1113.7858187169998</v>
      </c>
      <c r="I33" s="104">
        <f t="shared" si="11"/>
        <v>4562.1411507350003</v>
      </c>
      <c r="J33" s="6">
        <v>352.44499999999999</v>
      </c>
      <c r="K33" s="84"/>
      <c r="L33" s="34"/>
      <c r="M33" s="120"/>
    </row>
    <row r="34" spans="1:13" ht="14.4">
      <c r="A34" s="15" t="s">
        <v>50</v>
      </c>
      <c r="B34" s="39">
        <f>J33</f>
        <v>352.44499999999999</v>
      </c>
      <c r="C34" s="6">
        <v>4335.0060000000003</v>
      </c>
      <c r="D34" s="104">
        <f>(44979.4*1.10231)/1000</f>
        <v>49.581242414000002</v>
      </c>
      <c r="E34" s="104">
        <f t="shared" si="9"/>
        <v>4737.0322424140004</v>
      </c>
      <c r="F34" s="104"/>
      <c r="G34" s="104">
        <f t="shared" si="10"/>
        <v>3010.5296164590004</v>
      </c>
      <c r="H34" s="104">
        <f>(1119080.5*1.10231)/1000</f>
        <v>1233.5736259549999</v>
      </c>
      <c r="I34" s="104">
        <f t="shared" si="11"/>
        <v>4244.1032424140003</v>
      </c>
      <c r="J34" s="6">
        <v>492.92899999999997</v>
      </c>
      <c r="K34" s="84"/>
      <c r="L34" s="34"/>
      <c r="M34" s="120"/>
    </row>
    <row r="35" spans="1:13" ht="16.2">
      <c r="A35" s="79" t="s">
        <v>68</v>
      </c>
      <c r="B35" s="69"/>
      <c r="C35" s="69"/>
      <c r="D35" s="69"/>
      <c r="E35" s="69"/>
      <c r="F35" s="69"/>
      <c r="G35" s="69"/>
      <c r="H35" s="69"/>
      <c r="I35" s="69"/>
      <c r="J35" s="69"/>
    </row>
    <row r="36" spans="1:13" ht="14.4">
      <c r="A36" s="15" t="s">
        <v>69</v>
      </c>
      <c r="B36" s="15"/>
      <c r="C36" s="15"/>
      <c r="D36" s="15"/>
      <c r="E36" s="15"/>
      <c r="F36" s="15"/>
      <c r="G36" s="15"/>
      <c r="H36" s="15"/>
      <c r="I36" s="15"/>
      <c r="J36" s="15"/>
    </row>
    <row r="37" spans="1:13" ht="13.8">
      <c r="A37" s="20" t="s">
        <v>57</v>
      </c>
      <c r="B37" s="36">
        <f>Contents!A16</f>
        <v>45518</v>
      </c>
      <c r="C37" s="33"/>
      <c r="D37" s="28"/>
      <c r="E37" s="28"/>
      <c r="F37" s="28"/>
      <c r="G37" s="28"/>
      <c r="H37" s="28"/>
      <c r="I37" s="28"/>
      <c r="J37" s="28"/>
    </row>
    <row r="38" spans="1:13">
      <c r="B38" s="41"/>
      <c r="C38" s="42"/>
      <c r="D38" s="41"/>
      <c r="E38" s="81"/>
      <c r="F38" s="41"/>
      <c r="G38" s="41"/>
      <c r="H38" s="43"/>
      <c r="I38" s="81"/>
      <c r="J38" s="41"/>
    </row>
    <row r="39" spans="1:13">
      <c r="B39" s="41"/>
      <c r="C39" s="41"/>
      <c r="D39" s="41"/>
      <c r="E39" s="41"/>
      <c r="F39" s="41"/>
      <c r="G39" s="41"/>
      <c r="H39" s="41"/>
      <c r="I39" s="41"/>
      <c r="J39" s="41"/>
    </row>
    <row r="40" spans="1:13">
      <c r="G40" s="34"/>
    </row>
    <row r="41" spans="1:13">
      <c r="G41" s="91"/>
    </row>
  </sheetData>
  <mergeCells count="3">
    <mergeCell ref="G2:I2"/>
    <mergeCell ref="B5:J5"/>
    <mergeCell ref="B2:E2"/>
  </mergeCells>
  <phoneticPr fontId="49" type="noConversion"/>
  <pageMargins left="0.75" right="0.75" top="1" bottom="1" header="0.5" footer="0.5"/>
  <pageSetup scale="74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T39"/>
  <sheetViews>
    <sheetView showGridLines="0" zoomScale="70" zoomScaleNormal="70" workbookViewId="0">
      <pane xSplit="1" ySplit="1" topLeftCell="B2" activePane="bottomRight" state="frozen"/>
      <selection pane="topRight" activeCell="B1" sqref="B1"/>
      <selection pane="bottomLeft" activeCell="B1" sqref="B1"/>
      <selection pane="bottomRight"/>
    </sheetView>
  </sheetViews>
  <sheetFormatPr defaultColWidth="9.109375" defaultRowHeight="13.2"/>
  <cols>
    <col min="1" max="1" width="15.44140625" customWidth="1"/>
    <col min="2" max="2" width="12.44140625" bestFit="1" customWidth="1"/>
    <col min="3" max="3" width="12.109375" bestFit="1" customWidth="1"/>
    <col min="4" max="4" width="11" bestFit="1" customWidth="1"/>
    <col min="5" max="5" width="12.44140625" customWidth="1"/>
    <col min="6" max="6" width="3.5546875" customWidth="1"/>
    <col min="7" max="7" width="11.5546875" bestFit="1" customWidth="1"/>
    <col min="8" max="8" width="12.44140625" customWidth="1"/>
    <col min="9" max="9" width="12.5546875" customWidth="1"/>
    <col min="10" max="10" width="9.5546875" bestFit="1" customWidth="1"/>
    <col min="11" max="11" width="11.5546875" bestFit="1" customWidth="1"/>
    <col min="12" max="12" width="12.5546875" bestFit="1" customWidth="1"/>
    <col min="13" max="13" width="11.5546875" bestFit="1" customWidth="1"/>
    <col min="14" max="14" width="11.109375" customWidth="1"/>
  </cols>
  <sheetData>
    <row r="1" spans="1:20" ht="13.8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0" ht="13.8">
      <c r="A2" s="15"/>
      <c r="B2" s="171" t="s">
        <v>58</v>
      </c>
      <c r="C2" s="171"/>
      <c r="D2" s="171"/>
      <c r="E2" s="171"/>
      <c r="F2" s="15"/>
      <c r="G2" s="171" t="s">
        <v>59</v>
      </c>
      <c r="H2" s="171"/>
      <c r="I2" s="171"/>
      <c r="J2" s="117"/>
      <c r="K2" s="117"/>
      <c r="L2" s="15"/>
    </row>
    <row r="3" spans="1:20" ht="13.8">
      <c r="A3" s="15" t="s">
        <v>17</v>
      </c>
      <c r="B3" s="17" t="s">
        <v>70</v>
      </c>
      <c r="C3" s="17" t="s">
        <v>26</v>
      </c>
      <c r="D3" s="17" t="s">
        <v>71</v>
      </c>
      <c r="E3" s="17" t="s">
        <v>63</v>
      </c>
      <c r="F3" s="17"/>
      <c r="G3" s="117" t="s">
        <v>64</v>
      </c>
      <c r="H3" s="117"/>
      <c r="I3" s="117"/>
      <c r="J3" s="17" t="s">
        <v>72</v>
      </c>
      <c r="K3" s="17" t="s">
        <v>63</v>
      </c>
      <c r="L3" s="17" t="s">
        <v>60</v>
      </c>
    </row>
    <row r="4" spans="1:20" ht="16.2">
      <c r="A4" s="21" t="s">
        <v>61</v>
      </c>
      <c r="B4" s="23" t="s">
        <v>62</v>
      </c>
      <c r="C4" s="24"/>
      <c r="D4" s="24"/>
      <c r="E4" s="24"/>
      <c r="F4" s="24"/>
      <c r="G4" s="23" t="s">
        <v>28</v>
      </c>
      <c r="H4" s="23" t="s">
        <v>73</v>
      </c>
      <c r="I4" s="23" t="s">
        <v>74</v>
      </c>
      <c r="J4" s="24"/>
      <c r="K4" s="24"/>
      <c r="L4" s="17" t="s">
        <v>66</v>
      </c>
    </row>
    <row r="5" spans="1:20" ht="14.4">
      <c r="A5" s="15"/>
      <c r="B5" s="173" t="s">
        <v>75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20" ht="16.2">
      <c r="A6" s="15" t="s">
        <v>35</v>
      </c>
      <c r="B6" s="38">
        <v>1991.1479999999999</v>
      </c>
      <c r="C6" s="38">
        <f>C23</f>
        <v>26227.309000000001</v>
      </c>
      <c r="D6" s="133">
        <f>D23</f>
        <v>375.55383030479999</v>
      </c>
      <c r="E6" s="38">
        <f>E23</f>
        <v>28594.010830304804</v>
      </c>
      <c r="F6" s="38"/>
      <c r="G6" s="38">
        <f>K6-J6</f>
        <v>26609.028920468605</v>
      </c>
      <c r="H6" s="38">
        <f>H23</f>
        <v>12490.714000000002</v>
      </c>
      <c r="I6" s="128">
        <f>G6-H6</f>
        <v>14118.314920468603</v>
      </c>
      <c r="J6" s="38">
        <f>J23</f>
        <v>377.90990983619997</v>
      </c>
      <c r="K6" s="38">
        <f>E6-L6</f>
        <v>26986.938830304804</v>
      </c>
      <c r="L6" s="38">
        <f>L22</f>
        <v>1607.0719999999999</v>
      </c>
    </row>
    <row r="7" spans="1:20" ht="16.2">
      <c r="A7" s="15" t="s">
        <v>36</v>
      </c>
      <c r="B7" s="38">
        <f>L6</f>
        <v>1607.0719999999999</v>
      </c>
      <c r="C7" s="38">
        <v>26955</v>
      </c>
      <c r="D7" s="133">
        <v>600</v>
      </c>
      <c r="E7" s="38">
        <f>SUM(B7:D7)</f>
        <v>29162.072</v>
      </c>
      <c r="F7" s="38"/>
      <c r="G7" s="38">
        <f>SUM(H7:I7)</f>
        <v>26900</v>
      </c>
      <c r="H7" s="38">
        <v>12900</v>
      </c>
      <c r="I7" s="128">
        <v>14000</v>
      </c>
      <c r="J7" s="38">
        <v>650</v>
      </c>
      <c r="K7" s="38">
        <f>G7+J7</f>
        <v>27550</v>
      </c>
      <c r="L7" s="38">
        <f>E7-K7</f>
        <v>1612.0720000000001</v>
      </c>
      <c r="M7" s="163"/>
      <c r="N7" s="163"/>
      <c r="O7" s="163"/>
      <c r="P7" s="163"/>
      <c r="Q7" s="163"/>
      <c r="R7" s="163"/>
      <c r="S7" s="163"/>
      <c r="T7" s="163"/>
    </row>
    <row r="8" spans="1:20" ht="16.2">
      <c r="A8" s="15" t="s">
        <v>156</v>
      </c>
      <c r="B8" s="38">
        <f>L7</f>
        <v>1612.0720000000001</v>
      </c>
      <c r="C8" s="38">
        <v>28515</v>
      </c>
      <c r="D8" s="133">
        <v>450</v>
      </c>
      <c r="E8" s="38">
        <f>SUM(B8:D8)</f>
        <v>30577.072</v>
      </c>
      <c r="F8" s="38"/>
      <c r="G8" s="38">
        <v>28200</v>
      </c>
      <c r="H8" s="38">
        <v>14000</v>
      </c>
      <c r="I8" s="128">
        <v>14200</v>
      </c>
      <c r="J8" s="38">
        <v>600</v>
      </c>
      <c r="K8" s="38">
        <f>G8+J8</f>
        <v>28800</v>
      </c>
      <c r="L8" s="38">
        <f>E8-K8</f>
        <v>1777.0720000000001</v>
      </c>
    </row>
    <row r="9" spans="1:20" ht="13.8">
      <c r="A9" s="15"/>
      <c r="B9" s="38"/>
      <c r="C9" s="38"/>
      <c r="D9" s="38"/>
      <c r="E9" s="38"/>
      <c r="F9" s="38"/>
      <c r="G9" s="38"/>
      <c r="H9" s="38"/>
      <c r="I9" s="78"/>
      <c r="J9" s="38"/>
      <c r="K9" s="38"/>
      <c r="L9" s="38"/>
    </row>
    <row r="10" spans="1:20" ht="13.8">
      <c r="A10" s="30" t="s">
        <v>37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20" ht="13.8">
      <c r="A11" s="15" t="s">
        <v>39</v>
      </c>
      <c r="B11" s="5">
        <f>B6</f>
        <v>1991.1479999999999</v>
      </c>
      <c r="C11" s="6">
        <v>2338.085</v>
      </c>
      <c r="D11" s="6">
        <f>(13491.4*2204.622)/1000000</f>
        <v>29.7434372508</v>
      </c>
      <c r="E11" s="6">
        <f t="shared" ref="E11:E18" si="0">SUM(B11:D11)</f>
        <v>4358.9764372507998</v>
      </c>
      <c r="F11" s="5"/>
      <c r="G11" s="5">
        <f>K11-J11</f>
        <v>2241.9110301381997</v>
      </c>
      <c r="H11" s="106">
        <v>906.40899999999999</v>
      </c>
      <c r="I11" s="6">
        <f t="shared" ref="I11:I17" si="1">G11-H11</f>
        <v>1335.5020301381996</v>
      </c>
      <c r="J11" s="6">
        <f>(10633.3*2204.622)/1000000</f>
        <v>23.442407112599994</v>
      </c>
      <c r="K11" s="6">
        <f>E11-L11</f>
        <v>2265.3534372507997</v>
      </c>
      <c r="L11" s="5">
        <v>2093.623</v>
      </c>
      <c r="M11" s="141"/>
      <c r="N11" s="86"/>
      <c r="P11" s="34"/>
    </row>
    <row r="12" spans="1:20" ht="13.8">
      <c r="A12" s="15" t="s">
        <v>40</v>
      </c>
      <c r="B12" s="5">
        <f>L11</f>
        <v>2093.623</v>
      </c>
      <c r="C12" s="6">
        <v>2199.962</v>
      </c>
      <c r="D12" s="6">
        <f>(11828.8*2204.622)/1000000</f>
        <v>26.078032713599995</v>
      </c>
      <c r="E12" s="6">
        <f t="shared" si="0"/>
        <v>4319.6630327135999</v>
      </c>
      <c r="F12" s="5"/>
      <c r="G12" s="5">
        <f t="shared" ref="G12:G18" si="2">K12-J12</f>
        <v>2183.9349958948001</v>
      </c>
      <c r="H12" s="106">
        <v>943.34199999999998</v>
      </c>
      <c r="I12" s="6">
        <f t="shared" si="1"/>
        <v>1240.5929958948</v>
      </c>
      <c r="J12" s="6">
        <f>(10635.4*2204.622)/1000000</f>
        <v>23.447036818799997</v>
      </c>
      <c r="K12" s="6">
        <f t="shared" ref="K12:K17" si="3">E12-L12</f>
        <v>2207.3820327136</v>
      </c>
      <c r="L12" s="5">
        <v>2112.2809999999999</v>
      </c>
      <c r="M12" s="141"/>
      <c r="N12" s="86"/>
      <c r="P12" s="34"/>
    </row>
    <row r="13" spans="1:20" ht="13.8">
      <c r="A13" s="15" t="s">
        <v>42</v>
      </c>
      <c r="B13" s="5">
        <f t="shared" ref="B13:B18" si="4">L12</f>
        <v>2112.2809999999999</v>
      </c>
      <c r="C13" s="6">
        <v>2195.3580000000002</v>
      </c>
      <c r="D13" s="6">
        <f>(10252.4*2204.622)/1000000</f>
        <v>22.602666592799999</v>
      </c>
      <c r="E13" s="6">
        <f t="shared" si="0"/>
        <v>4330.2416665928004</v>
      </c>
      <c r="F13" s="5"/>
      <c r="G13" s="5">
        <f t="shared" si="2"/>
        <v>1989.2951492472005</v>
      </c>
      <c r="H13" s="106">
        <v>885.65899999999999</v>
      </c>
      <c r="I13" s="6">
        <f t="shared" si="1"/>
        <v>1103.6361492472006</v>
      </c>
      <c r="J13" s="6">
        <f>(15784.8*2204.622)/1000000</f>
        <v>34.799517345599995</v>
      </c>
      <c r="K13" s="6">
        <f t="shared" si="3"/>
        <v>2024.0946665928004</v>
      </c>
      <c r="L13" s="5">
        <v>2306.1469999999999</v>
      </c>
      <c r="M13" s="141"/>
      <c r="N13" s="86"/>
      <c r="P13" s="34"/>
    </row>
    <row r="14" spans="1:20" ht="13.8">
      <c r="A14" s="15" t="s">
        <v>43</v>
      </c>
      <c r="B14" s="5">
        <f t="shared" si="4"/>
        <v>2306.1469999999999</v>
      </c>
      <c r="C14" s="6">
        <v>2252.3119999999999</v>
      </c>
      <c r="D14" s="6">
        <f>(11450.2*2204.622)/1000000</f>
        <v>25.243362824400002</v>
      </c>
      <c r="E14" s="6">
        <f t="shared" si="0"/>
        <v>4583.7023628243996</v>
      </c>
      <c r="F14" s="5"/>
      <c r="G14" s="5">
        <f t="shared" si="2"/>
        <v>2211.8881890357998</v>
      </c>
      <c r="H14" s="106">
        <v>940.87400000000002</v>
      </c>
      <c r="I14" s="6">
        <f t="shared" si="1"/>
        <v>1271.0141890357997</v>
      </c>
      <c r="J14" s="6">
        <f>(6991.3*2204.622)/1000000</f>
        <v>15.4131737886</v>
      </c>
      <c r="K14" s="6">
        <f t="shared" si="3"/>
        <v>2227.3013628243998</v>
      </c>
      <c r="L14" s="5">
        <v>2356.4009999999998</v>
      </c>
      <c r="M14" s="141"/>
      <c r="N14" s="86"/>
      <c r="P14" s="34"/>
    </row>
    <row r="15" spans="1:20" ht="13.8">
      <c r="A15" s="15" t="s">
        <v>44</v>
      </c>
      <c r="B15" s="5">
        <f t="shared" si="4"/>
        <v>2356.4009999999998</v>
      </c>
      <c r="C15" s="6">
        <v>2091.2179999999998</v>
      </c>
      <c r="D15" s="108">
        <f>(14704.2*2204.622)/1000000</f>
        <v>32.417202812399999</v>
      </c>
      <c r="E15" s="6">
        <f t="shared" si="0"/>
        <v>4480.0362028124</v>
      </c>
      <c r="F15" s="5"/>
      <c r="G15" s="5">
        <f t="shared" si="2"/>
        <v>2090.2903609479999</v>
      </c>
      <c r="H15" s="106">
        <v>909.98699999999997</v>
      </c>
      <c r="I15" s="6">
        <f t="shared" si="1"/>
        <v>1180.3033609479999</v>
      </c>
      <c r="J15" s="6">
        <f>(11770.2*2204.622)/1000000</f>
        <v>25.948841864399999</v>
      </c>
      <c r="K15" s="6">
        <f t="shared" si="3"/>
        <v>2116.2392028124</v>
      </c>
      <c r="L15" s="5">
        <v>2363.797</v>
      </c>
      <c r="M15" s="141"/>
      <c r="N15" s="86"/>
      <c r="P15" s="34"/>
    </row>
    <row r="16" spans="1:20" ht="13.8">
      <c r="A16" s="15" t="s">
        <v>46</v>
      </c>
      <c r="B16" s="5">
        <f t="shared" si="4"/>
        <v>2363.797</v>
      </c>
      <c r="C16" s="6">
        <v>2339.5810000000001</v>
      </c>
      <c r="D16" s="6">
        <f>(15181.4*2204.622)/1000000</f>
        <v>33.4692484308</v>
      </c>
      <c r="E16" s="6">
        <f t="shared" si="0"/>
        <v>4736.8472484308004</v>
      </c>
      <c r="F16" s="5"/>
      <c r="G16" s="5">
        <f t="shared" si="2"/>
        <v>2336.7097010100006</v>
      </c>
      <c r="H16" s="106">
        <v>952.70299999999997</v>
      </c>
      <c r="I16" s="6">
        <f t="shared" si="1"/>
        <v>1384.0067010100006</v>
      </c>
      <c r="J16" s="6">
        <f>(5726.4*2204.622)/1000000</f>
        <v>12.624547420799999</v>
      </c>
      <c r="K16" s="6">
        <f t="shared" si="3"/>
        <v>2349.3342484308005</v>
      </c>
      <c r="L16" s="5">
        <v>2387.5129999999999</v>
      </c>
      <c r="M16" s="141"/>
      <c r="N16" s="86"/>
      <c r="P16" s="34"/>
    </row>
    <row r="17" spans="1:16" ht="13.8">
      <c r="A17" s="15" t="s">
        <v>47</v>
      </c>
      <c r="B17" s="5">
        <f t="shared" si="4"/>
        <v>2387.5129999999999</v>
      </c>
      <c r="C17" s="6">
        <v>2236.3009999999999</v>
      </c>
      <c r="D17" s="6">
        <f>(15750.7*2204.622)/1000000</f>
        <v>34.724339735400001</v>
      </c>
      <c r="E17" s="6">
        <f t="shared" si="0"/>
        <v>4658.5383397353999</v>
      </c>
      <c r="F17" s="5"/>
      <c r="G17" s="5">
        <f t="shared" si="2"/>
        <v>2058.2348802817996</v>
      </c>
      <c r="H17" s="106">
        <v>926.59799999999996</v>
      </c>
      <c r="I17" s="6">
        <f t="shared" si="1"/>
        <v>1131.6368802817997</v>
      </c>
      <c r="J17" s="6">
        <f>(27498.8*2204.622)/1000000</f>
        <v>60.624459453599997</v>
      </c>
      <c r="K17" s="6">
        <f t="shared" si="3"/>
        <v>2118.8593397353998</v>
      </c>
      <c r="L17" s="5">
        <v>2539.6790000000001</v>
      </c>
      <c r="M17" s="141"/>
      <c r="N17" s="86"/>
      <c r="P17" s="34"/>
    </row>
    <row r="18" spans="1:16" ht="13.8">
      <c r="A18" s="15" t="s">
        <v>48</v>
      </c>
      <c r="B18" s="5">
        <f t="shared" si="4"/>
        <v>2539.6790000000001</v>
      </c>
      <c r="C18" s="6">
        <v>2228.3719999999998</v>
      </c>
      <c r="D18" s="6">
        <f>(24574.9*2204.622)/1000000</f>
        <v>54.178365187799997</v>
      </c>
      <c r="E18" s="6">
        <f t="shared" si="0"/>
        <v>4822.2293651877999</v>
      </c>
      <c r="F18" s="5"/>
      <c r="G18" s="5">
        <f t="shared" si="2"/>
        <v>2386.1092736129995</v>
      </c>
      <c r="H18" s="106">
        <v>1140.8710000000001</v>
      </c>
      <c r="I18" s="6">
        <f t="shared" ref="I18:I22" si="5">G18-H18</f>
        <v>1245.2382736129994</v>
      </c>
      <c r="J18" s="6">
        <f>(22633.4*2204.622)/1000000</f>
        <v>49.898091574799999</v>
      </c>
      <c r="K18" s="6">
        <f>E18-L18</f>
        <v>2436.0073651877997</v>
      </c>
      <c r="L18" s="5">
        <v>2386.2220000000002</v>
      </c>
      <c r="M18" s="141"/>
      <c r="N18" s="86"/>
      <c r="P18" s="34"/>
    </row>
    <row r="19" spans="1:16" ht="13.8">
      <c r="A19" s="15" t="s">
        <v>50</v>
      </c>
      <c r="B19" s="5">
        <f>L18</f>
        <v>2386.2220000000002</v>
      </c>
      <c r="C19" s="6">
        <v>2074.857</v>
      </c>
      <c r="D19" s="6">
        <f>(7902.1*2204.622)/1000000</f>
        <v>17.4211435062</v>
      </c>
      <c r="E19" s="6">
        <f>SUM(B19:D19)</f>
        <v>4478.5001435061995</v>
      </c>
      <c r="F19" s="5"/>
      <c r="G19" s="5">
        <f>K19-J19</f>
        <v>2235.0292895553998</v>
      </c>
      <c r="H19" s="106">
        <v>1206.92</v>
      </c>
      <c r="I19" s="6">
        <f t="shared" si="5"/>
        <v>1028.1092895553998</v>
      </c>
      <c r="J19" s="6">
        <f>(18341.4*2204.622)/1000000</f>
        <v>40.435853950800002</v>
      </c>
      <c r="K19" s="6">
        <f>E19-L19</f>
        <v>2275.4651435061996</v>
      </c>
      <c r="L19" s="5">
        <v>2203.0349999999999</v>
      </c>
      <c r="M19" s="141"/>
      <c r="N19" s="86"/>
      <c r="P19" s="34"/>
    </row>
    <row r="20" spans="1:16" ht="13.8">
      <c r="A20" s="15" t="s">
        <v>51</v>
      </c>
      <c r="B20" s="5">
        <f>L19</f>
        <v>2203.0349999999999</v>
      </c>
      <c r="C20" s="6">
        <v>2180.0360000000001</v>
      </c>
      <c r="D20" s="6">
        <f>(12819.4*2204.622)/1000000</f>
        <v>28.261931266799998</v>
      </c>
      <c r="E20" s="6">
        <f>SUM(B20:D20)</f>
        <v>4411.3329312668002</v>
      </c>
      <c r="F20" s="5"/>
      <c r="G20" s="5">
        <f>K20-J20</f>
        <v>2237.9374148913998</v>
      </c>
      <c r="H20" s="106">
        <v>1272.7660000000001</v>
      </c>
      <c r="I20" s="100">
        <f t="shared" si="5"/>
        <v>965.17141489139976</v>
      </c>
      <c r="J20" s="6">
        <f>(16870.7*2204.622)/1000000</f>
        <v>37.193516375400002</v>
      </c>
      <c r="K20" s="6">
        <f>E20-L20</f>
        <v>2275.1309312668</v>
      </c>
      <c r="L20" s="5">
        <v>2136.2020000000002</v>
      </c>
      <c r="M20" s="141"/>
      <c r="N20" s="86"/>
      <c r="P20" s="34"/>
    </row>
    <row r="21" spans="1:16" ht="13.8">
      <c r="A21" s="15" t="s">
        <v>52</v>
      </c>
      <c r="B21" s="5">
        <f>L20</f>
        <v>2136.2020000000002</v>
      </c>
      <c r="C21" s="102">
        <v>2014.153</v>
      </c>
      <c r="D21" s="6">
        <f>(21091.6*2204.622)/1000000</f>
        <v>46.499005375199999</v>
      </c>
      <c r="E21" s="6">
        <f>SUM(B21:D21)</f>
        <v>4196.8540053752004</v>
      </c>
      <c r="F21" s="5"/>
      <c r="G21" s="5">
        <f>K21-J21</f>
        <v>2398.3808472406004</v>
      </c>
      <c r="H21" s="106">
        <v>1197.1020000000001</v>
      </c>
      <c r="I21" s="104">
        <f t="shared" si="5"/>
        <v>1201.2788472406003</v>
      </c>
      <c r="J21" s="6">
        <f>(11834.3*2204.622)/1000000</f>
        <v>26.090158134599996</v>
      </c>
      <c r="K21" s="6">
        <f>E21-L21</f>
        <v>2424.4710053752005</v>
      </c>
      <c r="L21" s="5">
        <v>1772.383</v>
      </c>
      <c r="M21" s="141"/>
      <c r="N21" s="86"/>
      <c r="P21" s="34"/>
    </row>
    <row r="22" spans="1:16" ht="13.8">
      <c r="A22" s="15" t="s">
        <v>38</v>
      </c>
      <c r="B22" s="5">
        <f>L21</f>
        <v>1772.383</v>
      </c>
      <c r="C22" s="102">
        <v>2077.0740000000001</v>
      </c>
      <c r="D22" s="6">
        <f>(11301.5*2204.622)/1000000</f>
        <v>24.915535533</v>
      </c>
      <c r="E22" s="6">
        <f>SUM(B22:D22)</f>
        <v>3874.3725355330002</v>
      </c>
      <c r="F22" s="5"/>
      <c r="G22" s="5">
        <f>K22-J22</f>
        <v>2239.3080090746007</v>
      </c>
      <c r="H22" s="106">
        <v>1207.4829999999999</v>
      </c>
      <c r="I22" s="104">
        <f t="shared" si="5"/>
        <v>1031.8250090746008</v>
      </c>
      <c r="J22" s="6">
        <f>(12697.2*2204.622)/1000000</f>
        <v>27.9925264584</v>
      </c>
      <c r="K22" s="6">
        <f>E22-L22</f>
        <v>2267.3005355330006</v>
      </c>
      <c r="L22" s="5">
        <v>1607.0719999999999</v>
      </c>
      <c r="M22" s="141"/>
      <c r="N22" s="86"/>
      <c r="P22" s="34"/>
    </row>
    <row r="23" spans="1:16" ht="13.8">
      <c r="A23" s="15" t="s">
        <v>28</v>
      </c>
      <c r="B23" s="5"/>
      <c r="C23" s="102">
        <f>SUM(C11:C22)</f>
        <v>26227.309000000001</v>
      </c>
      <c r="D23" s="6">
        <f>(170348.4*2204.622)/1000000</f>
        <v>375.55383030479999</v>
      </c>
      <c r="E23" s="6">
        <f>B11+C23+D23</f>
        <v>28594.010830304804</v>
      </c>
      <c r="F23" s="5"/>
      <c r="G23" s="5">
        <f>K23-J23</f>
        <v>26609.029361393004</v>
      </c>
      <c r="H23" s="106">
        <f>SUM(H11:H22)</f>
        <v>12490.714000000002</v>
      </c>
      <c r="I23" s="104">
        <f>G23-H23</f>
        <v>14118.315361393003</v>
      </c>
      <c r="J23" s="6">
        <f>(171417.1*2204.622)/1000000</f>
        <v>377.90990983619997</v>
      </c>
      <c r="K23" s="6">
        <f>SUM(K11:K22)</f>
        <v>26986.939271229203</v>
      </c>
      <c r="L23" s="5"/>
      <c r="P23" s="34"/>
    </row>
    <row r="24" spans="1:16" ht="13.8">
      <c r="A24" s="15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  <c r="P24" s="34"/>
    </row>
    <row r="25" spans="1:16" ht="13.8">
      <c r="A25" s="30" t="s">
        <v>54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  <c r="P25" s="34"/>
    </row>
    <row r="26" spans="1:16" ht="13.8">
      <c r="A26" s="15" t="s">
        <v>39</v>
      </c>
      <c r="B26" s="5">
        <f>L22</f>
        <v>1607.0719999999999</v>
      </c>
      <c r="C26" s="6">
        <v>2375.654</v>
      </c>
      <c r="D26" s="6">
        <f>(20588.3*2204.622)/1000000</f>
        <v>45.389419122599996</v>
      </c>
      <c r="E26" s="6">
        <f t="shared" ref="E26:E27" si="6">SUM(B26:D26)</f>
        <v>4028.1154191225996</v>
      </c>
      <c r="F26" s="5"/>
      <c r="G26" s="5">
        <f t="shared" ref="G26:G32" si="7">K26-J26</f>
        <v>2513.5540054601997</v>
      </c>
      <c r="H26" s="115">
        <v>1061.944</v>
      </c>
      <c r="I26" s="104">
        <f t="shared" ref="I26" si="8">G26-H26</f>
        <v>1451.6100054601998</v>
      </c>
      <c r="J26" s="6">
        <f>(5879.2*2204.622)/1000000</f>
        <v>12.961413662399998</v>
      </c>
      <c r="K26" s="6">
        <f t="shared" ref="K26:K32" si="9">E26-L26</f>
        <v>2526.5154191225997</v>
      </c>
      <c r="L26" s="6">
        <v>1501.6</v>
      </c>
      <c r="N26" s="34"/>
      <c r="P26" s="34"/>
    </row>
    <row r="27" spans="1:16" ht="13.8">
      <c r="A27" s="15" t="s">
        <v>40</v>
      </c>
      <c r="B27" s="5">
        <f t="shared" ref="B27:B31" si="10">L26</f>
        <v>1501.6</v>
      </c>
      <c r="C27" s="6">
        <v>2324.6680000000001</v>
      </c>
      <c r="D27" s="6">
        <f>(16757.1*2204.622)/1000000</f>
        <v>36.943071316199998</v>
      </c>
      <c r="E27" s="6">
        <f t="shared" si="6"/>
        <v>3863.2110713162001</v>
      </c>
      <c r="F27" s="6"/>
      <c r="G27" s="6">
        <f t="shared" si="7"/>
        <v>2250.4175343679999</v>
      </c>
      <c r="H27" s="116">
        <v>1062.1690000000001</v>
      </c>
      <c r="I27" s="104">
        <f t="shared" ref="I27:I33" si="11">G27-H27</f>
        <v>1188.2485343679998</v>
      </c>
      <c r="J27" s="6">
        <f>(6213.1*2204.622)/1000000</f>
        <v>13.6975369482</v>
      </c>
      <c r="K27" s="6">
        <f t="shared" si="9"/>
        <v>2264.1150713162001</v>
      </c>
      <c r="L27" s="6">
        <v>1599.096</v>
      </c>
      <c r="N27" s="34"/>
      <c r="P27" s="34"/>
    </row>
    <row r="28" spans="1:16" ht="13.8">
      <c r="A28" s="15" t="s">
        <v>42</v>
      </c>
      <c r="B28" s="5">
        <f t="shared" si="10"/>
        <v>1599.096</v>
      </c>
      <c r="C28" s="6">
        <v>2376.2370000000001</v>
      </c>
      <c r="D28" s="6">
        <f>(21905.7*2204.622)/1000000</f>
        <v>48.293788145399994</v>
      </c>
      <c r="E28" s="6">
        <f t="shared" ref="E28:E34" si="12">SUM(B28:D28)</f>
        <v>4023.6267881454</v>
      </c>
      <c r="F28" s="6"/>
      <c r="G28" s="104">
        <f t="shared" si="7"/>
        <v>2186.9834934009996</v>
      </c>
      <c r="H28" s="116">
        <v>1141.32</v>
      </c>
      <c r="I28" s="104">
        <f t="shared" si="11"/>
        <v>1045.6634934009996</v>
      </c>
      <c r="J28" s="6">
        <f>(5810.2*2204.622)/1000000</f>
        <v>12.809294744399999</v>
      </c>
      <c r="K28" s="6">
        <f t="shared" si="9"/>
        <v>2199.7927881453998</v>
      </c>
      <c r="L28" s="6">
        <v>1823.8340000000001</v>
      </c>
      <c r="N28" s="34"/>
      <c r="P28" s="34"/>
    </row>
    <row r="29" spans="1:16" ht="13.8">
      <c r="A29" s="15" t="s">
        <v>43</v>
      </c>
      <c r="B29" s="5">
        <f t="shared" si="10"/>
        <v>1823.8340000000001</v>
      </c>
      <c r="C29" s="6">
        <v>2288.5720000000001</v>
      </c>
      <c r="D29" s="6">
        <f>(22995*2204.622)/1000000</f>
        <v>50.695282889999994</v>
      </c>
      <c r="E29" s="6">
        <f t="shared" si="12"/>
        <v>4163.1012828900002</v>
      </c>
      <c r="F29" s="6"/>
      <c r="G29" s="104">
        <f t="shared" si="7"/>
        <v>2122.8299197475999</v>
      </c>
      <c r="H29" s="6">
        <v>960.20299999999997</v>
      </c>
      <c r="I29" s="104">
        <f t="shared" si="11"/>
        <v>1162.6269197475999</v>
      </c>
      <c r="J29" s="6">
        <f>(5219.2*2204.622)/1000000</f>
        <v>11.506363142399998</v>
      </c>
      <c r="K29" s="6">
        <f t="shared" si="9"/>
        <v>2134.3362828899999</v>
      </c>
      <c r="L29" s="6">
        <v>2028.7650000000001</v>
      </c>
      <c r="N29" s="34"/>
    </row>
    <row r="30" spans="1:16" ht="13.8">
      <c r="A30" s="15" t="s">
        <v>44</v>
      </c>
      <c r="B30" s="5">
        <f t="shared" si="10"/>
        <v>2028.7650000000001</v>
      </c>
      <c r="C30" s="6">
        <v>2292.36</v>
      </c>
      <c r="D30" s="6">
        <f>(15950.7*2204.622)/1000000</f>
        <v>35.165264135399994</v>
      </c>
      <c r="E30" s="6">
        <f t="shared" si="12"/>
        <v>4356.2902641354003</v>
      </c>
      <c r="F30" s="6"/>
      <c r="G30" s="104">
        <f t="shared" si="7"/>
        <v>2193.7767908488004</v>
      </c>
      <c r="H30" s="6">
        <v>888.49</v>
      </c>
      <c r="I30" s="104">
        <f t="shared" si="11"/>
        <v>1305.2867908488004</v>
      </c>
      <c r="J30" s="6">
        <f>(6450.3*2204.622)/1000000</f>
        <v>14.220473286599999</v>
      </c>
      <c r="K30" s="6">
        <f t="shared" si="9"/>
        <v>2207.9972641354002</v>
      </c>
      <c r="L30" s="6">
        <v>2148.2930000000001</v>
      </c>
      <c r="N30" s="34"/>
    </row>
    <row r="31" spans="1:16" ht="13.8">
      <c r="A31" s="15" t="s">
        <v>46</v>
      </c>
      <c r="B31" s="5">
        <f t="shared" si="10"/>
        <v>2148.2930000000001</v>
      </c>
      <c r="C31" s="6">
        <v>2405.5709999999999</v>
      </c>
      <c r="D31" s="6">
        <f>(22598.7*2204.622)/1000000</f>
        <v>49.821591191399996</v>
      </c>
      <c r="E31" s="6">
        <f t="shared" si="12"/>
        <v>4603.6855911913999</v>
      </c>
      <c r="F31" s="6"/>
      <c r="G31" s="104">
        <f t="shared" si="7"/>
        <v>2135.8192490381998</v>
      </c>
      <c r="H31" s="6">
        <v>1026.1990000000001</v>
      </c>
      <c r="I31" s="104">
        <f t="shared" si="11"/>
        <v>1109.6202490381997</v>
      </c>
      <c r="J31" s="6">
        <f>(44790.6*2204.622)/1000000</f>
        <v>98.74634215319999</v>
      </c>
      <c r="K31" s="6">
        <f t="shared" si="9"/>
        <v>2234.5655911914</v>
      </c>
      <c r="L31" s="6">
        <v>2369.12</v>
      </c>
      <c r="N31" s="34"/>
    </row>
    <row r="32" spans="1:16" ht="13.8">
      <c r="A32" s="15" t="s">
        <v>47</v>
      </c>
      <c r="B32" s="5">
        <f>L31</f>
        <v>2369.12</v>
      </c>
      <c r="C32" s="6">
        <v>2097.7559999999999</v>
      </c>
      <c r="D32" s="6">
        <f>(24996.9*2204.622)/1000000</f>
        <v>55.108715671800006</v>
      </c>
      <c r="E32" s="6">
        <f t="shared" si="12"/>
        <v>4521.9847156718006</v>
      </c>
      <c r="F32" s="6"/>
      <c r="G32" s="104">
        <f t="shared" si="7"/>
        <v>2188.2718875420005</v>
      </c>
      <c r="H32" s="6">
        <v>1070.029</v>
      </c>
      <c r="I32" s="104">
        <f t="shared" si="11"/>
        <v>1118.2428875420005</v>
      </c>
      <c r="J32" s="6">
        <f>(10135.9*2204.622)/1000000</f>
        <v>22.345828129800001</v>
      </c>
      <c r="K32" s="6">
        <f t="shared" si="9"/>
        <v>2210.6177156718004</v>
      </c>
      <c r="L32" s="6">
        <v>2311.3670000000002</v>
      </c>
      <c r="N32" s="34"/>
    </row>
    <row r="33" spans="1:14" ht="13.8">
      <c r="A33" s="15" t="s">
        <v>48</v>
      </c>
      <c r="B33" s="5">
        <f>L32</f>
        <v>2311.3670000000002</v>
      </c>
      <c r="C33" s="6">
        <v>2268.8420000000001</v>
      </c>
      <c r="D33" s="6">
        <f>(40370*2204.622)/1000000</f>
        <v>89.00059014</v>
      </c>
      <c r="E33" s="6">
        <f t="shared" si="12"/>
        <v>4669.2095901400007</v>
      </c>
      <c r="F33" s="6"/>
      <c r="G33" s="104">
        <f t="shared" ref="G33:G34" si="13">K33-J33</f>
        <v>2387.1196363152008</v>
      </c>
      <c r="H33" s="6">
        <v>1076.011</v>
      </c>
      <c r="I33" s="104">
        <f t="shared" si="11"/>
        <v>1311.1086363152008</v>
      </c>
      <c r="J33" s="6">
        <f>(42508.4*2204.622)/1000000</f>
        <v>93.714953824800006</v>
      </c>
      <c r="K33" s="6">
        <f t="shared" ref="K33:K34" si="14">E33-L33</f>
        <v>2480.8345901400007</v>
      </c>
      <c r="L33" s="6">
        <v>2188.375</v>
      </c>
      <c r="N33" s="34"/>
    </row>
    <row r="34" spans="1:14" ht="13.8">
      <c r="A34" s="15" t="s">
        <v>50</v>
      </c>
      <c r="B34" s="5">
        <f>L33</f>
        <v>2188.375</v>
      </c>
      <c r="C34" s="6">
        <v>2183.6149999999998</v>
      </c>
      <c r="D34" s="6">
        <f>(45970.5*2204.622)/1000000</f>
        <v>101.347575651</v>
      </c>
      <c r="E34" s="6">
        <f t="shared" si="12"/>
        <v>4473.3375756509995</v>
      </c>
      <c r="F34" s="6"/>
      <c r="G34" s="104">
        <f t="shared" si="13"/>
        <v>2233.0214918979996</v>
      </c>
      <c r="H34" s="6" t="s">
        <v>76</v>
      </c>
      <c r="I34" s="6" t="s">
        <v>76</v>
      </c>
      <c r="J34" s="6">
        <f>(52311.5*2204.622)/1000000</f>
        <v>115.327083753</v>
      </c>
      <c r="K34" s="6">
        <f t="shared" si="14"/>
        <v>2348.3485756509995</v>
      </c>
      <c r="L34" s="6">
        <v>2124.989</v>
      </c>
      <c r="N34" s="34"/>
    </row>
    <row r="35" spans="1:14" ht="16.2">
      <c r="A35" s="79" t="s">
        <v>77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4" ht="14.4">
      <c r="A36" s="15" t="s">
        <v>69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4" ht="13.8">
      <c r="A37" s="20" t="s">
        <v>57</v>
      </c>
      <c r="B37" s="36">
        <f>Contents!A16</f>
        <v>45518</v>
      </c>
      <c r="K37" s="34"/>
    </row>
    <row r="38" spans="1:14">
      <c r="E38" s="34"/>
    </row>
    <row r="39" spans="1:14">
      <c r="H39" s="91"/>
    </row>
  </sheetData>
  <mergeCells count="3">
    <mergeCell ref="B5:L5"/>
    <mergeCell ref="G2:I2"/>
    <mergeCell ref="B2:E2"/>
  </mergeCells>
  <phoneticPr fontId="49" type="noConversion"/>
  <pageMargins left="0.75" right="0.75" top="1" bottom="1" header="0.5" footer="0.5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R54"/>
  <sheetViews>
    <sheetView showGridLines="0" zoomScale="70" zoomScaleNormal="70" workbookViewId="0">
      <selection activeCell="I22" sqref="I22"/>
    </sheetView>
  </sheetViews>
  <sheetFormatPr defaultColWidth="9.109375" defaultRowHeight="13.2"/>
  <cols>
    <col min="1" max="1" width="15.44140625" customWidth="1"/>
    <col min="2" max="2" width="13.109375" customWidth="1"/>
    <col min="3" max="3" width="12.109375" customWidth="1"/>
    <col min="4" max="4" width="16.5546875" customWidth="1"/>
    <col min="5" max="5" width="15.44140625" customWidth="1"/>
    <col min="6" max="6" width="11.44140625" customWidth="1"/>
    <col min="7" max="7" width="11.5546875" customWidth="1"/>
    <col min="8" max="8" width="14" customWidth="1"/>
    <col min="9" max="9" width="9.5546875" customWidth="1"/>
    <col min="10" max="11" width="7.5546875" customWidth="1"/>
    <col min="12" max="12" width="8.5546875" customWidth="1"/>
    <col min="13" max="13" width="9.5546875" customWidth="1"/>
    <col min="14" max="14" width="9.5546875" bestFit="1" customWidth="1"/>
    <col min="15" max="15" width="8.44140625" bestFit="1" customWidth="1"/>
    <col min="19" max="19" width="17.44140625" bestFit="1" customWidth="1"/>
    <col min="21" max="21" width="28.44140625" bestFit="1" customWidth="1"/>
  </cols>
  <sheetData>
    <row r="1" spans="1:15" ht="13.8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</row>
    <row r="2" spans="1:15" ht="13.8">
      <c r="A2" s="15"/>
      <c r="B2" s="171" t="s">
        <v>58</v>
      </c>
      <c r="C2" s="171"/>
      <c r="D2" s="171"/>
      <c r="E2" s="171"/>
      <c r="F2" s="69"/>
      <c r="G2" s="171" t="s">
        <v>59</v>
      </c>
      <c r="H2" s="171"/>
      <c r="I2" s="171"/>
      <c r="J2" s="171"/>
      <c r="K2" s="69"/>
      <c r="L2" s="15"/>
      <c r="M2" s="15"/>
      <c r="N2" s="15"/>
      <c r="O2" s="15"/>
    </row>
    <row r="3" spans="1:15" ht="13.8">
      <c r="A3" s="15" t="s">
        <v>17</v>
      </c>
      <c r="B3" s="20" t="s">
        <v>70</v>
      </c>
      <c r="C3" s="20"/>
      <c r="D3" s="20"/>
      <c r="E3" s="20"/>
      <c r="F3" s="20"/>
      <c r="G3" s="20"/>
      <c r="H3" s="20"/>
      <c r="I3" s="20"/>
      <c r="J3" s="20"/>
      <c r="K3" s="17" t="s">
        <v>60</v>
      </c>
      <c r="L3" s="15"/>
      <c r="M3" s="15"/>
      <c r="N3" s="15"/>
      <c r="O3" s="15"/>
    </row>
    <row r="4" spans="1:15" ht="13.8">
      <c r="A4" s="21" t="s">
        <v>78</v>
      </c>
      <c r="B4" s="23" t="s">
        <v>79</v>
      </c>
      <c r="C4" s="55" t="s">
        <v>26</v>
      </c>
      <c r="D4" s="25" t="s">
        <v>71</v>
      </c>
      <c r="E4" s="23" t="s">
        <v>80</v>
      </c>
      <c r="F4" s="24"/>
      <c r="G4" s="23" t="s">
        <v>81</v>
      </c>
      <c r="H4" s="23" t="s">
        <v>30</v>
      </c>
      <c r="I4" s="23" t="s">
        <v>82</v>
      </c>
      <c r="J4" s="23" t="s">
        <v>83</v>
      </c>
      <c r="K4" s="23" t="s">
        <v>62</v>
      </c>
      <c r="L4" s="15"/>
      <c r="M4" s="15"/>
      <c r="N4" s="15"/>
      <c r="O4" s="15"/>
    </row>
    <row r="5" spans="1:15" ht="14.4">
      <c r="A5" s="15"/>
      <c r="B5" s="174" t="s">
        <v>84</v>
      </c>
      <c r="C5" s="174"/>
      <c r="D5" s="174"/>
      <c r="E5" s="174"/>
      <c r="F5" s="174"/>
      <c r="G5" s="174"/>
      <c r="H5" s="174"/>
      <c r="I5" s="174"/>
      <c r="J5" s="174"/>
      <c r="K5" s="174"/>
      <c r="L5" s="15"/>
      <c r="M5" s="15"/>
      <c r="N5" s="15"/>
      <c r="O5" s="15"/>
    </row>
    <row r="6" spans="1:15" ht="13.8">
      <c r="A6" s="15" t="s">
        <v>37</v>
      </c>
      <c r="B6" s="71">
        <v>395.42099999999999</v>
      </c>
      <c r="C6" s="71">
        <v>4415</v>
      </c>
      <c r="D6" s="134">
        <v>101.14</v>
      </c>
      <c r="E6" s="71">
        <f>B6+C6+D6</f>
        <v>4911.5610000000006</v>
      </c>
      <c r="F6" s="72"/>
      <c r="G6" s="71">
        <v>1389.82</v>
      </c>
      <c r="H6" s="135">
        <v>185.61</v>
      </c>
      <c r="I6" s="71">
        <f>J6-G6-H6</f>
        <v>2950.9960000000005</v>
      </c>
      <c r="J6" s="71">
        <f>E6-K6</f>
        <v>4526.4260000000004</v>
      </c>
      <c r="K6" s="136">
        <v>385.13499999999999</v>
      </c>
      <c r="L6" s="137"/>
      <c r="M6" s="137"/>
      <c r="N6" s="137"/>
      <c r="O6" s="15"/>
    </row>
    <row r="7" spans="1:15" ht="16.2">
      <c r="A7" s="15" t="s">
        <v>155</v>
      </c>
      <c r="B7" s="71">
        <f>K6</f>
        <v>385.13499999999999</v>
      </c>
      <c r="C7" s="71">
        <v>3644</v>
      </c>
      <c r="D7" s="134">
        <v>25</v>
      </c>
      <c r="E7" s="71">
        <f>B7+C7+D7</f>
        <v>4054.1350000000002</v>
      </c>
      <c r="F7" s="72"/>
      <c r="G7" s="71">
        <v>1375</v>
      </c>
      <c r="H7" s="135">
        <v>400</v>
      </c>
      <c r="I7" s="71">
        <v>1909</v>
      </c>
      <c r="J7" s="71">
        <f>SUM(G7:I7)</f>
        <v>3684</v>
      </c>
      <c r="K7" s="71">
        <f>E7-J7</f>
        <v>370.13500000000022</v>
      </c>
      <c r="L7" s="137"/>
      <c r="M7" s="15"/>
      <c r="N7" s="137"/>
      <c r="O7" s="15"/>
    </row>
    <row r="8" spans="1:15" ht="16.2">
      <c r="A8" s="14" t="s">
        <v>156</v>
      </c>
      <c r="B8" s="166">
        <f>K7</f>
        <v>370.13500000000022</v>
      </c>
      <c r="C8" s="166">
        <v>4605</v>
      </c>
      <c r="D8" s="167">
        <v>25</v>
      </c>
      <c r="E8" s="166">
        <f>B8+C8+D8</f>
        <v>5000.1350000000002</v>
      </c>
      <c r="F8" s="168"/>
      <c r="G8" s="166">
        <v>1500</v>
      </c>
      <c r="H8" s="169">
        <v>350</v>
      </c>
      <c r="I8" s="166">
        <v>2775</v>
      </c>
      <c r="J8" s="166">
        <f>SUM(G8:I8)</f>
        <v>4625</v>
      </c>
      <c r="K8" s="166">
        <f>E8-J8</f>
        <v>375.13500000000022</v>
      </c>
      <c r="L8" s="15"/>
      <c r="M8" s="15"/>
      <c r="N8" s="15"/>
      <c r="O8" s="15"/>
    </row>
    <row r="9" spans="1:15" ht="16.2">
      <c r="A9" s="40" t="s">
        <v>85</v>
      </c>
      <c r="B9" s="15"/>
      <c r="C9" s="70"/>
      <c r="D9" s="70"/>
      <c r="E9" s="70"/>
      <c r="F9" s="70"/>
      <c r="G9" s="73"/>
      <c r="H9" s="70"/>
      <c r="I9" s="70"/>
      <c r="J9" s="70"/>
      <c r="K9" s="15"/>
      <c r="L9" s="15"/>
      <c r="M9" s="15"/>
      <c r="N9" s="15"/>
      <c r="O9" s="15"/>
    </row>
    <row r="10" spans="1:15" ht="14.4">
      <c r="A10" s="15" t="s">
        <v>86</v>
      </c>
      <c r="B10" s="28"/>
      <c r="C10" s="33"/>
      <c r="D10" s="15"/>
      <c r="E10" s="28"/>
      <c r="F10" s="28"/>
      <c r="G10" s="28"/>
      <c r="H10" s="28"/>
      <c r="I10" s="28"/>
      <c r="J10" s="28"/>
      <c r="K10" s="15"/>
      <c r="L10" s="15"/>
      <c r="M10" s="15"/>
      <c r="N10" s="15"/>
      <c r="O10" s="15"/>
    </row>
    <row r="11" spans="1:15" ht="14.4">
      <c r="A11" s="15" t="s">
        <v>87</v>
      </c>
      <c r="B11" s="28"/>
      <c r="C11" s="33"/>
      <c r="D11" s="15"/>
      <c r="E11" s="28"/>
      <c r="F11" s="28"/>
      <c r="G11" s="28"/>
      <c r="H11" s="28"/>
      <c r="I11" s="28"/>
      <c r="J11" s="28"/>
      <c r="K11" s="15"/>
      <c r="L11" s="15"/>
      <c r="M11" s="15"/>
      <c r="N11" s="15"/>
      <c r="O11" s="15"/>
    </row>
    <row r="12" spans="1:15" ht="13.8">
      <c r="A12" s="15"/>
      <c r="B12" s="28"/>
      <c r="C12" s="33"/>
      <c r="D12" s="15"/>
      <c r="E12" s="28"/>
      <c r="F12" s="28"/>
      <c r="G12" s="28"/>
      <c r="H12" s="28"/>
      <c r="I12" s="28"/>
      <c r="J12" s="28"/>
      <c r="K12" s="15"/>
      <c r="L12" s="15"/>
      <c r="M12" s="15"/>
      <c r="N12" s="15"/>
      <c r="O12" s="15"/>
    </row>
    <row r="13" spans="1:15" ht="13.8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3.8">
      <c r="A14" s="14" t="s">
        <v>5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  <c r="L14" s="15"/>
      <c r="M14" s="15"/>
      <c r="N14" s="15"/>
      <c r="O14" s="15"/>
    </row>
    <row r="15" spans="1:15" ht="13.8">
      <c r="A15" s="15"/>
      <c r="B15" s="171" t="s">
        <v>58</v>
      </c>
      <c r="C15" s="171"/>
      <c r="D15" s="171"/>
      <c r="E15" s="171"/>
      <c r="F15" s="15"/>
      <c r="G15" s="171" t="s">
        <v>59</v>
      </c>
      <c r="H15" s="171"/>
      <c r="I15" s="171"/>
      <c r="J15" s="15"/>
      <c r="K15" s="15"/>
      <c r="L15" s="15"/>
      <c r="M15" s="15"/>
      <c r="N15" s="15"/>
      <c r="O15" s="15"/>
    </row>
    <row r="16" spans="1:15" ht="13.8">
      <c r="A16" s="15" t="s">
        <v>17</v>
      </c>
      <c r="B16" s="17" t="s">
        <v>70</v>
      </c>
      <c r="C16" s="20"/>
      <c r="D16" s="20"/>
      <c r="E16" s="20"/>
      <c r="F16" s="20"/>
      <c r="G16" s="20"/>
      <c r="H16" s="20"/>
      <c r="I16" s="20"/>
      <c r="J16" s="17" t="s">
        <v>60</v>
      </c>
      <c r="K16" s="15"/>
      <c r="L16" s="15"/>
      <c r="M16" s="15"/>
      <c r="N16" s="15"/>
      <c r="O16" s="15"/>
    </row>
    <row r="17" spans="1:15" ht="13.8">
      <c r="A17" s="21" t="s">
        <v>61</v>
      </c>
      <c r="B17" s="23" t="s">
        <v>62</v>
      </c>
      <c r="C17" s="55" t="s">
        <v>26</v>
      </c>
      <c r="D17" s="25" t="s">
        <v>71</v>
      </c>
      <c r="E17" s="23" t="s">
        <v>83</v>
      </c>
      <c r="F17" s="24"/>
      <c r="G17" s="71" t="s">
        <v>88</v>
      </c>
      <c r="H17" s="23" t="s">
        <v>30</v>
      </c>
      <c r="I17" s="25" t="s">
        <v>63</v>
      </c>
      <c r="J17" s="23" t="s">
        <v>62</v>
      </c>
      <c r="K17" s="15"/>
      <c r="L17" s="15"/>
      <c r="M17" s="15"/>
      <c r="N17" s="15"/>
      <c r="O17" s="15"/>
    </row>
    <row r="18" spans="1:15" ht="14.4">
      <c r="A18" s="15"/>
      <c r="B18" s="174" t="s">
        <v>89</v>
      </c>
      <c r="C18" s="174"/>
      <c r="D18" s="174"/>
      <c r="E18" s="174"/>
      <c r="F18" s="174"/>
      <c r="G18" s="174"/>
      <c r="H18" s="174"/>
      <c r="I18" s="174"/>
      <c r="J18" s="174"/>
      <c r="K18" s="15"/>
      <c r="L18" s="15"/>
      <c r="M18" s="15"/>
      <c r="N18" s="15"/>
      <c r="O18" s="15"/>
    </row>
    <row r="19" spans="1:15" ht="13.8">
      <c r="A19" s="15" t="s">
        <v>37</v>
      </c>
      <c r="B19" s="71">
        <v>22.315999999999999</v>
      </c>
      <c r="C19" s="135">
        <v>589.51700000000005</v>
      </c>
      <c r="D19" s="134">
        <v>0</v>
      </c>
      <c r="E19" s="135">
        <f>B19+C19+D19</f>
        <v>611.83300000000008</v>
      </c>
      <c r="F19" s="72"/>
      <c r="G19" s="135">
        <f>E19-J19-H19</f>
        <v>526.202</v>
      </c>
      <c r="H19" s="135">
        <v>53.07</v>
      </c>
      <c r="I19" s="135">
        <f>SUM(G19:H19)</f>
        <v>579.27200000000005</v>
      </c>
      <c r="J19" s="71">
        <v>32.561</v>
      </c>
      <c r="K19" s="15"/>
      <c r="L19" s="137"/>
      <c r="M19" s="15"/>
      <c r="N19" s="15"/>
      <c r="O19" s="15"/>
    </row>
    <row r="20" spans="1:15" ht="16.2">
      <c r="A20" s="15" t="s">
        <v>155</v>
      </c>
      <c r="B20" s="71">
        <f>J19</f>
        <v>32.561</v>
      </c>
      <c r="C20" s="135">
        <v>600</v>
      </c>
      <c r="D20" s="134">
        <v>0</v>
      </c>
      <c r="E20" s="135">
        <f>B20+C20+D20</f>
        <v>632.56100000000004</v>
      </c>
      <c r="F20" s="72"/>
      <c r="G20" s="135">
        <v>538</v>
      </c>
      <c r="H20" s="135">
        <v>60</v>
      </c>
      <c r="I20" s="135">
        <f>SUM(G20:H20)</f>
        <v>598</v>
      </c>
      <c r="J20" s="71">
        <f>E20-I20</f>
        <v>34.561000000000035</v>
      </c>
      <c r="K20" s="15"/>
      <c r="L20" s="15"/>
      <c r="M20" s="15"/>
      <c r="N20" s="15"/>
      <c r="O20" s="15"/>
    </row>
    <row r="21" spans="1:15" ht="16.2">
      <c r="A21" s="14" t="s">
        <v>156</v>
      </c>
      <c r="B21" s="166">
        <f>J20</f>
        <v>34.561000000000035</v>
      </c>
      <c r="C21" s="169">
        <v>660</v>
      </c>
      <c r="D21" s="167">
        <v>0</v>
      </c>
      <c r="E21" s="169">
        <f>B21+C21+D21</f>
        <v>694.56100000000004</v>
      </c>
      <c r="F21" s="168"/>
      <c r="G21" s="169">
        <v>595</v>
      </c>
      <c r="H21" s="169">
        <v>60</v>
      </c>
      <c r="I21" s="169">
        <f>SUM(G21:H21)</f>
        <v>655</v>
      </c>
      <c r="J21" s="166">
        <f>E21-I21</f>
        <v>39.561000000000035</v>
      </c>
      <c r="K21" s="15"/>
      <c r="L21" s="15"/>
      <c r="M21" s="15"/>
      <c r="N21" s="15"/>
      <c r="O21" s="15"/>
    </row>
    <row r="22" spans="1:15" ht="16.2">
      <c r="A22" s="40" t="s">
        <v>85</v>
      </c>
      <c r="B22" s="15"/>
      <c r="C22" s="70"/>
      <c r="D22" s="70"/>
      <c r="E22" s="70"/>
      <c r="F22" s="70"/>
      <c r="G22" s="70"/>
      <c r="H22" s="70"/>
      <c r="I22" s="15"/>
      <c r="J22" s="15"/>
      <c r="K22" s="15"/>
      <c r="L22" s="15"/>
      <c r="M22" s="15"/>
      <c r="N22" s="15"/>
      <c r="O22" s="15"/>
    </row>
    <row r="23" spans="1:15" ht="14.4">
      <c r="A23" s="15" t="s">
        <v>90</v>
      </c>
      <c r="B23" s="72"/>
      <c r="C23" s="72"/>
      <c r="D23" s="72"/>
      <c r="E23" s="72"/>
      <c r="F23" s="72"/>
      <c r="G23" s="72"/>
      <c r="H23" s="72"/>
      <c r="I23" s="15"/>
      <c r="J23" s="15"/>
      <c r="K23" s="15"/>
      <c r="L23" s="15"/>
      <c r="M23" s="15"/>
      <c r="N23" s="15"/>
      <c r="O23" s="15"/>
    </row>
    <row r="24" spans="1:15" ht="13.8">
      <c r="A24" s="15"/>
      <c r="B24" s="28"/>
      <c r="C24" s="28"/>
      <c r="D24" s="28"/>
      <c r="E24" s="28"/>
      <c r="F24" s="28"/>
      <c r="G24" s="28"/>
      <c r="H24" s="28"/>
      <c r="I24" s="15"/>
      <c r="J24" s="15"/>
      <c r="K24" s="15"/>
      <c r="L24" s="15"/>
      <c r="M24" s="15"/>
      <c r="N24" s="15"/>
      <c r="O24" s="15"/>
    </row>
    <row r="25" spans="1:15" ht="13.8">
      <c r="A25" s="15"/>
      <c r="B25" s="28"/>
      <c r="C25" s="33"/>
      <c r="D25" s="28"/>
      <c r="E25" s="28"/>
      <c r="F25" s="28"/>
      <c r="G25" s="28"/>
      <c r="H25" s="28"/>
      <c r="I25" s="15"/>
      <c r="J25" s="15"/>
      <c r="K25" s="15"/>
      <c r="L25" s="15"/>
      <c r="M25" s="15"/>
      <c r="N25" s="15"/>
      <c r="O25" s="15"/>
    </row>
    <row r="26" spans="1:15" ht="13.8">
      <c r="A26" s="14" t="s">
        <v>6</v>
      </c>
      <c r="B26" s="14"/>
      <c r="C26" s="14"/>
      <c r="D26" s="14"/>
      <c r="E26" s="14"/>
      <c r="F26" s="14"/>
      <c r="G26" s="14"/>
      <c r="H26" s="14"/>
      <c r="I26" s="15"/>
      <c r="J26" s="14"/>
      <c r="K26" s="15"/>
      <c r="L26" s="15"/>
      <c r="M26" s="15"/>
      <c r="N26" s="15"/>
      <c r="O26" s="15"/>
    </row>
    <row r="27" spans="1:15" ht="13.8">
      <c r="A27" s="15"/>
      <c r="B27" s="171" t="s">
        <v>58</v>
      </c>
      <c r="C27" s="171"/>
      <c r="D27" s="171"/>
      <c r="E27" s="171"/>
      <c r="F27" s="15"/>
      <c r="G27" s="171" t="s">
        <v>59</v>
      </c>
      <c r="H27" s="171"/>
      <c r="I27" s="171"/>
      <c r="J27" s="15"/>
      <c r="K27" s="15"/>
      <c r="L27" s="15"/>
      <c r="M27" s="15"/>
      <c r="N27" s="15"/>
      <c r="O27" s="15"/>
    </row>
    <row r="28" spans="1:15" ht="13.8">
      <c r="A28" s="15" t="s">
        <v>17</v>
      </c>
      <c r="B28" s="17" t="s">
        <v>70</v>
      </c>
      <c r="C28" s="20"/>
      <c r="D28" s="20"/>
      <c r="E28" s="20"/>
      <c r="F28" s="20"/>
      <c r="G28" s="20"/>
      <c r="H28" s="20"/>
      <c r="I28" s="20"/>
      <c r="J28" s="17" t="s">
        <v>60</v>
      </c>
      <c r="K28" s="15"/>
      <c r="L28" s="15"/>
      <c r="M28" s="15"/>
      <c r="N28" s="15"/>
      <c r="O28" s="15"/>
    </row>
    <row r="29" spans="1:15" ht="13.8">
      <c r="A29" s="21" t="s">
        <v>61</v>
      </c>
      <c r="B29" s="23" t="s">
        <v>62</v>
      </c>
      <c r="C29" s="23" t="s">
        <v>26</v>
      </c>
      <c r="D29" s="25" t="s">
        <v>71</v>
      </c>
      <c r="E29" s="23" t="s">
        <v>83</v>
      </c>
      <c r="F29" s="24"/>
      <c r="G29" s="23" t="s">
        <v>64</v>
      </c>
      <c r="H29" s="23" t="s">
        <v>30</v>
      </c>
      <c r="I29" s="23" t="s">
        <v>63</v>
      </c>
      <c r="J29" s="23" t="s">
        <v>66</v>
      </c>
      <c r="K29" s="15"/>
      <c r="L29" s="15"/>
      <c r="M29" s="15"/>
      <c r="N29" s="15"/>
      <c r="O29" s="15"/>
    </row>
    <row r="30" spans="1:15" ht="14.4">
      <c r="A30" s="15"/>
      <c r="B30" s="174" t="s">
        <v>75</v>
      </c>
      <c r="C30" s="174"/>
      <c r="D30" s="174"/>
      <c r="E30" s="174"/>
      <c r="F30" s="174"/>
      <c r="G30" s="174"/>
      <c r="H30" s="174"/>
      <c r="I30" s="174"/>
      <c r="J30" s="174"/>
      <c r="K30" s="15"/>
      <c r="L30" s="15"/>
      <c r="M30" s="15"/>
      <c r="N30" s="15"/>
      <c r="O30" s="15"/>
    </row>
    <row r="31" spans="1:15" ht="13.8">
      <c r="A31" s="15" t="s">
        <v>37</v>
      </c>
      <c r="B31" s="134">
        <v>49.698</v>
      </c>
      <c r="C31" s="135">
        <v>365.27800000000002</v>
      </c>
      <c r="D31" s="134">
        <v>15.95</v>
      </c>
      <c r="E31" s="138">
        <f>B31+C31+D31</f>
        <v>430.92599999999999</v>
      </c>
      <c r="F31" s="72"/>
      <c r="G31" s="135">
        <v>310</v>
      </c>
      <c r="H31" s="135">
        <v>71.13</v>
      </c>
      <c r="I31" s="135">
        <f>SUM(G31:H31)</f>
        <v>381.13</v>
      </c>
      <c r="J31" s="135">
        <f>E31-I31</f>
        <v>49.795999999999992</v>
      </c>
      <c r="K31" s="15"/>
      <c r="L31" s="137"/>
      <c r="M31" s="15"/>
      <c r="N31" s="15"/>
      <c r="O31" s="15"/>
    </row>
    <row r="32" spans="1:15" ht="16.2">
      <c r="A32" s="15" t="s">
        <v>155</v>
      </c>
      <c r="B32" s="134">
        <f>J31</f>
        <v>49.795999999999992</v>
      </c>
      <c r="C32" s="135">
        <v>375</v>
      </c>
      <c r="D32" s="134">
        <v>5</v>
      </c>
      <c r="E32" s="138">
        <f>B32+C32+D32</f>
        <v>429.79599999999999</v>
      </c>
      <c r="F32" s="72"/>
      <c r="G32" s="135">
        <v>360</v>
      </c>
      <c r="H32" s="135">
        <v>20</v>
      </c>
      <c r="I32" s="135">
        <f>SUM(G32:H32)</f>
        <v>380</v>
      </c>
      <c r="J32" s="135">
        <f>E32-I32</f>
        <v>49.795999999999992</v>
      </c>
      <c r="K32" s="15"/>
      <c r="L32" s="15"/>
      <c r="M32" s="15"/>
      <c r="N32" s="15"/>
      <c r="O32" s="15"/>
    </row>
    <row r="33" spans="1:18" ht="16.2">
      <c r="A33" s="14" t="s">
        <v>156</v>
      </c>
      <c r="B33" s="167">
        <f>J32</f>
        <v>49.795999999999992</v>
      </c>
      <c r="C33" s="169">
        <v>400</v>
      </c>
      <c r="D33" s="167">
        <v>5</v>
      </c>
      <c r="E33" s="170">
        <f>B33+C33+D33</f>
        <v>454.79599999999999</v>
      </c>
      <c r="F33" s="168"/>
      <c r="G33" s="169">
        <v>355</v>
      </c>
      <c r="H33" s="169">
        <v>50</v>
      </c>
      <c r="I33" s="169">
        <f>SUM(G33:H33)</f>
        <v>405</v>
      </c>
      <c r="J33" s="169">
        <f>E33-I33</f>
        <v>49.795999999999992</v>
      </c>
      <c r="K33" s="15"/>
      <c r="L33" s="15"/>
      <c r="M33" s="15"/>
      <c r="N33" s="15"/>
      <c r="O33" s="15"/>
    </row>
    <row r="34" spans="1:18" ht="16.2">
      <c r="A34" s="40" t="s">
        <v>85</v>
      </c>
      <c r="B34" s="15"/>
      <c r="C34" s="70"/>
      <c r="D34" s="70"/>
      <c r="E34" s="70"/>
      <c r="F34" s="70"/>
      <c r="G34" s="70"/>
      <c r="H34" s="70"/>
      <c r="I34" s="15"/>
      <c r="J34" s="15"/>
      <c r="K34" s="15"/>
      <c r="L34" s="15"/>
      <c r="M34" s="15"/>
      <c r="N34" s="15"/>
      <c r="O34" s="15"/>
      <c r="R34" s="111"/>
    </row>
    <row r="35" spans="1:18" ht="14.4">
      <c r="A35" s="15" t="s">
        <v>90</v>
      </c>
      <c r="B35" s="28"/>
      <c r="C35" s="33"/>
      <c r="D35" s="28"/>
      <c r="E35" s="28"/>
      <c r="F35" s="28"/>
      <c r="G35" s="28"/>
      <c r="H35" s="28"/>
      <c r="I35" s="15"/>
      <c r="J35" s="15"/>
      <c r="K35" s="15"/>
      <c r="L35" s="15"/>
      <c r="M35" s="15"/>
      <c r="N35" s="15"/>
      <c r="O35" s="15"/>
      <c r="R35" s="111"/>
    </row>
    <row r="36" spans="1:18" ht="13.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8" ht="13.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8" ht="13.8">
      <c r="A38" s="14" t="s">
        <v>7</v>
      </c>
      <c r="B38" s="14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</row>
    <row r="39" spans="1:18" ht="13.8">
      <c r="A39" s="15"/>
      <c r="B39" s="171" t="s">
        <v>13</v>
      </c>
      <c r="C39" s="171"/>
      <c r="D39" s="17" t="s">
        <v>14</v>
      </c>
      <c r="E39" s="171" t="s">
        <v>15</v>
      </c>
      <c r="F39" s="171"/>
      <c r="G39" s="171"/>
      <c r="H39" s="171"/>
      <c r="I39" s="15"/>
      <c r="J39" s="171" t="s">
        <v>59</v>
      </c>
      <c r="K39" s="171"/>
      <c r="L39" s="171"/>
      <c r="M39" s="171"/>
      <c r="N39" s="171"/>
      <c r="O39" s="69"/>
    </row>
    <row r="40" spans="1:18" ht="13.8">
      <c r="A40" s="15" t="s">
        <v>17</v>
      </c>
      <c r="B40" s="17" t="s">
        <v>18</v>
      </c>
      <c r="C40" s="17" t="s">
        <v>19</v>
      </c>
      <c r="D40" s="15"/>
      <c r="E40" s="17" t="s">
        <v>70</v>
      </c>
      <c r="F40" s="17"/>
      <c r="G40" s="17"/>
      <c r="H40" s="17"/>
      <c r="I40" s="15"/>
      <c r="J40" s="52" t="s">
        <v>88</v>
      </c>
      <c r="K40" s="17"/>
      <c r="L40" s="17" t="s">
        <v>22</v>
      </c>
      <c r="M40" s="17"/>
      <c r="N40" s="17"/>
      <c r="O40" s="17" t="s">
        <v>60</v>
      </c>
    </row>
    <row r="41" spans="1:18" ht="13.8">
      <c r="A41" s="21" t="s">
        <v>78</v>
      </c>
      <c r="B41" s="22"/>
      <c r="C41" s="22"/>
      <c r="D41" s="22"/>
      <c r="E41" s="23" t="s">
        <v>62</v>
      </c>
      <c r="F41" s="23" t="s">
        <v>26</v>
      </c>
      <c r="G41" s="23" t="s">
        <v>71</v>
      </c>
      <c r="H41" s="23" t="s">
        <v>83</v>
      </c>
      <c r="I41" s="23"/>
      <c r="J41" s="23" t="s">
        <v>91</v>
      </c>
      <c r="K41" s="23" t="s">
        <v>81</v>
      </c>
      <c r="L41" s="23" t="s">
        <v>29</v>
      </c>
      <c r="M41" s="25" t="s">
        <v>30</v>
      </c>
      <c r="N41" s="23" t="s">
        <v>63</v>
      </c>
      <c r="O41" s="23" t="s">
        <v>66</v>
      </c>
    </row>
    <row r="42" spans="1:18" ht="14.4">
      <c r="A42" s="15"/>
      <c r="B42" s="175" t="s">
        <v>92</v>
      </c>
      <c r="C42" s="176"/>
      <c r="D42" s="74" t="s">
        <v>93</v>
      </c>
      <c r="E42" s="177" t="s">
        <v>94</v>
      </c>
      <c r="F42" s="174"/>
      <c r="G42" s="174"/>
      <c r="H42" s="174"/>
      <c r="I42" s="174"/>
      <c r="J42" s="174"/>
      <c r="K42" s="174"/>
      <c r="L42" s="174"/>
      <c r="M42" s="174"/>
      <c r="N42" s="174"/>
      <c r="O42" s="176"/>
    </row>
    <row r="43" spans="1:18" ht="13.8">
      <c r="A43" s="15"/>
      <c r="B43" s="1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8" ht="13.8">
      <c r="A44" s="15" t="s">
        <v>37</v>
      </c>
      <c r="B44" s="71">
        <v>1448.5</v>
      </c>
      <c r="C44" s="71">
        <v>1381.4</v>
      </c>
      <c r="D44" s="71">
        <f>F44*1000/C44</f>
        <v>4011.7069639496162</v>
      </c>
      <c r="E44" s="71">
        <v>2360.2570000000001</v>
      </c>
      <c r="F44" s="71">
        <v>5541.7719999999999</v>
      </c>
      <c r="G44" s="135">
        <v>102.91</v>
      </c>
      <c r="H44" s="71">
        <f>SUM(E44:G44)</f>
        <v>8004.9390000000003</v>
      </c>
      <c r="I44" s="71"/>
      <c r="J44" s="71">
        <v>3201</v>
      </c>
      <c r="K44" s="71">
        <v>794.7</v>
      </c>
      <c r="L44" s="135">
        <f>N44-J44-K44-M44</f>
        <v>779.75399999999991</v>
      </c>
      <c r="M44" s="135">
        <v>1197.117</v>
      </c>
      <c r="N44" s="71">
        <f>H44-O44</f>
        <v>5972.5709999999999</v>
      </c>
      <c r="O44" s="71">
        <v>2032.3679999999999</v>
      </c>
      <c r="P44" s="111"/>
      <c r="Q44" s="111"/>
    </row>
    <row r="45" spans="1:18" ht="16.2">
      <c r="A45" s="15" t="s">
        <v>155</v>
      </c>
      <c r="B45" s="71">
        <v>1645</v>
      </c>
      <c r="C45" s="71">
        <v>1574</v>
      </c>
      <c r="D45" s="71">
        <f>F45*1000/C45</f>
        <v>3742.0711562897077</v>
      </c>
      <c r="E45" s="71">
        <f>O44</f>
        <v>2032.3679999999999</v>
      </c>
      <c r="F45" s="71">
        <v>5890.02</v>
      </c>
      <c r="G45" s="135">
        <v>105</v>
      </c>
      <c r="H45" s="71">
        <f>SUM(E45:G45)</f>
        <v>8027.3880000000008</v>
      </c>
      <c r="I45" s="71"/>
      <c r="J45" s="71">
        <v>2990</v>
      </c>
      <c r="K45" s="71">
        <v>660</v>
      </c>
      <c r="L45" s="135">
        <v>1210</v>
      </c>
      <c r="M45" s="135">
        <v>1475</v>
      </c>
      <c r="N45" s="71">
        <f>SUM(J45:M45)</f>
        <v>6335</v>
      </c>
      <c r="O45" s="71">
        <f>H45-N45</f>
        <v>1692.3880000000008</v>
      </c>
      <c r="P45" s="111"/>
      <c r="Q45" s="111"/>
    </row>
    <row r="46" spans="1:18" ht="16.2">
      <c r="A46" s="14" t="s">
        <v>156</v>
      </c>
      <c r="B46" s="166">
        <v>1800</v>
      </c>
      <c r="C46" s="166">
        <v>1744</v>
      </c>
      <c r="D46" s="166">
        <v>3890</v>
      </c>
      <c r="E46" s="166">
        <f>O45</f>
        <v>1692.3880000000008</v>
      </c>
      <c r="F46" s="166">
        <v>6785</v>
      </c>
      <c r="G46" s="169">
        <v>100</v>
      </c>
      <c r="H46" s="166">
        <f>SUM(E46:G46)</f>
        <v>8577.3880000000008</v>
      </c>
      <c r="I46" s="166"/>
      <c r="J46" s="166">
        <v>3190</v>
      </c>
      <c r="K46" s="166">
        <v>875</v>
      </c>
      <c r="L46" s="169">
        <v>1188</v>
      </c>
      <c r="M46" s="169">
        <v>1500</v>
      </c>
      <c r="N46" s="166">
        <f>SUM(J46:M46)</f>
        <v>6753</v>
      </c>
      <c r="O46" s="166">
        <f>H46-N46</f>
        <v>1824.3880000000008</v>
      </c>
      <c r="P46" s="111"/>
      <c r="Q46" s="111"/>
    </row>
    <row r="47" spans="1:18" ht="16.2">
      <c r="A47" s="40" t="s">
        <v>85</v>
      </c>
      <c r="B47" s="15"/>
      <c r="C47" s="70"/>
      <c r="D47" s="70"/>
      <c r="E47" s="70"/>
      <c r="F47" s="70"/>
      <c r="G47" s="70"/>
      <c r="H47" s="70"/>
      <c r="I47" s="15"/>
      <c r="J47" s="15"/>
      <c r="K47" s="15"/>
      <c r="L47" s="15"/>
      <c r="M47" s="15"/>
      <c r="N47" s="15"/>
      <c r="O47" s="15"/>
    </row>
    <row r="48" spans="1:18" ht="14.4">
      <c r="A48" s="15" t="s">
        <v>95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4.4">
      <c r="A49" s="15" t="s">
        <v>87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3.8">
      <c r="A50" s="20" t="s">
        <v>57</v>
      </c>
      <c r="B50" s="75">
        <f>Contents!A16</f>
        <v>45518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44.4" customHeight="1">
      <c r="A51" s="76"/>
      <c r="B51" s="77"/>
      <c r="C51" s="77"/>
      <c r="D51" s="77"/>
      <c r="E51" s="77"/>
      <c r="F51" s="77"/>
      <c r="G51" s="77"/>
      <c r="H51" s="77"/>
      <c r="I51" s="77"/>
      <c r="J51" s="90"/>
      <c r="K51" s="77"/>
      <c r="L51" s="77"/>
      <c r="M51" s="77"/>
      <c r="N51" s="77"/>
      <c r="O51" s="77"/>
    </row>
    <row r="52" spans="1:15" ht="15.6">
      <c r="G52" s="60"/>
      <c r="H52" s="60"/>
    </row>
    <row r="53" spans="1:15" ht="15.6">
      <c r="G53" s="60"/>
      <c r="H53" s="60"/>
    </row>
    <row r="54" spans="1:15" ht="15.6">
      <c r="G54" s="60"/>
      <c r="H54" s="60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49" type="noConversion"/>
  <pageMargins left="0.75" right="0.75" top="1" bottom="1" header="0.5" footer="0.5"/>
  <pageSetup scale="53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J49"/>
  <sheetViews>
    <sheetView showGridLines="0" zoomScale="70" zoomScaleNormal="70" workbookViewId="0">
      <pane xSplit="1" ySplit="4" topLeftCell="B5" activePane="bottomRight" state="frozen"/>
      <selection activeCell="F62" sqref="F62"/>
      <selection pane="topRight" activeCell="F62" sqref="F62"/>
      <selection pane="bottomLeft" activeCell="F62" sqref="F62"/>
      <selection pane="bottomRight" activeCell="D20" sqref="D20"/>
    </sheetView>
  </sheetViews>
  <sheetFormatPr defaultColWidth="9.109375" defaultRowHeight="13.2"/>
  <cols>
    <col min="1" max="1" width="11.5546875" customWidth="1"/>
    <col min="2" max="2" width="18.88671875" bestFit="1" customWidth="1"/>
    <col min="3" max="3" width="22.109375" bestFit="1" customWidth="1"/>
    <col min="4" max="4" width="23.88671875" customWidth="1"/>
    <col min="5" max="5" width="25.44140625" customWidth="1"/>
    <col min="6" max="6" width="16.5546875" bestFit="1" customWidth="1"/>
    <col min="7" max="7" width="18.88671875" bestFit="1" customWidth="1"/>
  </cols>
  <sheetData>
    <row r="1" spans="1:10" ht="15.6" customHeight="1">
      <c r="A1" s="14" t="s">
        <v>8</v>
      </c>
      <c r="B1" s="14"/>
      <c r="C1" s="14"/>
      <c r="D1" s="14"/>
      <c r="E1" s="14"/>
      <c r="F1" s="14"/>
      <c r="G1" s="14"/>
    </row>
    <row r="2" spans="1:10" ht="15.6" customHeight="1">
      <c r="A2" s="15" t="s">
        <v>96</v>
      </c>
      <c r="B2" s="17" t="s">
        <v>97</v>
      </c>
      <c r="C2" s="17" t="s">
        <v>98</v>
      </c>
      <c r="D2" s="17" t="s">
        <v>99</v>
      </c>
      <c r="E2" s="17" t="s">
        <v>100</v>
      </c>
      <c r="F2" s="17" t="s">
        <v>101</v>
      </c>
      <c r="G2" s="17" t="s">
        <v>102</v>
      </c>
    </row>
    <row r="3" spans="1:10" ht="15.6" customHeight="1">
      <c r="A3" s="14" t="s">
        <v>103</v>
      </c>
      <c r="B3" s="24"/>
      <c r="C3" s="44"/>
      <c r="D3" s="44"/>
      <c r="E3" s="44"/>
      <c r="F3" s="44"/>
      <c r="G3" s="44"/>
    </row>
    <row r="4" spans="1:10" ht="14.4">
      <c r="A4" s="45"/>
      <c r="B4" s="46" t="s">
        <v>104</v>
      </c>
      <c r="C4" s="46" t="s">
        <v>105</v>
      </c>
      <c r="D4" s="46" t="s">
        <v>106</v>
      </c>
      <c r="E4" s="46" t="s">
        <v>106</v>
      </c>
      <c r="F4" s="46" t="s">
        <v>107</v>
      </c>
      <c r="G4" s="46" t="s">
        <v>104</v>
      </c>
    </row>
    <row r="5" spans="1:10" ht="13.8">
      <c r="A5" s="15"/>
      <c r="B5" s="15"/>
      <c r="C5" s="15"/>
      <c r="D5" s="17"/>
      <c r="E5" s="15"/>
      <c r="F5" s="15"/>
      <c r="G5" s="15"/>
    </row>
    <row r="6" spans="1:10" ht="13.8">
      <c r="A6" s="15" t="s">
        <v>108</v>
      </c>
      <c r="B6" s="47">
        <v>11.3</v>
      </c>
      <c r="C6" s="47">
        <v>161</v>
      </c>
      <c r="D6" s="47">
        <v>23.3</v>
      </c>
      <c r="E6" s="47">
        <v>19.3</v>
      </c>
      <c r="F6" s="47">
        <v>22.5</v>
      </c>
      <c r="G6" s="47">
        <v>12.2</v>
      </c>
      <c r="J6" s="61"/>
    </row>
    <row r="7" spans="1:10" ht="13.8">
      <c r="A7" s="15" t="s">
        <v>109</v>
      </c>
      <c r="B7" s="47">
        <v>12.5</v>
      </c>
      <c r="C7" s="47">
        <v>260</v>
      </c>
      <c r="D7" s="47">
        <v>29.1</v>
      </c>
      <c r="E7" s="47">
        <v>24</v>
      </c>
      <c r="F7" s="47">
        <v>31.8</v>
      </c>
      <c r="G7" s="47">
        <v>13.9</v>
      </c>
      <c r="J7" s="61"/>
    </row>
    <row r="8" spans="1:10" ht="13.8">
      <c r="A8" s="15" t="s">
        <v>110</v>
      </c>
      <c r="B8" s="47">
        <v>14.4</v>
      </c>
      <c r="C8" s="47">
        <v>252</v>
      </c>
      <c r="D8" s="47">
        <v>25.4</v>
      </c>
      <c r="E8" s="47">
        <v>26.5</v>
      </c>
      <c r="F8" s="47">
        <v>30.1</v>
      </c>
      <c r="G8" s="47">
        <v>13.8</v>
      </c>
      <c r="J8" s="61"/>
    </row>
    <row r="9" spans="1:10" ht="13.8">
      <c r="A9" s="15" t="s">
        <v>111</v>
      </c>
      <c r="B9" s="47">
        <v>13</v>
      </c>
      <c r="C9" s="47">
        <v>246</v>
      </c>
      <c r="D9" s="47">
        <v>21.4</v>
      </c>
      <c r="E9" s="47">
        <v>20.6</v>
      </c>
      <c r="F9" s="47">
        <v>24.9</v>
      </c>
      <c r="G9" s="47">
        <v>13.8</v>
      </c>
      <c r="J9" s="61"/>
    </row>
    <row r="10" spans="1:10" ht="13.8">
      <c r="A10" s="15" t="s">
        <v>112</v>
      </c>
      <c r="B10" s="47">
        <v>10.1</v>
      </c>
      <c r="C10" s="47">
        <v>194</v>
      </c>
      <c r="D10" s="47">
        <v>21.7</v>
      </c>
      <c r="E10" s="47">
        <v>16.899999999999999</v>
      </c>
      <c r="F10" s="47">
        <v>22</v>
      </c>
      <c r="G10" s="47">
        <v>11.8</v>
      </c>
      <c r="J10" s="61"/>
    </row>
    <row r="11" spans="1:10" ht="13.8">
      <c r="A11" s="15" t="s">
        <v>113</v>
      </c>
      <c r="B11" s="47">
        <v>8.9499999999999993</v>
      </c>
      <c r="C11" s="47">
        <v>227</v>
      </c>
      <c r="D11" s="47">
        <v>19.600000000000001</v>
      </c>
      <c r="E11" s="47">
        <v>15.6</v>
      </c>
      <c r="F11" s="47">
        <v>19.3</v>
      </c>
      <c r="G11" s="47">
        <v>8.9499999999999993</v>
      </c>
      <c r="J11" s="61"/>
    </row>
    <row r="12" spans="1:10" ht="13.8">
      <c r="A12" s="15" t="s">
        <v>114</v>
      </c>
      <c r="B12" s="47">
        <v>9.4700000000000006</v>
      </c>
      <c r="C12" s="47">
        <v>195</v>
      </c>
      <c r="D12" s="47">
        <v>17.399999999999999</v>
      </c>
      <c r="E12" s="47">
        <v>16.600000000000001</v>
      </c>
      <c r="F12" s="47">
        <v>19.7</v>
      </c>
      <c r="G12" s="47">
        <v>8</v>
      </c>
      <c r="J12" s="61"/>
    </row>
    <row r="13" spans="1:10" ht="13.8">
      <c r="A13" s="15" t="s">
        <v>115</v>
      </c>
      <c r="B13" s="47">
        <v>9.33</v>
      </c>
      <c r="C13" s="47">
        <v>142</v>
      </c>
      <c r="D13" s="47">
        <v>17.2</v>
      </c>
      <c r="E13" s="47">
        <v>17.5</v>
      </c>
      <c r="F13" s="47">
        <v>22.9</v>
      </c>
      <c r="G13" s="47">
        <v>9.5299999999999994</v>
      </c>
      <c r="J13" s="61"/>
    </row>
    <row r="14" spans="1:10" ht="13.8">
      <c r="A14" s="15" t="s">
        <v>116</v>
      </c>
      <c r="B14" s="47">
        <v>8.48</v>
      </c>
      <c r="C14" s="47">
        <v>155</v>
      </c>
      <c r="D14" s="47">
        <v>17.399999999999999</v>
      </c>
      <c r="E14" s="47">
        <v>15.8</v>
      </c>
      <c r="F14" s="47">
        <v>21.5</v>
      </c>
      <c r="G14" s="47">
        <v>9.89</v>
      </c>
      <c r="J14" s="61"/>
    </row>
    <row r="15" spans="1:10" ht="13.8">
      <c r="A15" s="15" t="s">
        <v>117</v>
      </c>
      <c r="B15" s="47">
        <v>8.57</v>
      </c>
      <c r="C15" s="47">
        <v>161</v>
      </c>
      <c r="D15" s="47">
        <v>19.5</v>
      </c>
      <c r="E15" s="47">
        <v>14.8</v>
      </c>
      <c r="F15" s="47">
        <v>20.5</v>
      </c>
      <c r="G15" s="47">
        <v>9.15</v>
      </c>
      <c r="J15" s="61"/>
    </row>
    <row r="16" spans="1:10" ht="13.8">
      <c r="A16" s="15" t="s">
        <v>118</v>
      </c>
      <c r="B16" s="47">
        <v>10.8</v>
      </c>
      <c r="C16" s="47">
        <v>194</v>
      </c>
      <c r="D16" s="47">
        <v>21.3</v>
      </c>
      <c r="E16" s="47">
        <v>18.400000000000002</v>
      </c>
      <c r="F16" s="47">
        <v>21</v>
      </c>
      <c r="G16" s="47">
        <v>11.1</v>
      </c>
      <c r="J16" s="61"/>
    </row>
    <row r="17" spans="1:10" ht="13.8">
      <c r="A17" s="15" t="s">
        <v>34</v>
      </c>
      <c r="B17" s="47">
        <v>13.3</v>
      </c>
      <c r="C17" s="47">
        <v>243</v>
      </c>
      <c r="D17" s="92">
        <v>32.9</v>
      </c>
      <c r="E17" s="47">
        <v>32.9</v>
      </c>
      <c r="F17" s="47">
        <v>24.3</v>
      </c>
      <c r="G17" s="47">
        <v>25.9</v>
      </c>
      <c r="J17" s="61"/>
    </row>
    <row r="18" spans="1:10" ht="13.8">
      <c r="A18" s="15" t="s">
        <v>37</v>
      </c>
      <c r="B18" s="47">
        <v>14.2</v>
      </c>
      <c r="C18" s="92">
        <v>306</v>
      </c>
      <c r="D18" s="47">
        <v>27.8</v>
      </c>
      <c r="E18" s="47">
        <v>29.8</v>
      </c>
      <c r="F18" s="47">
        <v>26.8</v>
      </c>
      <c r="G18" s="92">
        <v>17.5</v>
      </c>
      <c r="H18" s="103"/>
      <c r="J18" s="61"/>
    </row>
    <row r="19" spans="1:10" ht="16.2">
      <c r="A19" s="15" t="s">
        <v>119</v>
      </c>
      <c r="B19" s="47">
        <v>12.5</v>
      </c>
      <c r="C19" s="47">
        <v>211</v>
      </c>
      <c r="D19" s="92">
        <v>20.149999999999999</v>
      </c>
      <c r="E19" s="47">
        <v>24.3</v>
      </c>
      <c r="F19" s="47">
        <v>27</v>
      </c>
      <c r="G19" s="92">
        <v>12.1</v>
      </c>
      <c r="H19" s="103"/>
      <c r="J19" s="61"/>
    </row>
    <row r="20" spans="1:10" ht="16.2">
      <c r="A20" s="15" t="s">
        <v>154</v>
      </c>
      <c r="B20" s="47">
        <v>10.8</v>
      </c>
      <c r="C20" s="47">
        <v>205</v>
      </c>
      <c r="D20" s="92">
        <v>21.150000000000002</v>
      </c>
      <c r="E20" s="47">
        <v>21</v>
      </c>
      <c r="F20" s="47">
        <v>25.5</v>
      </c>
      <c r="G20" s="92">
        <v>13.75</v>
      </c>
      <c r="H20" s="103"/>
      <c r="J20" s="61"/>
    </row>
    <row r="21" spans="1:10" ht="13.8">
      <c r="A21" s="15"/>
      <c r="B21" s="139"/>
      <c r="C21" s="48"/>
      <c r="D21" s="49"/>
      <c r="E21" s="49"/>
      <c r="F21" s="48"/>
      <c r="G21" s="50"/>
      <c r="H21" s="41"/>
      <c r="J21" s="61"/>
    </row>
    <row r="22" spans="1:10" ht="13.8">
      <c r="A22" s="51" t="s">
        <v>37</v>
      </c>
      <c r="B22" s="47"/>
      <c r="C22" s="47"/>
      <c r="D22" s="47"/>
      <c r="E22" s="47"/>
      <c r="F22" s="47"/>
      <c r="G22" s="47"/>
    </row>
    <row r="23" spans="1:10" ht="13.8">
      <c r="A23" s="15" t="s">
        <v>38</v>
      </c>
      <c r="B23" s="92">
        <v>14.2</v>
      </c>
      <c r="C23" s="47">
        <v>316</v>
      </c>
      <c r="D23" s="47">
        <v>32.9</v>
      </c>
      <c r="E23" s="47">
        <v>28.1</v>
      </c>
      <c r="F23" s="47">
        <v>25.6</v>
      </c>
      <c r="G23" s="47">
        <v>18.899999999999999</v>
      </c>
    </row>
    <row r="24" spans="1:10" ht="13.8">
      <c r="A24" s="15" t="s">
        <v>39</v>
      </c>
      <c r="B24" s="47">
        <v>13.5</v>
      </c>
      <c r="C24" s="47">
        <v>340</v>
      </c>
      <c r="D24" s="47">
        <v>29.3</v>
      </c>
      <c r="E24" s="47">
        <v>28.1</v>
      </c>
      <c r="F24" s="47">
        <v>26.400000000000002</v>
      </c>
      <c r="G24" s="47">
        <v>18.600000000000001</v>
      </c>
    </row>
    <row r="25" spans="1:10" ht="13.8">
      <c r="A25" s="15" t="s">
        <v>40</v>
      </c>
      <c r="B25" s="47">
        <v>14</v>
      </c>
      <c r="C25" s="47">
        <v>281</v>
      </c>
      <c r="D25" s="47">
        <v>28.4</v>
      </c>
      <c r="E25" s="47">
        <v>29.2</v>
      </c>
      <c r="F25" s="47">
        <v>28.799999999999997</v>
      </c>
      <c r="G25" s="47">
        <v>19.5</v>
      </c>
    </row>
    <row r="26" spans="1:10" ht="13.8">
      <c r="A26" s="15" t="s">
        <v>42</v>
      </c>
      <c r="B26" s="47">
        <v>14.4</v>
      </c>
      <c r="C26" s="47">
        <v>315</v>
      </c>
      <c r="D26" s="47">
        <v>29.5</v>
      </c>
      <c r="E26" s="47">
        <v>29.2</v>
      </c>
      <c r="F26" s="47">
        <v>24.5</v>
      </c>
      <c r="G26" s="47">
        <v>18.3</v>
      </c>
    </row>
    <row r="27" spans="1:10" ht="13.8">
      <c r="A27" s="15" t="s">
        <v>43</v>
      </c>
      <c r="B27" s="47">
        <v>14.5</v>
      </c>
      <c r="C27" s="47">
        <v>273</v>
      </c>
      <c r="D27" s="47">
        <v>29</v>
      </c>
      <c r="E27" s="47">
        <v>30.1</v>
      </c>
      <c r="F27" s="47">
        <v>27.700000000000003</v>
      </c>
      <c r="G27" s="47">
        <v>17.7</v>
      </c>
    </row>
    <row r="28" spans="1:10" ht="13.8">
      <c r="A28" s="15" t="s">
        <v>44</v>
      </c>
      <c r="B28" s="47">
        <v>15.1</v>
      </c>
      <c r="C28" s="47">
        <v>223</v>
      </c>
      <c r="D28" s="47">
        <v>29.9</v>
      </c>
      <c r="E28" s="47">
        <v>31.7</v>
      </c>
      <c r="F28" s="47">
        <v>27</v>
      </c>
      <c r="G28" s="47">
        <v>15.4</v>
      </c>
    </row>
    <row r="29" spans="1:10" ht="13.8">
      <c r="A29" s="15" t="s">
        <v>46</v>
      </c>
      <c r="B29" s="47">
        <v>14.9</v>
      </c>
      <c r="C29" s="47" t="s">
        <v>76</v>
      </c>
      <c r="D29" s="47">
        <v>27.5</v>
      </c>
      <c r="E29" s="47">
        <v>29.8</v>
      </c>
      <c r="F29" s="47">
        <v>26.700000000000003</v>
      </c>
      <c r="G29" s="47">
        <v>14.8</v>
      </c>
    </row>
    <row r="30" spans="1:10" ht="13.8">
      <c r="A30" s="15" t="s">
        <v>47</v>
      </c>
      <c r="B30" s="47">
        <v>14.9</v>
      </c>
      <c r="C30" s="47" t="s">
        <v>76</v>
      </c>
      <c r="D30" s="47">
        <v>26.9</v>
      </c>
      <c r="E30" s="47">
        <v>26.8</v>
      </c>
      <c r="F30" s="47">
        <v>27.200000000000003</v>
      </c>
      <c r="G30" s="47">
        <v>12.1</v>
      </c>
    </row>
    <row r="31" spans="1:10" ht="13.8">
      <c r="A31" s="15" t="s">
        <v>48</v>
      </c>
      <c r="B31" s="47">
        <v>14.4</v>
      </c>
      <c r="C31" s="47" t="s">
        <v>76</v>
      </c>
      <c r="D31" s="47">
        <v>24.9</v>
      </c>
      <c r="E31" s="47">
        <v>25.2</v>
      </c>
      <c r="F31" s="47">
        <v>27.700000000000003</v>
      </c>
      <c r="G31" s="47">
        <v>12.5</v>
      </c>
    </row>
    <row r="32" spans="1:10" ht="13.8">
      <c r="A32" s="15" t="s">
        <v>50</v>
      </c>
      <c r="B32" s="47">
        <v>14.2</v>
      </c>
      <c r="C32" s="47" t="s">
        <v>76</v>
      </c>
      <c r="D32" s="47">
        <v>23.6</v>
      </c>
      <c r="E32" s="47">
        <v>27.3</v>
      </c>
      <c r="F32" s="47">
        <v>27.900000000000002</v>
      </c>
      <c r="G32" s="47">
        <v>13.1</v>
      </c>
    </row>
    <row r="33" spans="1:7" ht="13.8">
      <c r="A33" s="15" t="s">
        <v>51</v>
      </c>
      <c r="B33" s="47">
        <v>14.7</v>
      </c>
      <c r="C33" s="47" t="s">
        <v>76</v>
      </c>
      <c r="D33" s="47">
        <v>25</v>
      </c>
      <c r="E33" s="159">
        <v>27.2</v>
      </c>
      <c r="F33" s="47">
        <v>27.700000000000003</v>
      </c>
      <c r="G33" s="159">
        <v>11</v>
      </c>
    </row>
    <row r="34" spans="1:7" ht="13.8">
      <c r="A34" s="15" t="s">
        <v>52</v>
      </c>
      <c r="B34" s="47">
        <v>14.1</v>
      </c>
      <c r="C34" s="47">
        <v>219</v>
      </c>
      <c r="D34" s="47">
        <v>23.6</v>
      </c>
      <c r="E34" s="159">
        <v>28.1</v>
      </c>
      <c r="F34" s="47">
        <v>27.1</v>
      </c>
      <c r="G34" s="159">
        <v>11.4</v>
      </c>
    </row>
    <row r="35" spans="1:7" ht="13.8">
      <c r="A35" s="15"/>
      <c r="B35" s="47"/>
      <c r="C35" s="47"/>
      <c r="D35" s="47"/>
      <c r="E35" s="159"/>
      <c r="F35" s="47"/>
      <c r="G35" s="159"/>
    </row>
    <row r="36" spans="1:7" ht="13.8">
      <c r="A36" s="51" t="s">
        <v>54</v>
      </c>
      <c r="B36" s="47"/>
      <c r="C36" s="47"/>
      <c r="D36" s="47"/>
      <c r="E36" s="159"/>
      <c r="F36" s="47"/>
      <c r="G36" s="159"/>
    </row>
    <row r="37" spans="1:7" ht="13.8">
      <c r="A37" s="15" t="s">
        <v>38</v>
      </c>
      <c r="B37" s="47">
        <v>13.2</v>
      </c>
      <c r="C37" s="47">
        <v>242</v>
      </c>
      <c r="D37" s="47">
        <v>24</v>
      </c>
      <c r="E37" s="159">
        <v>25</v>
      </c>
      <c r="F37" s="47">
        <v>26.7</v>
      </c>
      <c r="G37" s="159">
        <v>12</v>
      </c>
    </row>
    <row r="38" spans="1:7" ht="13.8">
      <c r="A38" s="15" t="s">
        <v>39</v>
      </c>
      <c r="B38" s="47">
        <v>12.7</v>
      </c>
      <c r="C38" s="47">
        <v>233</v>
      </c>
      <c r="D38" s="47">
        <v>20.100000000000001</v>
      </c>
      <c r="E38" s="159">
        <v>23.7</v>
      </c>
      <c r="F38" s="47">
        <v>26.7</v>
      </c>
      <c r="G38" s="159">
        <v>13</v>
      </c>
    </row>
    <row r="39" spans="1:7" ht="13.8">
      <c r="A39" s="15" t="s">
        <v>40</v>
      </c>
      <c r="B39" s="47">
        <v>13</v>
      </c>
      <c r="C39" s="47">
        <v>226</v>
      </c>
      <c r="D39" s="47">
        <v>22.6</v>
      </c>
      <c r="E39" s="159">
        <v>25.6</v>
      </c>
      <c r="F39" s="47">
        <v>29.5</v>
      </c>
      <c r="G39" s="159">
        <v>12.2</v>
      </c>
    </row>
    <row r="40" spans="1:7" ht="13.8">
      <c r="A40" s="15" t="s">
        <v>42</v>
      </c>
      <c r="B40" s="47">
        <v>13.1</v>
      </c>
      <c r="C40" s="47">
        <v>209</v>
      </c>
      <c r="D40" s="47">
        <v>24.2</v>
      </c>
      <c r="E40" s="159">
        <v>23.9</v>
      </c>
      <c r="F40" s="47">
        <v>24.3</v>
      </c>
      <c r="G40" s="159">
        <v>13.4</v>
      </c>
    </row>
    <row r="41" spans="1:7" ht="13.8">
      <c r="A41" s="15" t="s">
        <v>43</v>
      </c>
      <c r="B41" s="47">
        <v>12.8</v>
      </c>
      <c r="C41" s="47">
        <v>174</v>
      </c>
      <c r="D41" s="47">
        <v>21.3</v>
      </c>
      <c r="E41" s="159">
        <v>24.4</v>
      </c>
      <c r="F41" s="47">
        <v>27.1</v>
      </c>
      <c r="G41" s="159">
        <v>12.1</v>
      </c>
    </row>
    <row r="42" spans="1:7" ht="13.8">
      <c r="A42" s="15" t="s">
        <v>44</v>
      </c>
      <c r="B42" s="47">
        <v>11.9</v>
      </c>
      <c r="C42" s="47">
        <v>177</v>
      </c>
      <c r="D42" s="47">
        <v>22.4</v>
      </c>
      <c r="E42" s="159">
        <v>22.8</v>
      </c>
      <c r="F42" s="47">
        <v>26.4</v>
      </c>
      <c r="G42" s="159">
        <v>12.3</v>
      </c>
    </row>
    <row r="43" spans="1:7" ht="13.8">
      <c r="A43" s="15" t="s">
        <v>46</v>
      </c>
      <c r="B43" s="47">
        <v>11.8</v>
      </c>
      <c r="C43" s="47" t="s">
        <v>76</v>
      </c>
      <c r="D43" s="47">
        <v>22.5</v>
      </c>
      <c r="E43" s="159">
        <v>21.6</v>
      </c>
      <c r="F43" s="47">
        <v>27</v>
      </c>
      <c r="G43" s="159">
        <v>11.5</v>
      </c>
    </row>
    <row r="44" spans="1:7" ht="13.8">
      <c r="A44" s="15" t="s">
        <v>47</v>
      </c>
      <c r="B44" s="47">
        <v>11.8</v>
      </c>
      <c r="C44" s="47" t="s">
        <v>76</v>
      </c>
      <c r="D44" s="47">
        <v>20</v>
      </c>
      <c r="E44" s="159">
        <v>21.9</v>
      </c>
      <c r="F44" s="47">
        <v>27.2</v>
      </c>
      <c r="G44" s="159">
        <v>12.1</v>
      </c>
    </row>
    <row r="45" spans="1:7" ht="13.8">
      <c r="A45" s="15" t="s">
        <v>48</v>
      </c>
      <c r="B45" s="47">
        <v>11.9</v>
      </c>
      <c r="C45" s="47" t="s">
        <v>76</v>
      </c>
      <c r="D45" s="47">
        <v>22.9</v>
      </c>
      <c r="E45" s="159">
        <v>25.1</v>
      </c>
      <c r="F45" s="47">
        <v>26.7</v>
      </c>
      <c r="G45" s="159">
        <v>12.2</v>
      </c>
    </row>
    <row r="46" spans="1:7" s="161" customFormat="1" ht="13.8">
      <c r="A46" s="160" t="s">
        <v>50</v>
      </c>
      <c r="B46" s="159">
        <v>11.8</v>
      </c>
      <c r="C46" s="159" t="s">
        <v>76</v>
      </c>
      <c r="D46" s="159">
        <v>17</v>
      </c>
      <c r="E46" s="159">
        <v>20.6</v>
      </c>
      <c r="F46" s="159">
        <v>26.2</v>
      </c>
      <c r="G46" s="159">
        <v>12</v>
      </c>
    </row>
    <row r="47" spans="1:7" ht="16.2">
      <c r="A47" s="69" t="s">
        <v>120</v>
      </c>
      <c r="B47" s="69"/>
      <c r="C47" s="69"/>
      <c r="D47" s="69"/>
      <c r="E47" s="69"/>
      <c r="F47" s="69"/>
      <c r="G47" s="69"/>
    </row>
    <row r="48" spans="1:7" ht="14.4">
      <c r="A48" s="15" t="s">
        <v>121</v>
      </c>
      <c r="B48" s="15"/>
      <c r="C48" s="15"/>
      <c r="D48" s="15"/>
      <c r="E48" s="15"/>
      <c r="F48" s="15"/>
      <c r="G48" s="15"/>
    </row>
    <row r="49" spans="1:7" ht="13.8">
      <c r="A49" s="20" t="s">
        <v>57</v>
      </c>
      <c r="B49" s="36">
        <f>Contents!A16</f>
        <v>45518</v>
      </c>
      <c r="C49" s="15"/>
      <c r="D49" s="15"/>
      <c r="E49" s="15"/>
      <c r="F49" s="15"/>
      <c r="G49" s="15"/>
    </row>
  </sheetData>
  <phoneticPr fontId="49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M70"/>
  <sheetViews>
    <sheetView showGridLines="0" zoomScale="70" zoomScaleNormal="70" workbookViewId="0">
      <pane xSplit="1" ySplit="4" topLeftCell="B5" activePane="bottomRight" state="frozen"/>
      <selection activeCell="D37" sqref="D37:D44"/>
      <selection pane="topRight" activeCell="D37" sqref="D37:D44"/>
      <selection pane="bottomLeft" activeCell="D37" sqref="D37:D44"/>
      <selection pane="bottomRight"/>
    </sheetView>
  </sheetViews>
  <sheetFormatPr defaultColWidth="9.109375" defaultRowHeight="13.2"/>
  <cols>
    <col min="1" max="3" width="11.5546875" customWidth="1"/>
    <col min="4" max="4" width="13.5546875" customWidth="1"/>
    <col min="5" max="5" width="11.5546875" customWidth="1"/>
    <col min="6" max="6" width="11.5546875" bestFit="1" customWidth="1"/>
    <col min="7" max="7" width="13.33203125" customWidth="1"/>
    <col min="8" max="8" width="12" customWidth="1"/>
    <col min="9" max="9" width="13.44140625" customWidth="1"/>
  </cols>
  <sheetData>
    <row r="1" spans="1:13" ht="13.8">
      <c r="A1" s="14" t="s">
        <v>9</v>
      </c>
      <c r="B1" s="14"/>
      <c r="C1" s="14"/>
      <c r="D1" s="14"/>
      <c r="E1" s="14"/>
      <c r="F1" s="14"/>
      <c r="G1" s="14"/>
      <c r="H1" s="14"/>
      <c r="I1" s="15"/>
    </row>
    <row r="2" spans="1:13" ht="15.6" customHeight="1">
      <c r="A2" s="52" t="s">
        <v>96</v>
      </c>
      <c r="B2" s="17" t="s">
        <v>122</v>
      </c>
      <c r="C2" s="17" t="s">
        <v>123</v>
      </c>
      <c r="D2" s="17" t="s">
        <v>124</v>
      </c>
      <c r="E2" s="53" t="s">
        <v>125</v>
      </c>
      <c r="F2" s="53" t="s">
        <v>126</v>
      </c>
      <c r="G2" s="17" t="s">
        <v>127</v>
      </c>
      <c r="H2" s="17" t="s">
        <v>128</v>
      </c>
      <c r="I2" s="54" t="s">
        <v>129</v>
      </c>
      <c r="K2" s="17"/>
      <c r="L2" s="17"/>
    </row>
    <row r="3" spans="1:13" ht="15.6" customHeight="1">
      <c r="A3" s="55" t="s">
        <v>103</v>
      </c>
      <c r="B3" s="23" t="s">
        <v>130</v>
      </c>
      <c r="C3" s="23" t="s">
        <v>131</v>
      </c>
      <c r="D3" s="23" t="s">
        <v>132</v>
      </c>
      <c r="E3" s="23" t="s">
        <v>132</v>
      </c>
      <c r="F3" s="23" t="s">
        <v>133</v>
      </c>
      <c r="G3" s="23" t="s">
        <v>134</v>
      </c>
      <c r="H3" s="23"/>
      <c r="I3" s="23" t="s">
        <v>135</v>
      </c>
    </row>
    <row r="4" spans="1:13" ht="14.4">
      <c r="A4" s="56" t="s">
        <v>136</v>
      </c>
      <c r="C4" s="57"/>
      <c r="D4" s="57"/>
      <c r="E4" s="57"/>
      <c r="F4" s="57"/>
      <c r="G4" s="57"/>
      <c r="H4" s="57"/>
      <c r="I4" s="57"/>
    </row>
    <row r="5" spans="1:13" ht="13.8">
      <c r="A5" s="15"/>
      <c r="B5" s="15"/>
      <c r="C5" s="15"/>
      <c r="D5" s="15"/>
      <c r="E5" s="15"/>
      <c r="F5" s="15"/>
      <c r="G5" s="15"/>
      <c r="H5" s="15"/>
      <c r="I5" s="15"/>
      <c r="K5" s="61"/>
    </row>
    <row r="6" spans="1:13" ht="13.8">
      <c r="A6" s="15" t="s">
        <v>108</v>
      </c>
      <c r="B6" s="47">
        <v>53.2</v>
      </c>
      <c r="C6" s="47">
        <v>54.5</v>
      </c>
      <c r="D6" s="47">
        <v>86.12</v>
      </c>
      <c r="E6" s="47">
        <v>58.68</v>
      </c>
      <c r="F6" s="47">
        <v>77.239999999999995</v>
      </c>
      <c r="G6" s="47">
        <v>60.76</v>
      </c>
      <c r="H6" s="47">
        <v>51.52</v>
      </c>
      <c r="I6" s="47">
        <v>51.34</v>
      </c>
      <c r="K6" s="61"/>
      <c r="L6" s="61"/>
      <c r="M6" s="61"/>
    </row>
    <row r="7" spans="1:13" ht="13.8">
      <c r="A7" s="15" t="s">
        <v>109</v>
      </c>
      <c r="B7" s="47">
        <v>51.9</v>
      </c>
      <c r="C7" s="47">
        <v>53.22</v>
      </c>
      <c r="D7" s="47">
        <v>83.2</v>
      </c>
      <c r="E7" s="47">
        <v>57.19</v>
      </c>
      <c r="F7" s="47">
        <v>100.15</v>
      </c>
      <c r="G7" s="47">
        <v>56.09</v>
      </c>
      <c r="H7" s="47">
        <v>48.11</v>
      </c>
      <c r="I7" s="47">
        <v>50.33</v>
      </c>
      <c r="K7" s="61"/>
      <c r="L7" s="61"/>
      <c r="M7" s="61"/>
    </row>
    <row r="8" spans="1:13" ht="13.8">
      <c r="A8" s="15" t="s">
        <v>110</v>
      </c>
      <c r="B8" s="47">
        <v>47.13</v>
      </c>
      <c r="C8" s="47">
        <v>48.6</v>
      </c>
      <c r="D8" s="47">
        <v>65.87</v>
      </c>
      <c r="E8" s="47">
        <v>56.17</v>
      </c>
      <c r="F8" s="47">
        <v>91.83</v>
      </c>
      <c r="G8" s="47">
        <v>46.66</v>
      </c>
      <c r="H8" s="47">
        <v>51.8</v>
      </c>
      <c r="I8" s="47">
        <v>43.24</v>
      </c>
      <c r="K8" s="61"/>
      <c r="L8" s="61"/>
      <c r="M8" s="61"/>
    </row>
    <row r="9" spans="1:13" ht="13.8">
      <c r="A9" s="15" t="s">
        <v>111</v>
      </c>
      <c r="B9" s="47">
        <v>38.229999999999997</v>
      </c>
      <c r="C9" s="47">
        <v>60.66</v>
      </c>
      <c r="D9" s="47">
        <v>59.12</v>
      </c>
      <c r="E9" s="47">
        <v>43.7</v>
      </c>
      <c r="F9" s="47">
        <v>68.23</v>
      </c>
      <c r="G9" s="47">
        <v>39.43</v>
      </c>
      <c r="H9" s="47">
        <v>43.93</v>
      </c>
      <c r="I9" s="47">
        <v>39.76</v>
      </c>
      <c r="K9" s="61"/>
      <c r="L9" s="61"/>
      <c r="M9" s="61"/>
    </row>
    <row r="10" spans="1:13" ht="13.8">
      <c r="A10" s="15" t="s">
        <v>112</v>
      </c>
      <c r="B10" s="47">
        <v>31.6</v>
      </c>
      <c r="C10" s="47">
        <v>45.74</v>
      </c>
      <c r="D10" s="47">
        <v>66.72</v>
      </c>
      <c r="E10" s="47">
        <v>37.81</v>
      </c>
      <c r="F10" s="47">
        <v>57.96</v>
      </c>
      <c r="G10" s="47">
        <v>37.479999999999997</v>
      </c>
      <c r="H10" s="47">
        <v>33.43</v>
      </c>
      <c r="I10" s="47">
        <v>31.36</v>
      </c>
      <c r="K10" s="61"/>
      <c r="L10" s="61"/>
      <c r="M10" s="61"/>
    </row>
    <row r="11" spans="1:13" ht="13.8">
      <c r="A11" s="15" t="s">
        <v>113</v>
      </c>
      <c r="B11" s="47">
        <v>29.86</v>
      </c>
      <c r="C11" s="47">
        <v>45.87</v>
      </c>
      <c r="D11" s="47">
        <v>57.81</v>
      </c>
      <c r="E11" s="47">
        <v>35.270000000000003</v>
      </c>
      <c r="F11" s="47">
        <v>58.26</v>
      </c>
      <c r="G11" s="47">
        <v>39.25</v>
      </c>
      <c r="H11" s="47">
        <v>32.229999999999997</v>
      </c>
      <c r="I11" s="47">
        <v>30.07</v>
      </c>
      <c r="K11" s="61"/>
      <c r="L11" s="61"/>
      <c r="M11" s="61"/>
    </row>
    <row r="12" spans="1:13" ht="13.8">
      <c r="A12" s="15" t="s">
        <v>114</v>
      </c>
      <c r="B12" s="47">
        <v>32.549999999999997</v>
      </c>
      <c r="C12" s="47">
        <v>40.92</v>
      </c>
      <c r="D12" s="47">
        <v>53.54</v>
      </c>
      <c r="E12" s="47">
        <v>38.729999999999997</v>
      </c>
      <c r="F12" s="47">
        <v>66.73</v>
      </c>
      <c r="G12" s="47">
        <v>37.43</v>
      </c>
      <c r="H12" s="47">
        <v>33.07</v>
      </c>
      <c r="I12" s="47">
        <v>34.75</v>
      </c>
      <c r="K12" s="61"/>
      <c r="L12" s="61"/>
      <c r="M12" s="61"/>
    </row>
    <row r="13" spans="1:13" ht="13.8">
      <c r="A13" s="15" t="s">
        <v>115</v>
      </c>
      <c r="B13" s="47">
        <v>30.04</v>
      </c>
      <c r="C13" s="47">
        <v>31.87</v>
      </c>
      <c r="D13" s="47">
        <v>54.57</v>
      </c>
      <c r="E13" s="47">
        <v>38.270000000000003</v>
      </c>
      <c r="F13" s="47">
        <v>66.72</v>
      </c>
      <c r="G13" s="47">
        <v>30.35</v>
      </c>
      <c r="H13" s="47">
        <v>34.159999999999997</v>
      </c>
      <c r="I13" s="47">
        <v>31.21</v>
      </c>
      <c r="K13" s="61"/>
      <c r="L13" s="61"/>
      <c r="M13" s="61"/>
    </row>
    <row r="14" spans="1:13" ht="13.8">
      <c r="A14" s="15" t="s">
        <v>116</v>
      </c>
      <c r="B14" s="47">
        <v>28.26</v>
      </c>
      <c r="C14" s="47">
        <v>35.14</v>
      </c>
      <c r="D14" s="47">
        <v>53.28</v>
      </c>
      <c r="E14" s="47">
        <v>36.090000000000003</v>
      </c>
      <c r="F14" s="47">
        <v>64.72</v>
      </c>
      <c r="G14" s="47">
        <v>26.93</v>
      </c>
      <c r="H14" s="47">
        <v>31.65</v>
      </c>
      <c r="I14" s="47">
        <v>33.11</v>
      </c>
      <c r="K14" s="61"/>
      <c r="L14" s="61"/>
      <c r="M14" s="61"/>
    </row>
    <row r="15" spans="1:13" ht="13.8">
      <c r="A15" s="15" t="s">
        <v>117</v>
      </c>
      <c r="B15" s="47">
        <v>29.65</v>
      </c>
      <c r="C15" s="47">
        <v>40.18</v>
      </c>
      <c r="D15" s="47">
        <v>65.03</v>
      </c>
      <c r="E15" s="47">
        <v>37.869999999999997</v>
      </c>
      <c r="F15" s="47">
        <v>62</v>
      </c>
      <c r="G15" s="47">
        <v>39.47</v>
      </c>
      <c r="H15" s="47">
        <v>35.75</v>
      </c>
      <c r="I15" s="47">
        <v>38.369999999999997</v>
      </c>
      <c r="K15" s="61"/>
      <c r="L15" s="61"/>
      <c r="M15" s="61"/>
    </row>
    <row r="16" spans="1:13" ht="13.8">
      <c r="A16" s="15" t="s">
        <v>118</v>
      </c>
      <c r="B16" s="47">
        <v>56.87</v>
      </c>
      <c r="C16" s="47">
        <v>80.94</v>
      </c>
      <c r="D16" s="47">
        <v>79</v>
      </c>
      <c r="E16" s="47">
        <v>70.459999999999994</v>
      </c>
      <c r="F16" s="47">
        <v>101.4</v>
      </c>
      <c r="G16" s="47">
        <v>53.88</v>
      </c>
      <c r="H16" s="47">
        <v>55.89</v>
      </c>
      <c r="I16" s="47">
        <v>54.98</v>
      </c>
      <c r="K16" s="61"/>
      <c r="L16" s="61"/>
      <c r="M16" s="61"/>
    </row>
    <row r="17" spans="1:13" ht="13.8">
      <c r="A17" s="15" t="s">
        <v>34</v>
      </c>
      <c r="B17" s="47">
        <v>72.98</v>
      </c>
      <c r="C17" s="47">
        <v>107.15</v>
      </c>
      <c r="D17" s="47">
        <v>111.39</v>
      </c>
      <c r="E17" s="47">
        <v>90.52</v>
      </c>
      <c r="F17" s="47">
        <v>107.22</v>
      </c>
      <c r="G17" s="47">
        <v>64.28</v>
      </c>
      <c r="H17" s="47">
        <v>82</v>
      </c>
      <c r="I17" s="47">
        <v>81.84</v>
      </c>
      <c r="K17" s="61"/>
      <c r="L17" s="61"/>
      <c r="M17" s="61"/>
    </row>
    <row r="18" spans="1:13" ht="13.8">
      <c r="A18" s="15" t="s">
        <v>37</v>
      </c>
      <c r="B18" s="47">
        <v>65.260000000000005</v>
      </c>
      <c r="C18" s="47">
        <v>102.53</v>
      </c>
      <c r="D18" s="47">
        <v>80.11</v>
      </c>
      <c r="E18" s="47">
        <v>73.14</v>
      </c>
      <c r="F18" s="47">
        <v>93.52</v>
      </c>
      <c r="G18" s="47">
        <v>61.62</v>
      </c>
      <c r="H18" s="47">
        <v>84.25</v>
      </c>
      <c r="I18" s="47">
        <v>76.95</v>
      </c>
      <c r="K18" s="61"/>
      <c r="L18" s="61"/>
      <c r="M18" s="61"/>
    </row>
    <row r="19" spans="1:13" ht="16.2">
      <c r="A19" s="15" t="s">
        <v>137</v>
      </c>
      <c r="B19" s="47">
        <v>48</v>
      </c>
      <c r="C19" s="47">
        <v>80</v>
      </c>
      <c r="D19" s="47">
        <v>58.5</v>
      </c>
      <c r="E19" s="47">
        <v>55.999999999999986</v>
      </c>
      <c r="F19" s="47">
        <v>76.999999999999986</v>
      </c>
      <c r="G19" s="92" t="s">
        <v>76</v>
      </c>
      <c r="H19" s="92">
        <v>55</v>
      </c>
      <c r="I19" s="92">
        <v>52</v>
      </c>
      <c r="K19" s="61"/>
      <c r="L19" s="61"/>
      <c r="M19" s="61"/>
    </row>
    <row r="20" spans="1:13" ht="16.2">
      <c r="A20" s="15" t="s">
        <v>157</v>
      </c>
      <c r="B20" s="47">
        <v>42</v>
      </c>
      <c r="C20" s="47">
        <v>70</v>
      </c>
      <c r="D20" s="47">
        <v>62</v>
      </c>
      <c r="E20" s="47">
        <v>49</v>
      </c>
      <c r="F20" s="47">
        <v>75</v>
      </c>
      <c r="G20" s="92" t="s">
        <v>76</v>
      </c>
      <c r="H20" s="92">
        <v>51</v>
      </c>
      <c r="I20" s="92">
        <v>46</v>
      </c>
      <c r="K20" s="61"/>
      <c r="L20" s="61"/>
      <c r="M20" s="61"/>
    </row>
    <row r="21" spans="1:13" ht="13.8">
      <c r="A21" s="15"/>
      <c r="B21" s="105"/>
      <c r="C21" s="105"/>
      <c r="D21" s="105"/>
      <c r="E21" s="105"/>
      <c r="F21" s="105"/>
      <c r="G21" s="105"/>
      <c r="H21" s="105"/>
      <c r="I21" s="105"/>
    </row>
    <row r="22" spans="1:13" ht="13.8">
      <c r="A22" s="30" t="s">
        <v>37</v>
      </c>
      <c r="B22" s="47"/>
      <c r="C22" s="47"/>
      <c r="D22" s="47"/>
      <c r="E22" s="47"/>
      <c r="F22" s="47"/>
      <c r="G22" s="47"/>
      <c r="H22" s="47"/>
      <c r="I22" s="47"/>
    </row>
    <row r="23" spans="1:13" ht="13.8">
      <c r="A23" s="15" t="s">
        <v>39</v>
      </c>
      <c r="B23" s="47">
        <v>72.67</v>
      </c>
      <c r="C23" s="47">
        <v>110.1875</v>
      </c>
      <c r="D23" s="47">
        <v>93.75</v>
      </c>
      <c r="E23" s="47">
        <v>80.125</v>
      </c>
      <c r="F23" s="47">
        <v>107.75</v>
      </c>
      <c r="G23" s="47">
        <v>65.412499999999994</v>
      </c>
      <c r="H23" s="47">
        <v>88</v>
      </c>
      <c r="I23" s="47">
        <v>88.5</v>
      </c>
      <c r="K23" s="61"/>
      <c r="M23" s="61"/>
    </row>
    <row r="24" spans="1:13" ht="13.8">
      <c r="A24" s="15" t="s">
        <v>40</v>
      </c>
      <c r="B24" s="47">
        <v>79.180000000000007</v>
      </c>
      <c r="C24" s="47">
        <v>116.6875</v>
      </c>
      <c r="D24" s="47">
        <v>106</v>
      </c>
      <c r="E24" s="47">
        <v>84.375</v>
      </c>
      <c r="F24" s="47">
        <v>111</v>
      </c>
      <c r="G24" s="47">
        <v>69.67</v>
      </c>
      <c r="H24" s="47" t="s">
        <v>76</v>
      </c>
      <c r="I24" s="47">
        <v>88.5</v>
      </c>
      <c r="K24" s="61"/>
      <c r="M24" s="61"/>
    </row>
    <row r="25" spans="1:13" ht="13.8">
      <c r="A25" s="15" t="s">
        <v>42</v>
      </c>
      <c r="B25" s="47">
        <v>68.14</v>
      </c>
      <c r="C25" s="47">
        <v>105.1</v>
      </c>
      <c r="D25" s="47">
        <v>92.3</v>
      </c>
      <c r="E25" s="47">
        <v>74.05</v>
      </c>
      <c r="F25" s="47">
        <v>101</v>
      </c>
      <c r="G25" s="47">
        <v>60</v>
      </c>
      <c r="H25" s="47" t="s">
        <v>76</v>
      </c>
      <c r="I25" s="47">
        <v>84</v>
      </c>
      <c r="K25" s="61"/>
      <c r="M25" s="61"/>
    </row>
    <row r="26" spans="1:13" ht="13.8">
      <c r="A26" s="15" t="s">
        <v>43</v>
      </c>
      <c r="B26" s="47">
        <v>66</v>
      </c>
      <c r="C26" s="47">
        <v>102.1875</v>
      </c>
      <c r="D26" s="47">
        <v>85.75</v>
      </c>
      <c r="E26" s="47">
        <v>71.1875</v>
      </c>
      <c r="F26" s="47">
        <v>95.375</v>
      </c>
      <c r="G26" s="47">
        <v>61</v>
      </c>
      <c r="H26" s="47">
        <v>87</v>
      </c>
      <c r="I26" s="47">
        <v>76.125</v>
      </c>
      <c r="K26" s="61"/>
      <c r="M26" s="61"/>
    </row>
    <row r="27" spans="1:13" ht="13.8">
      <c r="A27" s="15" t="s">
        <v>44</v>
      </c>
      <c r="B27" s="47">
        <v>63.242500000000007</v>
      </c>
      <c r="C27" s="47">
        <v>100</v>
      </c>
      <c r="D27" s="47">
        <v>81.25</v>
      </c>
      <c r="E27" s="47">
        <v>68.25</v>
      </c>
      <c r="F27" s="47">
        <v>88</v>
      </c>
      <c r="G27" s="47" t="s">
        <v>76</v>
      </c>
      <c r="H27" s="47" t="s">
        <v>76</v>
      </c>
      <c r="I27" s="47">
        <v>63.95</v>
      </c>
      <c r="K27" s="61"/>
      <c r="M27" s="61"/>
    </row>
    <row r="28" spans="1:13" ht="13.8">
      <c r="A28" s="15" t="s">
        <v>46</v>
      </c>
      <c r="B28" s="47">
        <v>58.83</v>
      </c>
      <c r="C28" s="47">
        <v>96.55</v>
      </c>
      <c r="D28" s="47">
        <v>76.599999999999994</v>
      </c>
      <c r="E28" s="47">
        <v>64.599999999999994</v>
      </c>
      <c r="F28" s="47">
        <v>84.4</v>
      </c>
      <c r="G28" s="47" t="s">
        <v>76</v>
      </c>
      <c r="H28" s="47" t="s">
        <v>76</v>
      </c>
      <c r="I28" s="47">
        <v>66.25</v>
      </c>
      <c r="K28" s="61"/>
      <c r="M28" s="61"/>
    </row>
    <row r="29" spans="1:13" ht="13.8">
      <c r="A29" s="15" t="s">
        <v>47</v>
      </c>
      <c r="B29" s="47">
        <v>55.474999999999994</v>
      </c>
      <c r="C29" s="47">
        <v>92.5625</v>
      </c>
      <c r="D29" s="47">
        <v>73</v>
      </c>
      <c r="E29" s="47">
        <v>62.625</v>
      </c>
      <c r="F29" s="47">
        <v>81.75</v>
      </c>
      <c r="G29" s="47" t="s">
        <v>76</v>
      </c>
      <c r="H29" s="47">
        <v>82</v>
      </c>
      <c r="I29" s="47" t="s">
        <v>76</v>
      </c>
      <c r="K29" s="61"/>
      <c r="M29" s="61"/>
    </row>
    <row r="30" spans="1:13" ht="13.8">
      <c r="A30" s="15" t="s">
        <v>48</v>
      </c>
      <c r="B30" s="47">
        <v>52.484999999999999</v>
      </c>
      <c r="C30" s="47">
        <v>91.75</v>
      </c>
      <c r="D30" s="47">
        <v>68.625</v>
      </c>
      <c r="E30" s="47">
        <v>62.125</v>
      </c>
      <c r="F30" s="47">
        <v>85.5</v>
      </c>
      <c r="G30" s="47">
        <v>52</v>
      </c>
      <c r="H30" s="47" t="s">
        <v>76</v>
      </c>
      <c r="I30" s="47" t="s">
        <v>76</v>
      </c>
      <c r="K30" s="61"/>
      <c r="M30" s="61"/>
    </row>
    <row r="31" spans="1:13" ht="13.8">
      <c r="A31" s="15" t="s">
        <v>50</v>
      </c>
      <c r="B31" s="47">
        <v>60.007999999999996</v>
      </c>
      <c r="C31" s="47">
        <v>97.85</v>
      </c>
      <c r="D31" s="47">
        <v>67</v>
      </c>
      <c r="E31" s="47">
        <v>71.849999999999994</v>
      </c>
      <c r="F31" s="47">
        <v>89.6</v>
      </c>
      <c r="G31" s="47" t="s">
        <v>76</v>
      </c>
      <c r="H31" s="47">
        <v>80</v>
      </c>
      <c r="I31" s="47">
        <v>74.59</v>
      </c>
      <c r="K31" s="61"/>
      <c r="M31" s="61"/>
    </row>
    <row r="32" spans="1:13" ht="13.8">
      <c r="A32" s="15" t="s">
        <v>51</v>
      </c>
      <c r="B32" s="47">
        <v>70.887499999999989</v>
      </c>
      <c r="C32" s="47">
        <v>107.75</v>
      </c>
      <c r="D32" s="47">
        <v>73.25</v>
      </c>
      <c r="E32" s="47">
        <v>83</v>
      </c>
      <c r="F32" s="47">
        <v>94.25</v>
      </c>
      <c r="G32" s="47" t="s">
        <v>76</v>
      </c>
      <c r="H32" s="47" t="s">
        <v>76</v>
      </c>
      <c r="I32" s="47">
        <v>74.625</v>
      </c>
      <c r="K32" s="61"/>
      <c r="M32" s="61"/>
    </row>
    <row r="33" spans="1:13" ht="13.8">
      <c r="A33" s="15" t="s">
        <v>52</v>
      </c>
      <c r="B33" s="47">
        <v>70.966999999999999</v>
      </c>
      <c r="C33" s="47">
        <v>108.19</v>
      </c>
      <c r="D33" s="47">
        <v>72.69</v>
      </c>
      <c r="E33" s="47">
        <v>81.69</v>
      </c>
      <c r="F33" s="47">
        <v>95.25</v>
      </c>
      <c r="G33" s="47" t="s">
        <v>76</v>
      </c>
      <c r="H33" s="47" t="s">
        <v>76</v>
      </c>
      <c r="I33" s="47">
        <v>76.7</v>
      </c>
      <c r="K33" s="61"/>
      <c r="M33" s="61"/>
    </row>
    <row r="34" spans="1:13" ht="13.8">
      <c r="A34" s="15" t="s">
        <v>38</v>
      </c>
      <c r="B34" s="47">
        <v>65.227999999999994</v>
      </c>
      <c r="C34" s="47">
        <v>101.5</v>
      </c>
      <c r="D34" s="47">
        <v>71.099999999999994</v>
      </c>
      <c r="E34" s="47">
        <v>73.75</v>
      </c>
      <c r="F34" s="47">
        <v>88.4</v>
      </c>
      <c r="G34" s="47" t="s">
        <v>76</v>
      </c>
      <c r="H34" s="47" t="s">
        <v>76</v>
      </c>
      <c r="I34" s="47">
        <v>76.25</v>
      </c>
      <c r="K34" s="61"/>
      <c r="M34" s="61"/>
    </row>
    <row r="35" spans="1:13" ht="13.8">
      <c r="A35" s="15"/>
      <c r="B35" s="47"/>
      <c r="C35" s="47"/>
      <c r="D35" s="47"/>
      <c r="E35" s="47"/>
      <c r="F35" s="47"/>
      <c r="G35" s="47"/>
      <c r="H35" s="47"/>
      <c r="I35" s="47"/>
      <c r="K35" s="61"/>
      <c r="M35" s="61"/>
    </row>
    <row r="36" spans="1:13" ht="13.8">
      <c r="A36" s="30" t="s">
        <v>54</v>
      </c>
      <c r="B36" s="47"/>
      <c r="C36" s="47"/>
      <c r="D36" s="47"/>
      <c r="E36" s="47"/>
      <c r="F36" s="47"/>
      <c r="G36" s="47"/>
      <c r="H36" s="47"/>
      <c r="I36" s="47"/>
      <c r="J36" s="103"/>
      <c r="K36" s="61"/>
      <c r="M36" s="61"/>
    </row>
    <row r="37" spans="1:13" ht="13.8">
      <c r="A37" s="15" t="s">
        <v>39</v>
      </c>
      <c r="B37" s="47">
        <v>56.599999999999994</v>
      </c>
      <c r="C37" s="47">
        <v>92</v>
      </c>
      <c r="D37" s="47">
        <v>64.75</v>
      </c>
      <c r="E37" s="47">
        <v>65.1875</v>
      </c>
      <c r="F37" s="47">
        <v>83.25</v>
      </c>
      <c r="G37" s="47" t="s">
        <v>76</v>
      </c>
      <c r="H37" s="92">
        <v>90</v>
      </c>
      <c r="I37" s="47">
        <v>65.17</v>
      </c>
      <c r="J37" s="122"/>
      <c r="K37" s="61"/>
      <c r="M37" s="61"/>
    </row>
    <row r="38" spans="1:13" ht="13.8">
      <c r="A38" s="15" t="s">
        <v>40</v>
      </c>
      <c r="B38" s="47">
        <v>53.39</v>
      </c>
      <c r="C38" s="47">
        <v>86.38</v>
      </c>
      <c r="D38" s="47">
        <v>62.25</v>
      </c>
      <c r="E38" s="47">
        <v>61.63</v>
      </c>
      <c r="F38" s="47">
        <v>81.5</v>
      </c>
      <c r="G38" s="47" t="s">
        <v>76</v>
      </c>
      <c r="H38" s="92" t="s">
        <v>76</v>
      </c>
      <c r="I38" s="47">
        <v>57.024999999999999</v>
      </c>
      <c r="J38" s="122"/>
      <c r="K38" s="61"/>
      <c r="M38" s="61"/>
    </row>
    <row r="39" spans="1:13" ht="13.8">
      <c r="A39" s="15" t="s">
        <v>42</v>
      </c>
      <c r="B39" s="47">
        <v>52.33</v>
      </c>
      <c r="C39" s="47">
        <v>83.1</v>
      </c>
      <c r="D39" s="47">
        <v>58.6</v>
      </c>
      <c r="E39" s="47">
        <v>59.45</v>
      </c>
      <c r="F39" s="47">
        <v>77.8</v>
      </c>
      <c r="G39" s="47" t="s">
        <v>76</v>
      </c>
      <c r="H39" s="92">
        <v>65</v>
      </c>
      <c r="I39" s="47">
        <v>50.67</v>
      </c>
      <c r="J39" s="122"/>
      <c r="K39" s="61"/>
      <c r="M39" s="61"/>
    </row>
    <row r="40" spans="1:13" ht="13.8">
      <c r="A40" s="15" t="s">
        <v>43</v>
      </c>
      <c r="B40" s="47">
        <v>49.1</v>
      </c>
      <c r="C40" s="47">
        <v>79.5</v>
      </c>
      <c r="D40" s="47">
        <v>58.13</v>
      </c>
      <c r="E40" s="47">
        <v>57.25</v>
      </c>
      <c r="F40" s="47">
        <v>76.5</v>
      </c>
      <c r="G40" s="47" t="s">
        <v>76</v>
      </c>
      <c r="H40" s="92" t="s">
        <v>76</v>
      </c>
      <c r="I40" s="47" t="s">
        <v>76</v>
      </c>
      <c r="J40" s="122"/>
      <c r="K40" s="61"/>
      <c r="M40" s="61"/>
    </row>
    <row r="41" spans="1:13" ht="13.8">
      <c r="A41" s="15" t="s">
        <v>44</v>
      </c>
      <c r="B41" s="47">
        <v>47.327500000000001</v>
      </c>
      <c r="C41" s="47">
        <v>76.5</v>
      </c>
      <c r="D41" s="47">
        <v>57.38</v>
      </c>
      <c r="E41" s="47">
        <v>53.06</v>
      </c>
      <c r="F41" s="47">
        <v>76.75</v>
      </c>
      <c r="G41" s="47" t="s">
        <v>76</v>
      </c>
      <c r="H41" s="92">
        <v>45.33</v>
      </c>
      <c r="I41" s="47">
        <v>52.5</v>
      </c>
      <c r="J41" s="122"/>
      <c r="K41" s="61"/>
      <c r="M41" s="61"/>
    </row>
    <row r="42" spans="1:13" ht="13.8">
      <c r="A42" s="15" t="s">
        <v>46</v>
      </c>
      <c r="B42" s="47">
        <v>46.957999999999998</v>
      </c>
      <c r="C42" s="47">
        <v>79.95</v>
      </c>
      <c r="D42" s="47">
        <v>57.45</v>
      </c>
      <c r="E42" s="47">
        <v>55.55</v>
      </c>
      <c r="F42" s="47">
        <v>76</v>
      </c>
      <c r="G42" s="47" t="s">
        <v>76</v>
      </c>
      <c r="H42" s="92" t="s">
        <v>76</v>
      </c>
      <c r="I42" s="47">
        <v>52</v>
      </c>
      <c r="J42" s="122"/>
      <c r="K42" s="61"/>
      <c r="M42" s="61"/>
    </row>
    <row r="43" spans="1:13" ht="13.8">
      <c r="A43" s="15" t="s">
        <v>47</v>
      </c>
      <c r="B43" s="47">
        <v>45.1325</v>
      </c>
      <c r="C43" s="47">
        <v>77.25</v>
      </c>
      <c r="D43" s="47">
        <v>56.06</v>
      </c>
      <c r="E43" s="47">
        <v>54.38</v>
      </c>
      <c r="F43" s="47">
        <v>75.13</v>
      </c>
      <c r="G43" s="47" t="s">
        <v>76</v>
      </c>
      <c r="H43" s="92">
        <v>41</v>
      </c>
      <c r="I43" s="47">
        <v>52.17</v>
      </c>
      <c r="J43" s="122"/>
      <c r="K43" s="61"/>
      <c r="M43" s="61"/>
    </row>
    <row r="44" spans="1:13" ht="13.8">
      <c r="A44" s="15" t="s">
        <v>48</v>
      </c>
      <c r="B44" s="47">
        <v>43.302</v>
      </c>
      <c r="C44" s="47">
        <v>74.55</v>
      </c>
      <c r="D44" s="47">
        <v>54.6</v>
      </c>
      <c r="E44" s="47">
        <v>52.75</v>
      </c>
      <c r="F44" s="47">
        <v>73.8</v>
      </c>
      <c r="G44" s="47" t="s">
        <v>76</v>
      </c>
      <c r="H44" s="92">
        <v>42</v>
      </c>
      <c r="I44" s="47">
        <v>48.875</v>
      </c>
      <c r="J44" s="122"/>
      <c r="K44" s="61"/>
      <c r="M44" s="61"/>
    </row>
    <row r="45" spans="1:13" ht="13.8">
      <c r="A45" s="15" t="s">
        <v>50</v>
      </c>
      <c r="B45" s="47">
        <v>42.5075</v>
      </c>
      <c r="C45" s="47">
        <v>74.38</v>
      </c>
      <c r="D45" s="47">
        <v>58.88</v>
      </c>
      <c r="E45" s="47">
        <v>51.31</v>
      </c>
      <c r="F45" s="47">
        <v>77.5</v>
      </c>
      <c r="G45" s="47" t="s">
        <v>76</v>
      </c>
      <c r="H45" s="92">
        <v>46</v>
      </c>
      <c r="I45" s="47">
        <v>54.1</v>
      </c>
      <c r="J45" s="122"/>
      <c r="K45" s="61"/>
      <c r="M45" s="61"/>
    </row>
    <row r="46" spans="1:13" s="83" customFormat="1" ht="13.8">
      <c r="A46" s="15" t="s">
        <v>51</v>
      </c>
      <c r="B46" s="47">
        <v>45.57</v>
      </c>
      <c r="C46" s="47">
        <v>77.94</v>
      </c>
      <c r="D46" s="47">
        <v>59.69</v>
      </c>
      <c r="E46" s="47">
        <v>54.75</v>
      </c>
      <c r="F46" s="47">
        <v>79</v>
      </c>
      <c r="G46" s="47" t="s">
        <v>76</v>
      </c>
      <c r="H46" s="92">
        <v>55</v>
      </c>
      <c r="I46" s="92">
        <v>54.5</v>
      </c>
      <c r="J46" s="122"/>
      <c r="K46" s="162"/>
      <c r="M46" s="162"/>
    </row>
    <row r="47" spans="1:13" ht="16.2">
      <c r="A47" s="79" t="s">
        <v>138</v>
      </c>
      <c r="B47" s="112"/>
      <c r="C47" s="112"/>
      <c r="D47" s="112"/>
      <c r="E47" s="112"/>
      <c r="F47" s="112"/>
      <c r="G47" s="112"/>
      <c r="H47" s="112"/>
      <c r="I47" s="113"/>
    </row>
    <row r="48" spans="1:13" ht="16.2">
      <c r="A48" s="15" t="s">
        <v>139</v>
      </c>
      <c r="B48" s="59"/>
      <c r="C48" s="59"/>
      <c r="D48" s="59"/>
      <c r="E48" s="59"/>
      <c r="F48" s="59"/>
      <c r="G48" s="59"/>
      <c r="H48" s="59"/>
      <c r="I48" s="59"/>
    </row>
    <row r="49" spans="1:9" ht="14.4">
      <c r="A49" s="15" t="s">
        <v>140</v>
      </c>
      <c r="B49" s="15"/>
      <c r="C49" s="15"/>
      <c r="D49" s="15"/>
      <c r="E49" s="15"/>
      <c r="F49" s="59"/>
      <c r="G49" s="15"/>
      <c r="H49" s="15"/>
      <c r="I49" s="15"/>
    </row>
    <row r="50" spans="1:9" ht="13.8">
      <c r="A50" s="20" t="s">
        <v>57</v>
      </c>
      <c r="B50" s="36">
        <f>Contents!A16</f>
        <v>45518</v>
      </c>
      <c r="C50" s="15"/>
      <c r="D50" s="15"/>
      <c r="E50" s="15"/>
      <c r="F50" s="15"/>
      <c r="G50" s="15"/>
      <c r="H50" s="15"/>
      <c r="I50" s="15"/>
    </row>
    <row r="51" spans="1:9" ht="15.6">
      <c r="C51" s="60"/>
      <c r="G51" s="60"/>
      <c r="H51" s="60"/>
      <c r="I51" s="60"/>
    </row>
    <row r="52" spans="1:9" ht="15.6">
      <c r="B52" s="61"/>
      <c r="C52" s="61"/>
      <c r="D52" s="61"/>
      <c r="E52" s="61"/>
      <c r="F52" s="61"/>
      <c r="G52" s="61"/>
      <c r="H52" s="60"/>
      <c r="I52" s="60"/>
    </row>
    <row r="53" spans="1:9" ht="15.6">
      <c r="B53" s="85"/>
      <c r="C53" s="85"/>
      <c r="D53" s="85"/>
      <c r="E53" s="85"/>
      <c r="F53" s="85"/>
      <c r="G53" s="85"/>
      <c r="H53" s="60"/>
      <c r="I53" s="60"/>
    </row>
    <row r="54" spans="1:9" ht="15.6">
      <c r="C54" s="60"/>
      <c r="G54" s="60"/>
      <c r="H54" s="60"/>
      <c r="I54" s="60"/>
    </row>
    <row r="55" spans="1:9" ht="15.6">
      <c r="C55" s="60"/>
      <c r="G55" s="60"/>
      <c r="H55" s="60"/>
      <c r="I55" s="60"/>
    </row>
    <row r="56" spans="1:9" ht="15.6">
      <c r="C56" s="60"/>
      <c r="G56" s="60"/>
      <c r="H56" s="60"/>
      <c r="I56" s="60"/>
    </row>
    <row r="57" spans="1:9" ht="15.6">
      <c r="C57" s="60"/>
      <c r="G57" s="60"/>
      <c r="H57" s="60"/>
      <c r="I57" s="60"/>
    </row>
    <row r="58" spans="1:9" ht="15.6">
      <c r="C58" s="60"/>
      <c r="G58" s="60"/>
      <c r="H58" s="60"/>
      <c r="I58" s="60"/>
    </row>
    <row r="59" spans="1:9" ht="15.6">
      <c r="C59" s="60"/>
      <c r="G59" s="60"/>
      <c r="H59" s="60"/>
      <c r="I59" s="60"/>
    </row>
    <row r="60" spans="1:9" ht="15.6">
      <c r="C60" s="60"/>
      <c r="G60" s="60"/>
      <c r="H60" s="60"/>
      <c r="I60" s="60"/>
    </row>
    <row r="61" spans="1:9" ht="15.6">
      <c r="C61" s="60"/>
      <c r="G61" s="60"/>
      <c r="H61" s="60"/>
      <c r="I61" s="60"/>
    </row>
    <row r="62" spans="1:9" ht="15.6">
      <c r="C62" s="60"/>
      <c r="G62" s="60"/>
      <c r="H62" s="60"/>
      <c r="I62" s="60"/>
    </row>
    <row r="63" spans="1:9" ht="15.6">
      <c r="C63" s="60"/>
      <c r="G63" s="60"/>
      <c r="H63" s="60"/>
      <c r="I63" s="60"/>
    </row>
    <row r="64" spans="1:9" ht="15.6">
      <c r="C64" s="60"/>
      <c r="G64" s="60"/>
      <c r="H64" s="60"/>
      <c r="I64" s="60"/>
    </row>
    <row r="65" spans="3:9" ht="15.6">
      <c r="C65" s="60"/>
      <c r="G65" s="60"/>
      <c r="H65" s="60"/>
      <c r="I65" s="60"/>
    </row>
    <row r="66" spans="3:9" ht="15.6">
      <c r="C66" s="60"/>
      <c r="G66" s="60"/>
      <c r="H66" s="60"/>
      <c r="I66" s="60"/>
    </row>
    <row r="67" spans="3:9" ht="15.6">
      <c r="C67" s="60"/>
      <c r="H67" s="60"/>
      <c r="I67" s="60"/>
    </row>
    <row r="68" spans="3:9" ht="15.6">
      <c r="C68" s="60"/>
      <c r="H68" s="60"/>
      <c r="I68" s="60"/>
    </row>
    <row r="69" spans="3:9" ht="15.6">
      <c r="C69" s="60"/>
      <c r="F69" s="61"/>
      <c r="H69" s="60"/>
      <c r="I69" s="60"/>
    </row>
    <row r="70" spans="3:9" ht="15.6">
      <c r="F70" s="61"/>
      <c r="H70" s="60"/>
      <c r="I70" s="60"/>
    </row>
  </sheetData>
  <phoneticPr fontId="49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60"/>
  <sheetViews>
    <sheetView showGridLines="0" zoomScale="70" zoomScaleNormal="70" workbookViewId="0">
      <pane xSplit="1" ySplit="4" topLeftCell="B5" activePane="bottomRight" state="frozen"/>
      <selection activeCell="F62" sqref="F62"/>
      <selection pane="topRight" activeCell="F62" sqref="F62"/>
      <selection pane="bottomLeft" activeCell="F62" sqref="F62"/>
      <selection pane="bottomRight" activeCell="K43" sqref="K43"/>
    </sheetView>
  </sheetViews>
  <sheetFormatPr defaultColWidth="9.109375" defaultRowHeight="13.2"/>
  <cols>
    <col min="1" max="1" width="11.5546875" customWidth="1"/>
    <col min="2" max="7" width="13.5546875" customWidth="1"/>
    <col min="8" max="8" width="12.44140625" bestFit="1" customWidth="1"/>
    <col min="9" max="9" width="11.44140625" customWidth="1"/>
    <col min="11" max="11" width="8.88671875" customWidth="1"/>
    <col min="12" max="12" width="18" bestFit="1" customWidth="1"/>
  </cols>
  <sheetData>
    <row r="1" spans="1:28" ht="13.8">
      <c r="A1" s="14" t="s">
        <v>10</v>
      </c>
      <c r="B1" s="14"/>
      <c r="C1" s="14"/>
      <c r="D1" s="14"/>
      <c r="E1" s="14"/>
      <c r="F1" s="14"/>
      <c r="G1" s="14"/>
    </row>
    <row r="2" spans="1:28" ht="15.6" customHeight="1">
      <c r="A2" s="15" t="s">
        <v>96</v>
      </c>
      <c r="B2" s="17" t="s">
        <v>122</v>
      </c>
      <c r="C2" s="62" t="s">
        <v>123</v>
      </c>
      <c r="D2" s="62" t="s">
        <v>124</v>
      </c>
      <c r="E2" s="62" t="s">
        <v>126</v>
      </c>
      <c r="F2" s="17" t="s">
        <v>141</v>
      </c>
      <c r="G2" s="17" t="s">
        <v>142</v>
      </c>
      <c r="AB2" s="63"/>
    </row>
    <row r="3" spans="1:28" ht="15.6" customHeight="1">
      <c r="A3" s="14" t="s">
        <v>103</v>
      </c>
      <c r="B3" s="23" t="s">
        <v>143</v>
      </c>
      <c r="C3" s="23" t="s">
        <v>144</v>
      </c>
      <c r="D3" s="23" t="s">
        <v>145</v>
      </c>
      <c r="E3" s="23" t="s">
        <v>146</v>
      </c>
      <c r="F3" s="23" t="s">
        <v>147</v>
      </c>
      <c r="G3" s="23" t="s">
        <v>148</v>
      </c>
      <c r="AB3" s="63"/>
    </row>
    <row r="4" spans="1:28" ht="14.4">
      <c r="A4" s="56" t="s">
        <v>149</v>
      </c>
      <c r="C4" s="57"/>
      <c r="D4" s="57"/>
      <c r="E4" s="57"/>
      <c r="F4" s="57"/>
      <c r="G4" s="57"/>
      <c r="AB4" s="63"/>
    </row>
    <row r="5" spans="1:28" ht="13.8">
      <c r="A5" s="15"/>
      <c r="B5" s="15"/>
      <c r="C5" s="15"/>
      <c r="D5" s="15"/>
      <c r="E5" s="15"/>
      <c r="F5" s="15"/>
      <c r="G5" s="15"/>
      <c r="AB5" s="63"/>
    </row>
    <row r="6" spans="1:28" ht="13.8">
      <c r="A6" s="15" t="s">
        <v>108</v>
      </c>
      <c r="B6" s="58">
        <v>345.52</v>
      </c>
      <c r="C6" s="58">
        <v>273.83999999999997</v>
      </c>
      <c r="D6" s="58">
        <v>219.72</v>
      </c>
      <c r="E6" s="50" t="s">
        <v>76</v>
      </c>
      <c r="F6" s="58">
        <v>263.63</v>
      </c>
      <c r="G6" s="58">
        <v>240.65</v>
      </c>
      <c r="H6" s="61"/>
      <c r="I6" s="61"/>
      <c r="J6" s="61"/>
      <c r="AB6" s="63"/>
    </row>
    <row r="7" spans="1:28" ht="13.8">
      <c r="A7" s="15" t="s">
        <v>109</v>
      </c>
      <c r="B7" s="58">
        <v>393.53</v>
      </c>
      <c r="C7" s="58">
        <v>275.13</v>
      </c>
      <c r="D7" s="58">
        <v>246.75</v>
      </c>
      <c r="E7" s="50" t="s">
        <v>76</v>
      </c>
      <c r="F7" s="58">
        <v>307.58999999999997</v>
      </c>
      <c r="G7" s="58">
        <v>265.68</v>
      </c>
      <c r="H7" s="61"/>
      <c r="I7" s="61"/>
      <c r="J7" s="61"/>
      <c r="AB7" s="63"/>
    </row>
    <row r="8" spans="1:28" ht="13.8">
      <c r="A8" s="15" t="s">
        <v>110</v>
      </c>
      <c r="B8" s="58">
        <v>468.11</v>
      </c>
      <c r="C8" s="58">
        <v>331.52</v>
      </c>
      <c r="D8" s="58">
        <v>241.57</v>
      </c>
      <c r="E8" s="50" t="s">
        <v>76</v>
      </c>
      <c r="F8" s="58">
        <v>354.22</v>
      </c>
      <c r="G8" s="58">
        <v>329.31</v>
      </c>
      <c r="H8" s="61"/>
      <c r="I8" s="61"/>
      <c r="J8" s="61"/>
      <c r="AB8" s="63"/>
    </row>
    <row r="9" spans="1:28" ht="13.8">
      <c r="A9" s="15" t="s">
        <v>111</v>
      </c>
      <c r="B9" s="58">
        <v>489.94</v>
      </c>
      <c r="C9" s="58">
        <v>377.71</v>
      </c>
      <c r="D9" s="58">
        <v>238.87</v>
      </c>
      <c r="E9" s="50" t="s">
        <v>76</v>
      </c>
      <c r="F9" s="58">
        <v>359.7</v>
      </c>
      <c r="G9" s="58">
        <v>337.23</v>
      </c>
      <c r="H9" s="61"/>
      <c r="I9" s="61"/>
      <c r="J9" s="61"/>
      <c r="AB9" s="63"/>
    </row>
    <row r="10" spans="1:28" ht="13.8">
      <c r="A10" s="15" t="s">
        <v>112</v>
      </c>
      <c r="B10" s="58">
        <v>368.49</v>
      </c>
      <c r="C10" s="58">
        <v>304.27</v>
      </c>
      <c r="D10" s="58">
        <v>209.97</v>
      </c>
      <c r="E10" s="50" t="s">
        <v>76</v>
      </c>
      <c r="F10" s="58">
        <v>301.2</v>
      </c>
      <c r="G10" s="58">
        <v>256.58</v>
      </c>
      <c r="H10" s="61"/>
      <c r="I10" s="61"/>
      <c r="J10" s="61"/>
      <c r="AB10" s="63"/>
    </row>
    <row r="11" spans="1:28" ht="13.8">
      <c r="A11" s="15" t="s">
        <v>113</v>
      </c>
      <c r="B11" s="58">
        <v>324.56</v>
      </c>
      <c r="C11" s="58">
        <v>261.19</v>
      </c>
      <c r="D11" s="58">
        <v>153.16999999999999</v>
      </c>
      <c r="E11" s="50" t="s">
        <v>76</v>
      </c>
      <c r="F11" s="58">
        <v>262.2</v>
      </c>
      <c r="G11" s="58">
        <v>260.23</v>
      </c>
      <c r="H11" s="61"/>
      <c r="I11" s="61"/>
      <c r="J11" s="61"/>
      <c r="AB11" s="63"/>
    </row>
    <row r="12" spans="1:28" ht="13.8">
      <c r="A12" s="15" t="s">
        <v>114</v>
      </c>
      <c r="B12" s="58">
        <v>316.88</v>
      </c>
      <c r="C12" s="58">
        <v>208.61</v>
      </c>
      <c r="D12" s="58">
        <v>145.1</v>
      </c>
      <c r="E12" s="50" t="s">
        <v>76</v>
      </c>
      <c r="F12" s="58">
        <v>267.94</v>
      </c>
      <c r="G12" s="58">
        <v>282.49</v>
      </c>
      <c r="H12" s="61"/>
      <c r="I12" s="61"/>
      <c r="J12" s="61"/>
      <c r="AB12" s="63"/>
    </row>
    <row r="13" spans="1:28" ht="13.8">
      <c r="A13" s="15" t="s">
        <v>115</v>
      </c>
      <c r="B13" s="58">
        <v>345.02</v>
      </c>
      <c r="C13" s="58">
        <v>260.88</v>
      </c>
      <c r="D13" s="58">
        <v>173.53</v>
      </c>
      <c r="E13" s="50" t="s">
        <v>76</v>
      </c>
      <c r="F13" s="58">
        <v>291.14999999999998</v>
      </c>
      <c r="G13" s="58">
        <v>239.15</v>
      </c>
      <c r="H13" s="61"/>
      <c r="I13" s="61"/>
      <c r="J13" s="61"/>
    </row>
    <row r="14" spans="1:28" ht="13.8">
      <c r="A14" s="15" t="s">
        <v>116</v>
      </c>
      <c r="B14" s="58">
        <v>308.27999999999997</v>
      </c>
      <c r="C14" s="58">
        <v>228.64</v>
      </c>
      <c r="D14" s="58">
        <v>164.16</v>
      </c>
      <c r="E14" s="50" t="s">
        <v>76</v>
      </c>
      <c r="F14" s="58">
        <v>272.38</v>
      </c>
      <c r="G14" s="58">
        <v>225.77</v>
      </c>
      <c r="H14" s="61"/>
      <c r="I14" s="61"/>
      <c r="J14" s="61"/>
    </row>
    <row r="15" spans="1:28" ht="13.8">
      <c r="A15" s="15" t="s">
        <v>117</v>
      </c>
      <c r="B15" s="58">
        <v>299.5</v>
      </c>
      <c r="C15" s="58">
        <v>247.04</v>
      </c>
      <c r="D15" s="58">
        <v>187.7</v>
      </c>
      <c r="E15" s="50" t="s">
        <v>76</v>
      </c>
      <c r="F15" s="58">
        <v>273.99</v>
      </c>
      <c r="G15" s="58">
        <v>245.88</v>
      </c>
      <c r="H15" s="61"/>
      <c r="I15" s="61"/>
      <c r="J15" s="61"/>
    </row>
    <row r="16" spans="1:28" ht="13.8">
      <c r="A16" s="15" t="s">
        <v>118</v>
      </c>
      <c r="B16" s="58">
        <v>392.31</v>
      </c>
      <c r="C16" s="58">
        <v>375.51</v>
      </c>
      <c r="D16" s="89">
        <v>246.22</v>
      </c>
      <c r="E16" s="50" t="s">
        <v>76</v>
      </c>
      <c r="F16" s="58">
        <v>351.87</v>
      </c>
      <c r="G16" s="58">
        <v>288.12</v>
      </c>
      <c r="H16" s="61"/>
      <c r="I16" s="61"/>
      <c r="J16" s="61"/>
    </row>
    <row r="17" spans="1:13" ht="13.8">
      <c r="A17" s="15" t="s">
        <v>34</v>
      </c>
      <c r="B17" s="58">
        <v>439.81</v>
      </c>
      <c r="C17" s="58">
        <v>355.33</v>
      </c>
      <c r="D17" s="58">
        <v>279.98</v>
      </c>
      <c r="E17" s="50" t="s">
        <v>76</v>
      </c>
      <c r="F17" s="58">
        <v>439.1</v>
      </c>
      <c r="G17" s="58">
        <v>332.21</v>
      </c>
      <c r="H17" s="61"/>
      <c r="I17" s="61"/>
      <c r="J17" s="61"/>
    </row>
    <row r="18" spans="1:13" ht="13.8">
      <c r="A18" s="15" t="s">
        <v>37</v>
      </c>
      <c r="B18" s="58">
        <v>451.91</v>
      </c>
      <c r="C18" s="58">
        <v>379.13</v>
      </c>
      <c r="D18" s="58">
        <v>244.34</v>
      </c>
      <c r="E18" s="50" t="s">
        <v>76</v>
      </c>
      <c r="F18" s="58">
        <v>431.34</v>
      </c>
      <c r="G18" s="89">
        <v>359.06</v>
      </c>
      <c r="H18" s="61"/>
      <c r="I18" s="61"/>
      <c r="J18" s="61"/>
    </row>
    <row r="19" spans="1:13" ht="16.2">
      <c r="A19" s="15" t="s">
        <v>137</v>
      </c>
      <c r="B19" s="58">
        <v>390</v>
      </c>
      <c r="C19" s="58">
        <v>340</v>
      </c>
      <c r="D19" s="58">
        <v>200</v>
      </c>
      <c r="E19" s="50" t="s">
        <v>76</v>
      </c>
      <c r="F19" s="58">
        <v>380</v>
      </c>
      <c r="G19" s="89">
        <v>328.55</v>
      </c>
      <c r="H19" s="61"/>
      <c r="I19" s="61"/>
      <c r="J19" s="61"/>
    </row>
    <row r="20" spans="1:13" ht="16.2">
      <c r="A20" s="15" t="s">
        <v>157</v>
      </c>
      <c r="B20" s="58">
        <v>320</v>
      </c>
      <c r="C20" s="58">
        <v>295</v>
      </c>
      <c r="D20" s="58">
        <v>170</v>
      </c>
      <c r="E20" s="50" t="s">
        <v>76</v>
      </c>
      <c r="F20" s="58">
        <v>280</v>
      </c>
      <c r="G20" s="89">
        <v>220</v>
      </c>
      <c r="H20" s="61"/>
      <c r="I20" s="61"/>
      <c r="J20" s="61"/>
    </row>
    <row r="21" spans="1:13" ht="13.8">
      <c r="A21" s="15"/>
      <c r="B21" s="58"/>
      <c r="C21" s="58"/>
      <c r="D21" s="58"/>
      <c r="E21" s="50"/>
      <c r="F21" s="58"/>
      <c r="G21" s="58"/>
      <c r="I21" s="61"/>
      <c r="J21" s="65"/>
      <c r="K21" s="65"/>
      <c r="L21" s="65"/>
      <c r="M21" s="65"/>
    </row>
    <row r="22" spans="1:13" ht="13.8">
      <c r="A22" s="30" t="s">
        <v>37</v>
      </c>
      <c r="B22" s="89"/>
      <c r="C22" s="58"/>
      <c r="D22" s="58"/>
      <c r="E22" s="50"/>
      <c r="F22" s="58"/>
      <c r="G22" s="58"/>
      <c r="H22" s="47"/>
      <c r="I22" s="61"/>
    </row>
    <row r="23" spans="1:13" ht="13.8">
      <c r="A23" s="15" t="s">
        <v>39</v>
      </c>
      <c r="B23" s="89">
        <v>468.67499999999995</v>
      </c>
      <c r="C23" s="58">
        <v>451.875</v>
      </c>
      <c r="D23" s="58" t="s">
        <v>76</v>
      </c>
      <c r="E23" s="50" t="s">
        <v>76</v>
      </c>
      <c r="F23" s="58">
        <v>409.17499999999995</v>
      </c>
      <c r="G23" s="58" t="s">
        <v>76</v>
      </c>
      <c r="H23" s="47"/>
      <c r="I23" s="61"/>
    </row>
    <row r="24" spans="1:13" ht="13.8">
      <c r="A24" s="15" t="s">
        <v>40</v>
      </c>
      <c r="B24" s="89">
        <v>436.74999999999994</v>
      </c>
      <c r="C24" s="58">
        <v>405</v>
      </c>
      <c r="D24" s="58" t="s">
        <v>76</v>
      </c>
      <c r="E24" s="50" t="s">
        <v>76</v>
      </c>
      <c r="F24" s="58">
        <v>402.99999999999994</v>
      </c>
      <c r="G24" s="58">
        <v>357.5</v>
      </c>
      <c r="H24" s="47"/>
      <c r="I24" s="61"/>
    </row>
    <row r="25" spans="1:13" ht="13.8">
      <c r="A25" s="15" t="s">
        <v>42</v>
      </c>
      <c r="B25" s="89">
        <v>462.85</v>
      </c>
      <c r="C25" s="58">
        <v>390.625</v>
      </c>
      <c r="D25" s="58">
        <v>200</v>
      </c>
      <c r="E25" s="50" t="s">
        <v>76</v>
      </c>
      <c r="F25" s="58">
        <v>437.09999999999997</v>
      </c>
      <c r="G25" s="58">
        <v>368.5</v>
      </c>
      <c r="H25" s="47"/>
      <c r="I25" s="61"/>
    </row>
    <row r="26" spans="1:13" ht="13.8">
      <c r="A26" s="15" t="s">
        <v>43</v>
      </c>
      <c r="B26" s="89">
        <v>482.40000000000003</v>
      </c>
      <c r="C26" s="58">
        <v>386.25</v>
      </c>
      <c r="D26" s="58">
        <v>355</v>
      </c>
      <c r="E26" s="50" t="s">
        <v>76</v>
      </c>
      <c r="F26" s="58">
        <v>474.02500000000003</v>
      </c>
      <c r="G26" s="58">
        <v>397.5</v>
      </c>
      <c r="H26" s="47"/>
      <c r="I26" s="61"/>
    </row>
    <row r="27" spans="1:13" ht="13.8">
      <c r="A27" s="15" t="s">
        <v>44</v>
      </c>
      <c r="B27" s="89">
        <v>500.52499999999998</v>
      </c>
      <c r="C27" s="58">
        <v>392.5</v>
      </c>
      <c r="D27" s="58">
        <v>336.25</v>
      </c>
      <c r="E27" s="50" t="s">
        <v>76</v>
      </c>
      <c r="F27" s="58">
        <v>501.02499999999998</v>
      </c>
      <c r="G27" s="58">
        <v>412.5</v>
      </c>
      <c r="H27" s="47"/>
      <c r="I27" s="61"/>
    </row>
    <row r="28" spans="1:13" ht="13.8">
      <c r="A28" s="15" t="s">
        <v>46</v>
      </c>
      <c r="B28" s="89">
        <v>484.4</v>
      </c>
      <c r="C28" s="58">
        <v>386.25</v>
      </c>
      <c r="D28" s="58">
        <v>308</v>
      </c>
      <c r="E28" s="50" t="s">
        <v>76</v>
      </c>
      <c r="F28" s="58">
        <v>466.6</v>
      </c>
      <c r="G28" s="58">
        <v>380.4</v>
      </c>
      <c r="H28" s="47"/>
      <c r="I28" s="61"/>
    </row>
    <row r="29" spans="1:13" ht="13.8">
      <c r="A29" s="15" t="s">
        <v>47</v>
      </c>
      <c r="B29" s="89">
        <v>457.25</v>
      </c>
      <c r="C29" s="58">
        <v>364.375</v>
      </c>
      <c r="D29" s="58">
        <v>252.5</v>
      </c>
      <c r="E29" s="50" t="s">
        <v>76</v>
      </c>
      <c r="F29" s="58">
        <v>434.75</v>
      </c>
      <c r="G29" s="58">
        <v>352.5</v>
      </c>
      <c r="H29" s="47"/>
      <c r="I29" s="61"/>
    </row>
    <row r="30" spans="1:13" ht="13.8">
      <c r="A30" s="15" t="s">
        <v>48</v>
      </c>
      <c r="B30" s="89">
        <v>423.57499999999999</v>
      </c>
      <c r="C30" s="58">
        <v>370.625</v>
      </c>
      <c r="D30" s="58">
        <v>237.5</v>
      </c>
      <c r="E30" s="50" t="s">
        <v>76</v>
      </c>
      <c r="F30" s="58">
        <v>407.02500000000003</v>
      </c>
      <c r="G30" s="58">
        <v>352.5</v>
      </c>
      <c r="H30" s="47"/>
      <c r="I30" s="61"/>
    </row>
    <row r="31" spans="1:13" ht="13.8">
      <c r="A31" s="15" t="s">
        <v>50</v>
      </c>
      <c r="B31" s="89">
        <v>413.46000000000004</v>
      </c>
      <c r="C31" s="58">
        <v>362.5</v>
      </c>
      <c r="D31" s="58">
        <v>208.00200000000001</v>
      </c>
      <c r="E31" s="50" t="s">
        <v>76</v>
      </c>
      <c r="F31" s="58">
        <v>405.06000000000006</v>
      </c>
      <c r="G31" s="58">
        <v>354</v>
      </c>
      <c r="H31" s="47"/>
      <c r="I31" s="61"/>
    </row>
    <row r="32" spans="1:13" ht="13.8">
      <c r="A32" s="15" t="s">
        <v>51</v>
      </c>
      <c r="B32" s="89">
        <v>443.15</v>
      </c>
      <c r="C32" s="58">
        <v>347.5</v>
      </c>
      <c r="D32" s="58">
        <v>159.16749999999999</v>
      </c>
      <c r="E32" s="50" t="s">
        <v>76</v>
      </c>
      <c r="F32" s="58">
        <v>432.1</v>
      </c>
      <c r="G32" s="58">
        <v>335</v>
      </c>
      <c r="H32" s="47"/>
      <c r="I32" s="61"/>
    </row>
    <row r="33" spans="1:10" ht="13.8">
      <c r="A33" s="15" t="s">
        <v>52</v>
      </c>
      <c r="B33" s="89">
        <v>438.8</v>
      </c>
      <c r="C33" s="58">
        <v>348.33</v>
      </c>
      <c r="D33" s="58">
        <v>185</v>
      </c>
      <c r="E33" s="50" t="s">
        <v>76</v>
      </c>
      <c r="F33" s="58">
        <v>412.9</v>
      </c>
      <c r="G33" s="58">
        <v>321.25</v>
      </c>
      <c r="H33" s="47"/>
      <c r="I33" s="61"/>
    </row>
    <row r="34" spans="1:10" ht="13.8">
      <c r="A34" s="15" t="s">
        <v>38</v>
      </c>
      <c r="B34" s="89">
        <v>411.07</v>
      </c>
      <c r="C34" s="58">
        <v>343.75</v>
      </c>
      <c r="D34" s="58">
        <v>202</v>
      </c>
      <c r="E34" s="50" t="s">
        <v>76</v>
      </c>
      <c r="F34" s="58">
        <v>393.26</v>
      </c>
      <c r="G34" s="58">
        <v>318</v>
      </c>
      <c r="H34" s="47"/>
      <c r="I34" s="61"/>
    </row>
    <row r="35" spans="1:10" ht="13.8">
      <c r="A35" s="15"/>
      <c r="B35" s="89"/>
      <c r="C35" s="58"/>
      <c r="D35" s="58"/>
      <c r="E35" s="50"/>
      <c r="F35" s="58"/>
      <c r="G35" s="58"/>
      <c r="H35" s="47"/>
      <c r="I35" s="61"/>
    </row>
    <row r="36" spans="1:10" ht="13.8">
      <c r="A36" s="30" t="s">
        <v>54</v>
      </c>
      <c r="B36" s="89"/>
      <c r="C36" s="58"/>
      <c r="D36" s="58"/>
      <c r="E36" s="50"/>
      <c r="F36" s="58"/>
      <c r="G36" s="58"/>
      <c r="H36" s="47"/>
      <c r="I36" s="61"/>
    </row>
    <row r="37" spans="1:10" ht="13.8">
      <c r="A37" s="15" t="s">
        <v>39</v>
      </c>
      <c r="B37" s="89">
        <v>416.16</v>
      </c>
      <c r="C37" s="58">
        <v>348.75</v>
      </c>
      <c r="D37" s="58">
        <v>229.16500000000002</v>
      </c>
      <c r="E37" s="50" t="s">
        <v>76</v>
      </c>
      <c r="F37" s="58">
        <v>407.1</v>
      </c>
      <c r="G37" s="58">
        <v>325</v>
      </c>
      <c r="H37" s="47"/>
      <c r="I37" s="61"/>
    </row>
    <row r="38" spans="1:10" ht="13.8">
      <c r="A38" s="15" t="s">
        <v>40</v>
      </c>
      <c r="B38" s="89">
        <v>464.27</v>
      </c>
      <c r="C38" s="58">
        <v>350</v>
      </c>
      <c r="D38" s="58">
        <v>266.67</v>
      </c>
      <c r="E38" s="50" t="s">
        <v>76</v>
      </c>
      <c r="F38" s="58">
        <v>441.77</v>
      </c>
      <c r="G38" s="89">
        <v>348.33</v>
      </c>
      <c r="H38" s="47"/>
      <c r="I38" s="61"/>
    </row>
    <row r="39" spans="1:10" ht="13.8">
      <c r="A39" s="15" t="s">
        <v>42</v>
      </c>
      <c r="B39" s="89">
        <v>440.6</v>
      </c>
      <c r="C39" s="58">
        <v>358.75</v>
      </c>
      <c r="D39" s="58">
        <v>270</v>
      </c>
      <c r="E39" s="50" t="s">
        <v>76</v>
      </c>
      <c r="F39" s="58">
        <v>395.04999999999995</v>
      </c>
      <c r="G39" s="89">
        <v>365</v>
      </c>
      <c r="H39" s="47"/>
      <c r="I39" s="61"/>
    </row>
    <row r="40" spans="1:10" ht="13.8">
      <c r="A40" s="15" t="s">
        <v>43</v>
      </c>
      <c r="B40" s="89">
        <v>378.4</v>
      </c>
      <c r="C40" s="58">
        <v>352.5</v>
      </c>
      <c r="D40" s="58">
        <v>270</v>
      </c>
      <c r="E40" s="50" t="s">
        <v>76</v>
      </c>
      <c r="F40" s="58">
        <v>349.3</v>
      </c>
      <c r="G40" s="89">
        <v>365</v>
      </c>
      <c r="H40" s="47"/>
      <c r="I40" s="61"/>
    </row>
    <row r="41" spans="1:10" ht="13.8">
      <c r="A41" s="15" t="s">
        <v>44</v>
      </c>
      <c r="B41" s="89">
        <v>363.625</v>
      </c>
      <c r="C41" s="58">
        <v>355</v>
      </c>
      <c r="D41" s="58">
        <v>210</v>
      </c>
      <c r="E41" s="50" t="s">
        <v>76</v>
      </c>
      <c r="F41" s="58">
        <v>357.75</v>
      </c>
      <c r="G41" s="89" t="s">
        <v>76</v>
      </c>
      <c r="H41" s="47"/>
      <c r="I41" s="61"/>
    </row>
    <row r="42" spans="1:10" ht="13.8">
      <c r="A42" s="15" t="s">
        <v>46</v>
      </c>
      <c r="B42" s="89">
        <v>361.75</v>
      </c>
      <c r="C42" s="58">
        <v>343.33</v>
      </c>
      <c r="D42" s="58">
        <v>140</v>
      </c>
      <c r="E42" s="50" t="s">
        <v>76</v>
      </c>
      <c r="F42" s="58">
        <v>348.76</v>
      </c>
      <c r="G42" s="89">
        <v>331</v>
      </c>
      <c r="H42" s="47"/>
      <c r="I42" s="61"/>
    </row>
    <row r="43" spans="1:10" ht="13.8">
      <c r="A43" s="15" t="s">
        <v>47</v>
      </c>
      <c r="B43" s="89">
        <v>357.67500000000001</v>
      </c>
      <c r="C43" s="58">
        <v>333.75</v>
      </c>
      <c r="D43" s="58">
        <v>142.5</v>
      </c>
      <c r="E43" s="50" t="s">
        <v>76</v>
      </c>
      <c r="F43" s="58">
        <v>357.17500000000001</v>
      </c>
      <c r="G43" s="89">
        <v>292.5</v>
      </c>
      <c r="H43" s="47"/>
      <c r="I43" s="61"/>
    </row>
    <row r="44" spans="1:10" ht="13.8">
      <c r="A44" s="15" t="s">
        <v>48</v>
      </c>
      <c r="B44" s="89">
        <v>388.65</v>
      </c>
      <c r="C44" s="58">
        <v>330</v>
      </c>
      <c r="D44" s="58">
        <v>170</v>
      </c>
      <c r="E44" s="50" t="s">
        <v>76</v>
      </c>
      <c r="F44" s="58">
        <v>411.82</v>
      </c>
      <c r="G44" s="89">
        <v>259</v>
      </c>
      <c r="H44" s="47"/>
      <c r="I44" s="61"/>
    </row>
    <row r="45" spans="1:10" ht="13.8">
      <c r="A45" s="15" t="s">
        <v>50</v>
      </c>
      <c r="B45" s="89">
        <v>384.1</v>
      </c>
      <c r="C45" s="58" t="s">
        <v>76</v>
      </c>
      <c r="D45" s="58">
        <v>166.25</v>
      </c>
      <c r="E45" s="50" t="s">
        <v>76</v>
      </c>
      <c r="F45" s="58">
        <v>416.6</v>
      </c>
      <c r="G45" s="89">
        <v>253.54249999999999</v>
      </c>
      <c r="H45" s="47"/>
      <c r="I45" s="61"/>
    </row>
    <row r="46" spans="1:10" ht="13.8">
      <c r="A46" s="15" t="s">
        <v>51</v>
      </c>
      <c r="B46" s="89">
        <v>364.3</v>
      </c>
      <c r="C46" s="58">
        <v>335</v>
      </c>
      <c r="D46" s="58">
        <v>155</v>
      </c>
      <c r="E46" s="50" t="s">
        <v>76</v>
      </c>
      <c r="F46" s="58">
        <v>387.87</v>
      </c>
      <c r="G46" s="89">
        <v>250.833</v>
      </c>
      <c r="H46" s="47"/>
      <c r="I46" s="61"/>
    </row>
    <row r="47" spans="1:10" ht="16.2">
      <c r="A47" s="79" t="s">
        <v>150</v>
      </c>
      <c r="B47" s="114"/>
      <c r="C47" s="114"/>
      <c r="D47" s="114"/>
      <c r="E47" s="114"/>
      <c r="F47" s="114"/>
      <c r="G47" s="114"/>
      <c r="I47" s="64"/>
    </row>
    <row r="48" spans="1:10" ht="16.2">
      <c r="A48" s="40" t="s">
        <v>151</v>
      </c>
      <c r="B48" s="66"/>
      <c r="C48" s="66"/>
      <c r="D48" s="66"/>
      <c r="E48" s="66"/>
      <c r="F48" s="66"/>
      <c r="G48" s="66"/>
      <c r="I48" s="64"/>
      <c r="J48" s="64"/>
    </row>
    <row r="49" spans="1:10" ht="14.4">
      <c r="A49" s="15" t="s">
        <v>152</v>
      </c>
      <c r="B49" s="15"/>
      <c r="C49" s="15"/>
      <c r="D49" s="15"/>
      <c r="E49" s="15"/>
      <c r="F49" s="66"/>
      <c r="G49" s="66"/>
      <c r="I49" s="64"/>
      <c r="J49" s="64"/>
    </row>
    <row r="50" spans="1:10" ht="13.8">
      <c r="A50" s="20" t="s">
        <v>57</v>
      </c>
      <c r="B50" s="36">
        <f>Contents!A16</f>
        <v>45518</v>
      </c>
      <c r="C50" s="15"/>
      <c r="D50" s="15"/>
      <c r="E50" s="15"/>
      <c r="F50" s="66"/>
      <c r="G50" s="66"/>
      <c r="I50" s="67"/>
      <c r="J50" s="67"/>
    </row>
    <row r="51" spans="1:10" ht="13.8">
      <c r="F51" s="66"/>
      <c r="G51" s="66"/>
      <c r="I51" s="67"/>
      <c r="J51" s="67"/>
    </row>
    <row r="52" spans="1:10" ht="13.8">
      <c r="B52" s="93"/>
      <c r="F52" s="66"/>
      <c r="G52" s="66"/>
      <c r="I52" s="64"/>
      <c r="J52" s="64"/>
    </row>
    <row r="53" spans="1:10">
      <c r="B53" s="93"/>
      <c r="I53" s="64"/>
      <c r="J53" s="64"/>
    </row>
    <row r="54" spans="1:10">
      <c r="I54" s="64"/>
      <c r="J54" s="64"/>
    </row>
    <row r="55" spans="1:10">
      <c r="B55" s="91"/>
      <c r="I55" s="64"/>
      <c r="J55" s="64"/>
    </row>
    <row r="56" spans="1:10">
      <c r="I56" s="64"/>
      <c r="J56" s="64"/>
    </row>
    <row r="57" spans="1:10">
      <c r="I57" s="64"/>
      <c r="J57" s="64"/>
    </row>
    <row r="59" spans="1:10">
      <c r="I59" s="68"/>
      <c r="J59" s="68"/>
    </row>
    <row r="60" spans="1:10">
      <c r="I60" s="68"/>
      <c r="J60" s="68"/>
    </row>
  </sheetData>
  <phoneticPr fontId="49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D3B85-B9F2-439A-91EA-A71106E0AE31}">
  <dimension ref="A1:G112"/>
  <sheetViews>
    <sheetView zoomScale="90" zoomScaleNormal="90" workbookViewId="0"/>
  </sheetViews>
  <sheetFormatPr defaultColWidth="9.109375" defaultRowHeight="13.8"/>
  <cols>
    <col min="1" max="1" width="11.44140625" style="145" bestFit="1" customWidth="1"/>
    <col min="2" max="7" width="8.44140625" style="145" bestFit="1" customWidth="1"/>
    <col min="8" max="16384" width="9.109375" style="145"/>
  </cols>
  <sheetData>
    <row r="1" spans="1:7" ht="34.5" customHeight="1">
      <c r="A1" s="143" t="s">
        <v>160</v>
      </c>
      <c r="B1" s="143" t="s">
        <v>117</v>
      </c>
      <c r="C1" s="143" t="s">
        <v>118</v>
      </c>
      <c r="D1" s="143" t="s">
        <v>34</v>
      </c>
      <c r="E1" s="143" t="s">
        <v>37</v>
      </c>
      <c r="F1" s="143" t="s">
        <v>54</v>
      </c>
      <c r="G1" s="143" t="s">
        <v>177</v>
      </c>
    </row>
    <row r="2" spans="1:7">
      <c r="A2" s="145" t="s">
        <v>161</v>
      </c>
      <c r="B2" s="145">
        <v>54</v>
      </c>
      <c r="C2" s="145">
        <v>70</v>
      </c>
      <c r="D2" s="145">
        <v>60</v>
      </c>
      <c r="E2" s="145">
        <v>65</v>
      </c>
      <c r="F2" s="145">
        <v>51</v>
      </c>
      <c r="G2" s="145">
        <v>67</v>
      </c>
    </row>
    <row r="3" spans="1:7">
      <c r="A3" s="145" t="s">
        <v>162</v>
      </c>
      <c r="B3" s="145">
        <v>54</v>
      </c>
      <c r="C3" s="145">
        <v>71</v>
      </c>
      <c r="D3" s="145">
        <v>59</v>
      </c>
      <c r="E3" s="145">
        <v>63</v>
      </c>
      <c r="F3" s="145">
        <v>50</v>
      </c>
      <c r="G3" s="145">
        <v>67</v>
      </c>
    </row>
    <row r="4" spans="1:7">
      <c r="A4" s="145" t="s">
        <v>163</v>
      </c>
      <c r="B4" s="145">
        <v>53</v>
      </c>
      <c r="C4" s="145">
        <v>71</v>
      </c>
      <c r="D4" s="145">
        <v>59</v>
      </c>
      <c r="E4" s="145">
        <v>62</v>
      </c>
      <c r="F4" s="145">
        <v>51</v>
      </c>
      <c r="G4" s="145">
        <v>68</v>
      </c>
    </row>
    <row r="5" spans="1:7">
      <c r="A5" s="145" t="s">
        <v>164</v>
      </c>
      <c r="B5" s="145">
        <v>54</v>
      </c>
      <c r="C5" s="145">
        <v>68</v>
      </c>
      <c r="D5" s="145">
        <v>60</v>
      </c>
      <c r="E5" s="145">
        <v>61</v>
      </c>
      <c r="F5" s="145">
        <v>55</v>
      </c>
      <c r="G5" s="145">
        <v>68</v>
      </c>
    </row>
    <row r="6" spans="1:7">
      <c r="A6" s="145" t="s">
        <v>165</v>
      </c>
      <c r="B6" s="145">
        <v>54</v>
      </c>
      <c r="C6" s="145">
        <v>69</v>
      </c>
      <c r="D6" s="145">
        <v>58</v>
      </c>
      <c r="E6" s="145">
        <v>59</v>
      </c>
      <c r="F6" s="145">
        <v>54</v>
      </c>
      <c r="G6" s="145">
        <v>68</v>
      </c>
    </row>
    <row r="7" spans="1:7">
      <c r="A7" s="145" t="s">
        <v>166</v>
      </c>
      <c r="B7" s="145">
        <v>54</v>
      </c>
      <c r="C7" s="145">
        <v>72</v>
      </c>
      <c r="D7" s="145">
        <v>60</v>
      </c>
      <c r="E7" s="145">
        <v>60</v>
      </c>
      <c r="F7" s="145">
        <v>52</v>
      </c>
      <c r="G7" s="145">
        <v>67</v>
      </c>
    </row>
    <row r="8" spans="1:7">
      <c r="A8" s="145" t="s">
        <v>167</v>
      </c>
      <c r="B8" s="145">
        <v>54</v>
      </c>
      <c r="C8" s="145">
        <v>73</v>
      </c>
      <c r="D8" s="145">
        <v>60</v>
      </c>
      <c r="E8" s="145">
        <v>59</v>
      </c>
      <c r="F8" s="145">
        <v>54</v>
      </c>
      <c r="G8" s="145">
        <v>68</v>
      </c>
    </row>
    <row r="9" spans="1:7">
      <c r="A9" s="145" t="s">
        <v>168</v>
      </c>
      <c r="B9" s="145">
        <v>54</v>
      </c>
      <c r="C9" s="145">
        <v>74</v>
      </c>
      <c r="D9" s="145">
        <v>57</v>
      </c>
      <c r="E9" s="145">
        <v>58</v>
      </c>
      <c r="F9" s="145">
        <v>59</v>
      </c>
    </row>
    <row r="10" spans="1:7">
      <c r="A10" s="145" t="s">
        <v>169</v>
      </c>
      <c r="B10" s="145">
        <v>53</v>
      </c>
      <c r="C10" s="145">
        <v>72</v>
      </c>
      <c r="D10" s="145">
        <v>56</v>
      </c>
      <c r="E10" s="145">
        <v>57</v>
      </c>
      <c r="F10" s="145">
        <v>59</v>
      </c>
    </row>
    <row r="11" spans="1:7">
      <c r="A11" s="145" t="s">
        <v>170</v>
      </c>
      <c r="B11" s="145">
        <v>55</v>
      </c>
      <c r="C11" s="145">
        <v>69</v>
      </c>
      <c r="D11" s="145">
        <v>56</v>
      </c>
      <c r="E11" s="145">
        <v>57</v>
      </c>
      <c r="F11" s="145">
        <v>58</v>
      </c>
    </row>
    <row r="12" spans="1:7">
      <c r="A12" s="145" t="s">
        <v>171</v>
      </c>
      <c r="B12" s="145">
        <v>55</v>
      </c>
      <c r="C12" s="145">
        <v>66</v>
      </c>
      <c r="D12" s="145">
        <v>57</v>
      </c>
      <c r="E12" s="145">
        <v>57</v>
      </c>
      <c r="F12" s="145">
        <v>53</v>
      </c>
    </row>
    <row r="13" spans="1:7">
      <c r="A13" s="145" t="s">
        <v>172</v>
      </c>
      <c r="B13" s="145">
        <v>55</v>
      </c>
      <c r="C13" s="145">
        <v>65</v>
      </c>
      <c r="D13" s="145">
        <v>57</v>
      </c>
      <c r="E13" s="145">
        <v>56</v>
      </c>
      <c r="F13" s="145">
        <v>52</v>
      </c>
    </row>
    <row r="14" spans="1:7">
      <c r="A14" s="145" t="s">
        <v>173</v>
      </c>
      <c r="B14" s="145">
        <v>54</v>
      </c>
      <c r="C14" s="145">
        <v>63</v>
      </c>
      <c r="D14" s="145">
        <v>58</v>
      </c>
      <c r="E14" s="145">
        <v>55</v>
      </c>
      <c r="F14" s="145">
        <v>52</v>
      </c>
    </row>
    <row r="15" spans="1:7">
      <c r="A15" s="145" t="s">
        <v>174</v>
      </c>
      <c r="B15" s="145">
        <v>54</v>
      </c>
      <c r="C15" s="145">
        <v>63</v>
      </c>
      <c r="D15" s="145">
        <v>58</v>
      </c>
      <c r="E15" s="145">
        <v>55</v>
      </c>
      <c r="F15" s="145">
        <v>50</v>
      </c>
    </row>
    <row r="16" spans="1:7">
      <c r="A16" s="145" t="s">
        <v>175</v>
      </c>
      <c r="B16" s="145">
        <v>55</v>
      </c>
      <c r="C16" s="145">
        <v>64</v>
      </c>
      <c r="D16" s="145">
        <v>58</v>
      </c>
      <c r="E16" s="145">
        <v>55</v>
      </c>
      <c r="F16" s="145">
        <v>52</v>
      </c>
    </row>
    <row r="17" spans="1:6">
      <c r="A17" s="145" t="s">
        <v>176</v>
      </c>
      <c r="B17" s="145">
        <v>53</v>
      </c>
      <c r="C17" s="145">
        <v>64</v>
      </c>
      <c r="D17" s="145">
        <v>59</v>
      </c>
      <c r="E17" s="145">
        <v>57</v>
      </c>
      <c r="F17" s="145">
        <v>51</v>
      </c>
    </row>
    <row r="18" spans="1:6">
      <c r="F18" s="121"/>
    </row>
    <row r="19" spans="1:6">
      <c r="F19" s="121"/>
    </row>
    <row r="20" spans="1:6">
      <c r="F20" s="121"/>
    </row>
    <row r="21" spans="1:6">
      <c r="F21" s="121"/>
    </row>
    <row r="22" spans="1:6">
      <c r="F22" s="121"/>
    </row>
    <row r="23" spans="1:6">
      <c r="F23" s="121"/>
    </row>
    <row r="24" spans="1:6">
      <c r="F24" s="121"/>
    </row>
    <row r="25" spans="1:6">
      <c r="F25" s="121"/>
    </row>
    <row r="26" spans="1:6">
      <c r="F26" s="121"/>
    </row>
    <row r="27" spans="1:6">
      <c r="F27" s="121"/>
    </row>
    <row r="28" spans="1:6">
      <c r="F28" s="121"/>
    </row>
    <row r="29" spans="1:6">
      <c r="F29" s="121"/>
    </row>
    <row r="30" spans="1:6">
      <c r="F30" s="121"/>
    </row>
    <row r="31" spans="1:6">
      <c r="F31" s="121"/>
    </row>
    <row r="32" spans="1:6">
      <c r="F32" s="121"/>
    </row>
    <row r="33" spans="6:6">
      <c r="F33" s="121"/>
    </row>
    <row r="34" spans="6:6">
      <c r="F34" s="121"/>
    </row>
    <row r="35" spans="6:6">
      <c r="F35" s="121"/>
    </row>
    <row r="36" spans="6:6">
      <c r="F36" s="121"/>
    </row>
    <row r="37" spans="6:6">
      <c r="F37" s="121"/>
    </row>
    <row r="38" spans="6:6">
      <c r="F38" s="121"/>
    </row>
    <row r="39" spans="6:6">
      <c r="F39" s="121"/>
    </row>
    <row r="40" spans="6:6">
      <c r="F40" s="121"/>
    </row>
    <row r="41" spans="6:6">
      <c r="F41" s="121"/>
    </row>
    <row r="42" spans="6:6">
      <c r="F42" s="121"/>
    </row>
    <row r="43" spans="6:6">
      <c r="F43" s="121"/>
    </row>
    <row r="44" spans="6:6">
      <c r="F44" s="121"/>
    </row>
    <row r="45" spans="6:6">
      <c r="F45" s="121"/>
    </row>
    <row r="46" spans="6:6">
      <c r="F46" s="121"/>
    </row>
    <row r="47" spans="6:6">
      <c r="F47" s="121"/>
    </row>
    <row r="48" spans="6:6">
      <c r="F48" s="121"/>
    </row>
    <row r="49" spans="6:6">
      <c r="F49" s="121"/>
    </row>
    <row r="50" spans="6:6">
      <c r="F50" s="121"/>
    </row>
    <row r="51" spans="6:6">
      <c r="F51" s="121"/>
    </row>
    <row r="52" spans="6:6">
      <c r="F52" s="121"/>
    </row>
    <row r="53" spans="6:6">
      <c r="F53" s="121"/>
    </row>
    <row r="54" spans="6:6">
      <c r="F54" s="121"/>
    </row>
    <row r="55" spans="6:6">
      <c r="F55" s="121"/>
    </row>
    <row r="56" spans="6:6">
      <c r="F56" s="121"/>
    </row>
    <row r="57" spans="6:6">
      <c r="F57" s="121"/>
    </row>
    <row r="58" spans="6:6">
      <c r="F58" s="121"/>
    </row>
    <row r="59" spans="6:6">
      <c r="F59" s="121"/>
    </row>
    <row r="60" spans="6:6">
      <c r="F60" s="121"/>
    </row>
    <row r="61" spans="6:6">
      <c r="F61" s="121"/>
    </row>
    <row r="62" spans="6:6">
      <c r="F62" s="121"/>
    </row>
    <row r="63" spans="6:6">
      <c r="F63" s="121"/>
    </row>
    <row r="64" spans="6:6">
      <c r="F64" s="121"/>
    </row>
    <row r="65" spans="6:6">
      <c r="F65" s="121"/>
    </row>
    <row r="66" spans="6:6">
      <c r="F66" s="121"/>
    </row>
    <row r="67" spans="6:6">
      <c r="F67" s="121"/>
    </row>
    <row r="68" spans="6:6">
      <c r="F68" s="121"/>
    </row>
    <row r="69" spans="6:6">
      <c r="F69" s="121"/>
    </row>
    <row r="70" spans="6:6">
      <c r="F70" s="121"/>
    </row>
    <row r="71" spans="6:6">
      <c r="F71" s="121"/>
    </row>
    <row r="72" spans="6:6">
      <c r="F72" s="121"/>
    </row>
    <row r="73" spans="6:6">
      <c r="F73" s="121"/>
    </row>
    <row r="74" spans="6:6">
      <c r="F74" s="121"/>
    </row>
    <row r="75" spans="6:6">
      <c r="F75" s="121"/>
    </row>
    <row r="76" spans="6:6">
      <c r="F76" s="121"/>
    </row>
    <row r="77" spans="6:6">
      <c r="F77" s="121"/>
    </row>
    <row r="78" spans="6:6">
      <c r="F78" s="121"/>
    </row>
    <row r="79" spans="6:6">
      <c r="F79" s="121"/>
    </row>
    <row r="80" spans="6:6">
      <c r="F80" s="121"/>
    </row>
    <row r="81" spans="6:6">
      <c r="F81" s="121"/>
    </row>
    <row r="82" spans="6:6">
      <c r="F82" s="121"/>
    </row>
    <row r="83" spans="6:6">
      <c r="F83" s="121"/>
    </row>
    <row r="84" spans="6:6">
      <c r="F84" s="121"/>
    </row>
    <row r="85" spans="6:6">
      <c r="F85" s="121"/>
    </row>
    <row r="86" spans="6:6">
      <c r="F86" s="121"/>
    </row>
    <row r="87" spans="6:6">
      <c r="F87" s="121"/>
    </row>
    <row r="88" spans="6:6">
      <c r="F88" s="121"/>
    </row>
    <row r="89" spans="6:6">
      <c r="F89" s="121"/>
    </row>
    <row r="90" spans="6:6">
      <c r="F90" s="121"/>
    </row>
    <row r="91" spans="6:6">
      <c r="F91" s="121"/>
    </row>
    <row r="92" spans="6:6">
      <c r="F92" s="121"/>
    </row>
    <row r="93" spans="6:6">
      <c r="F93" s="121"/>
    </row>
    <row r="94" spans="6:6">
      <c r="F94" s="121"/>
    </row>
    <row r="95" spans="6:6">
      <c r="F95" s="121"/>
    </row>
    <row r="96" spans="6:6">
      <c r="F96" s="121"/>
    </row>
    <row r="97" spans="6:6">
      <c r="F97" s="121"/>
    </row>
    <row r="98" spans="6:6">
      <c r="F98" s="121"/>
    </row>
    <row r="99" spans="6:6">
      <c r="F99" s="121"/>
    </row>
    <row r="100" spans="6:6">
      <c r="F100" s="121"/>
    </row>
    <row r="101" spans="6:6">
      <c r="F101" s="121"/>
    </row>
    <row r="102" spans="6:6">
      <c r="F102" s="121"/>
    </row>
    <row r="103" spans="6:6">
      <c r="F103" s="121"/>
    </row>
    <row r="104" spans="6:6">
      <c r="F104" s="121"/>
    </row>
    <row r="105" spans="6:6">
      <c r="F105" s="121"/>
    </row>
    <row r="106" spans="6:6">
      <c r="F106" s="121"/>
    </row>
    <row r="107" spans="6:6">
      <c r="F107" s="121"/>
    </row>
    <row r="108" spans="6:6">
      <c r="F108" s="121"/>
    </row>
    <row r="109" spans="6:6">
      <c r="F109" s="121"/>
    </row>
    <row r="110" spans="6:6">
      <c r="F110" s="121"/>
    </row>
    <row r="111" spans="6:6">
      <c r="F111" s="121"/>
    </row>
    <row r="112" spans="6:6">
      <c r="F112" s="121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de858-f9fd-4eb6-bcba-50396646711f">
      <Terms xmlns="http://schemas.microsoft.com/office/infopath/2007/PartnerControls"/>
    </lcf76f155ced4ddcb4097134ff3c332f>
    <TaxCatchAll xmlns="7818c5c2-d41f-4dce-801c-4e3595afcb3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12" ma:contentTypeDescription="Create a new document." ma:contentTypeScope="" ma:versionID="cb5f466491d3170dcd4fd8cc8c25017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32e2056b16ca771c788fa86ed726e67d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d09ff-db43-4d3e-9bf9-c84f74fa65c9}" ma:internalName="TaxCatchAll" ma:showField="CatchAllData" ma:web="7818c5c2-d41f-4dce-801c-4e3595afc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F9FD27-698A-4259-BC06-6D4A65A05AE8}">
  <ds:schemaRefs>
    <ds:schemaRef ds:uri="http://schemas.microsoft.com/office/2006/documentManagement/types"/>
    <ds:schemaRef ds:uri="http://www.w3.org/XML/1998/namespace"/>
    <ds:schemaRef ds:uri="c49de858-f9fd-4eb6-bcba-50396646711f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7818c5c2-d41f-4dce-801c-4e3595afcb3f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71272CC-18D3-4CD6-8D61-867EDCEBF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Maria Bukowski; Bryn Swearingen</dc:creator>
  <cp:keywords>oil crops, outlook, soybeans, soybean meal, soybean oil, cottonseed, sunflowerseed, sunflowerseed oil, peanuts, canola, canola oil, supply, disappearance, prices</cp:keywords>
  <dc:description/>
  <cp:lastModifiedBy>Maria Bukowski</cp:lastModifiedBy>
  <cp:revision/>
  <dcterms:created xsi:type="dcterms:W3CDTF">2001-11-13T16:22:15Z</dcterms:created>
  <dcterms:modified xsi:type="dcterms:W3CDTF">2024-08-14T12:34:29Z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  <property fmtid="{D5CDD505-2E9C-101B-9397-08002B2CF9AE}" pid="3" name="MediaServiceImageTags">
    <vt:lpwstr/>
  </property>
</Properties>
</file>