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E May 2023/"/>
    </mc:Choice>
  </mc:AlternateContent>
  <xr:revisionPtr revIDLastSave="475" documentId="13_ncr:1_{03C732F9-66D6-4CB8-9D4C-9BC0FD2EC223}" xr6:coauthVersionLast="47" xr6:coauthVersionMax="47" xr10:uidLastSave="{E59E782A-00F4-4803-95AF-7BFD4612E099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28" r:id="rId9"/>
    <sheet name="Figure 2" sheetId="130" r:id="rId10"/>
    <sheet name="Figure 3" sheetId="129" r:id="rId11"/>
    <sheet name="Figure 4" sheetId="125" r:id="rId12"/>
    <sheet name="Figure 5" sheetId="131" r:id="rId13"/>
    <sheet name="Figure 6" sheetId="133" r:id="rId14"/>
    <sheet name="Figure 7" sheetId="127" r:id="rId15"/>
  </sheets>
  <definedNames>
    <definedName name="_xlnm.Print_Area" localSheetId="1">'Table 1'!$A$1:$N$41</definedName>
    <definedName name="_xlnm.Print_Area" localSheetId="7">'Table 10'!$A$1:$G$44</definedName>
    <definedName name="_xlnm.Print_Area" localSheetId="2">'Table 2'!$A$1:$J$33</definedName>
    <definedName name="_xlnm.Print_Area" localSheetId="3">'Table 3'!$A$1:$L$46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9" l="1"/>
  <c r="D31" i="2"/>
  <c r="J31" i="9" l="1"/>
  <c r="H31" i="2"/>
  <c r="G38" i="1" l="1"/>
  <c r="L38" i="1" l="1"/>
  <c r="L6" i="1" l="1"/>
  <c r="J38" i="1" l="1"/>
  <c r="E46" i="3"/>
  <c r="H46" i="3" s="1"/>
  <c r="N46" i="3" s="1"/>
  <c r="L46" i="3" s="1"/>
  <c r="D46" i="3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2"/>
  <c r="E8" i="2" s="1"/>
  <c r="I8" i="2" s="1"/>
  <c r="E8" i="1"/>
  <c r="H8" i="1" s="1"/>
  <c r="M8" i="1" s="1"/>
  <c r="K8" i="1" s="1"/>
  <c r="E7" i="1"/>
  <c r="D8" i="1"/>
  <c r="E8" i="9" l="1"/>
  <c r="K8" i="9" s="1"/>
  <c r="G8" i="9" s="1"/>
  <c r="I8" i="9" s="1"/>
  <c r="B8" i="9"/>
  <c r="B11" i="9"/>
  <c r="B11" i="2"/>
  <c r="E14" i="1"/>
  <c r="B31" i="9" l="1"/>
  <c r="E31" i="9" s="1"/>
  <c r="K31" i="9" s="1"/>
  <c r="G31" i="9" s="1"/>
  <c r="B31" i="2"/>
  <c r="E31" i="2" s="1"/>
  <c r="I31" i="2" s="1"/>
  <c r="G31" i="2" s="1"/>
  <c r="G27" i="1"/>
  <c r="D30" i="9" l="1"/>
  <c r="D30" i="2"/>
  <c r="J30" i="9" l="1"/>
  <c r="H30" i="2"/>
  <c r="G36" i="1" l="1"/>
  <c r="L36" i="1" l="1"/>
  <c r="N37" i="1" l="1"/>
  <c r="N33" i="1"/>
  <c r="E37" i="1" s="1"/>
  <c r="B30" i="9" l="1"/>
  <c r="E30" i="9" s="1"/>
  <c r="K30" i="9" s="1"/>
  <c r="G30" i="9" s="1"/>
  <c r="I30" i="9" s="1"/>
  <c r="B30" i="2"/>
  <c r="E30" i="2" s="1"/>
  <c r="I30" i="2" s="1"/>
  <c r="G30" i="2" s="1"/>
  <c r="J36" i="1"/>
  <c r="J29" i="9" l="1"/>
  <c r="D29" i="9"/>
  <c r="H29" i="2"/>
  <c r="D29" i="2"/>
  <c r="G35" i="1"/>
  <c r="L35" i="1"/>
  <c r="J35" i="1"/>
  <c r="J34" i="1"/>
  <c r="J37" i="1" s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G29" i="9" l="1"/>
  <c r="I29" i="9" s="1"/>
  <c r="G34" i="1"/>
  <c r="G37" i="1" s="1"/>
  <c r="H37" i="1" s="1"/>
  <c r="M37" i="1" s="1"/>
  <c r="D28" i="9"/>
  <c r="J28" i="9"/>
  <c r="H28" i="2"/>
  <c r="D28" i="2"/>
  <c r="L34" i="1"/>
  <c r="L37" i="1" s="1"/>
  <c r="K37" i="1" l="1"/>
  <c r="B28" i="9"/>
  <c r="E28" i="9" s="1"/>
  <c r="K28" i="9" s="1"/>
  <c r="G28" i="9" s="1"/>
  <c r="I28" i="9" s="1"/>
  <c r="B28" i="2"/>
  <c r="E28" i="2" s="1"/>
  <c r="I28" i="2" s="1"/>
  <c r="G28" i="2" s="1"/>
  <c r="N26" i="1"/>
  <c r="F33" i="1"/>
  <c r="D27" i="9" l="1"/>
  <c r="D27" i="2"/>
  <c r="J27" i="9" l="1"/>
  <c r="H27" i="2"/>
  <c r="G32" i="1" l="1"/>
  <c r="L32" i="1" l="1"/>
  <c r="B27" i="9" l="1"/>
  <c r="E27" i="9" s="1"/>
  <c r="K27" i="9" s="1"/>
  <c r="G27" i="9" s="1"/>
  <c r="I27" i="9" s="1"/>
  <c r="B27" i="2"/>
  <c r="E27" i="2" s="1"/>
  <c r="I27" i="2" s="1"/>
  <c r="G27" i="2" s="1"/>
  <c r="D26" i="9"/>
  <c r="J26" i="9"/>
  <c r="H26" i="2"/>
  <c r="D26" i="2"/>
  <c r="L31" i="1" l="1"/>
  <c r="G31" i="1"/>
  <c r="B26" i="9" l="1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H22" i="2"/>
  <c r="G30" i="1"/>
  <c r="G33" i="1" s="1"/>
  <c r="G39" i="1" s="1"/>
  <c r="L30" i="1"/>
  <c r="L33" i="1" s="1"/>
  <c r="L39" i="1" s="1"/>
  <c r="J22" i="9" l="1"/>
  <c r="D22" i="9"/>
  <c r="D22" i="2"/>
  <c r="E33" i="4" l="1"/>
  <c r="J33" i="1"/>
  <c r="J39" i="1" s="1"/>
  <c r="L6" i="9" l="1"/>
  <c r="J6" i="9"/>
  <c r="H23" i="9"/>
  <c r="D6" i="9"/>
  <c r="C23" i="9"/>
  <c r="B22" i="9"/>
  <c r="E22" i="9" s="1"/>
  <c r="K22" i="9" s="1"/>
  <c r="J6" i="2"/>
  <c r="B22" i="2"/>
  <c r="E22" i="2" s="1"/>
  <c r="I22" i="2" s="1"/>
  <c r="G22" i="2" s="1"/>
  <c r="C23" i="2"/>
  <c r="C6" i="2" s="1"/>
  <c r="C6" i="9" l="1"/>
  <c r="G22" i="9"/>
  <c r="I22" i="9" s="1"/>
  <c r="B46" i="6" l="1"/>
  <c r="B46" i="5"/>
  <c r="B45" i="4"/>
  <c r="B50" i="3"/>
  <c r="B34" i="9"/>
  <c r="B34" i="2"/>
  <c r="B42" i="1"/>
  <c r="D21" i="9" l="1"/>
  <c r="D21" i="2"/>
  <c r="G25" i="1" l="1"/>
  <c r="J21" i="9" l="1"/>
  <c r="H21" i="2"/>
  <c r="L25" i="1" l="1"/>
  <c r="F14" i="1" l="1"/>
  <c r="G33" i="4" l="1"/>
  <c r="F33" i="4"/>
  <c r="D33" i="4"/>
  <c r="C33" i="4"/>
  <c r="B33" i="4"/>
  <c r="E26" i="1"/>
  <c r="F27" i="1"/>
  <c r="E33" i="1"/>
  <c r="B21" i="2"/>
  <c r="E21" i="2" s="1"/>
  <c r="I21" i="2" s="1"/>
  <c r="G21" i="2" s="1"/>
  <c r="B21" i="9"/>
  <c r="E21" i="9" s="1"/>
  <c r="K21" i="9" s="1"/>
  <c r="H33" i="1" l="1"/>
  <c r="M33" i="1" s="1"/>
  <c r="F6" i="1"/>
  <c r="H27" i="1"/>
  <c r="N6" i="1"/>
  <c r="G21" i="9"/>
  <c r="J20" i="9"/>
  <c r="H20" i="2"/>
  <c r="K33" i="1" l="1"/>
  <c r="I21" i="9"/>
  <c r="D20" i="9"/>
  <c r="D20" i="2"/>
  <c r="G24" i="1" l="1"/>
  <c r="L24" i="1" l="1"/>
  <c r="B20" i="9" l="1"/>
  <c r="E20" i="9" s="1"/>
  <c r="K20" i="9" s="1"/>
  <c r="G20" i="9" s="1"/>
  <c r="I20" i="9" s="1"/>
  <c r="B20" i="2"/>
  <c r="E20" i="2" s="1"/>
  <c r="I20" i="2" s="1"/>
  <c r="G20" i="2" s="1"/>
  <c r="D45" i="3" l="1"/>
  <c r="H19" i="2" l="1"/>
  <c r="H18" i="2"/>
  <c r="H17" i="2"/>
  <c r="H16" i="2"/>
  <c r="H15" i="2"/>
  <c r="H14" i="2"/>
  <c r="H13" i="2"/>
  <c r="H12" i="2"/>
  <c r="H11" i="2"/>
  <c r="H6" i="2" s="1"/>
  <c r="D19" i="2"/>
  <c r="D18" i="2"/>
  <c r="D17" i="2"/>
  <c r="D16" i="2"/>
  <c r="D15" i="2"/>
  <c r="D14" i="2"/>
  <c r="D13" i="2"/>
  <c r="D12" i="2"/>
  <c r="D11" i="2"/>
  <c r="D6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H26" i="1" l="1"/>
  <c r="M26" i="1" s="1"/>
  <c r="J26" i="1"/>
  <c r="B19" i="9"/>
  <c r="E19" i="9" s="1"/>
  <c r="K19" i="9" s="1"/>
  <c r="G19" i="9" s="1"/>
  <c r="I19" i="9" s="1"/>
  <c r="B19" i="2"/>
  <c r="E19" i="2" s="1"/>
  <c r="I19" i="2" s="1"/>
  <c r="G19" i="2" s="1"/>
  <c r="K26" i="1" l="1"/>
  <c r="E22" i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N45" i="3" s="1"/>
  <c r="L45" i="3" s="1"/>
  <c r="B32" i="3"/>
  <c r="E32" i="3" s="1"/>
  <c r="I32" i="3" s="1"/>
  <c r="G32" i="3" s="1"/>
  <c r="B20" i="3"/>
  <c r="E20" i="3" s="1"/>
  <c r="B7" i="3"/>
  <c r="E7" i="3" s="1"/>
  <c r="J7" i="3" s="1"/>
  <c r="I7" i="3" s="1"/>
  <c r="B7" i="9"/>
  <c r="E7" i="9" s="1"/>
  <c r="K7" i="9" s="1"/>
  <c r="G7" i="9" s="1"/>
  <c r="I7" i="9" s="1"/>
  <c r="B7" i="2"/>
  <c r="E7" i="2" s="1"/>
  <c r="I7" i="2" s="1"/>
  <c r="D7" i="1"/>
  <c r="B16" i="9"/>
  <c r="B16" i="2"/>
  <c r="E16" i="2" s="1"/>
  <c r="I16" i="2" s="1"/>
  <c r="L22" i="1"/>
  <c r="J22" i="1"/>
  <c r="G22" i="1"/>
  <c r="H22" i="1" s="1"/>
  <c r="G20" i="3" l="1"/>
  <c r="I20" i="3" s="1"/>
  <c r="H7" i="1"/>
  <c r="M7" i="1" s="1"/>
  <c r="K7" i="1" s="1"/>
  <c r="M22" i="1"/>
  <c r="K22" i="1" s="1"/>
  <c r="E16" i="9"/>
  <c r="K16" i="9" s="1"/>
  <c r="G16" i="9" s="1"/>
  <c r="I16" i="9" s="1"/>
  <c r="G16" i="2"/>
  <c r="B15" i="9"/>
  <c r="B15" i="2"/>
  <c r="E18" i="1"/>
  <c r="E15" i="9" l="1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6" i="9" s="1"/>
  <c r="E11" i="2"/>
  <c r="I11" i="2" s="1"/>
  <c r="E23" i="2"/>
  <c r="E6" i="2" s="1"/>
  <c r="G11" i="9" l="1"/>
  <c r="K23" i="9"/>
  <c r="G11" i="2"/>
  <c r="G23" i="2" s="1"/>
  <c r="G6" i="2" s="1"/>
  <c r="I23" i="2"/>
  <c r="I6" i="2" s="1"/>
  <c r="L14" i="1"/>
  <c r="G14" i="1"/>
  <c r="I11" i="9" l="1"/>
  <c r="I23" i="9" s="1"/>
  <c r="G23" i="9"/>
  <c r="G6" i="1"/>
  <c r="H14" i="1"/>
  <c r="M14" i="1" s="1"/>
  <c r="M27" i="1" s="1"/>
  <c r="J11" i="1"/>
  <c r="J14" i="1" s="1"/>
  <c r="J27" i="1" l="1"/>
  <c r="J6" i="1" s="1"/>
  <c r="K14" i="1"/>
  <c r="K27" i="1" s="1"/>
  <c r="D44" i="3" l="1"/>
  <c r="D6" i="1"/>
  <c r="K6" i="9" l="1"/>
  <c r="G6" i="9" s="1"/>
  <c r="I6" i="9" s="1"/>
  <c r="E6" i="3" l="1"/>
  <c r="J6" i="3" s="1"/>
  <c r="I6" i="3" s="1"/>
  <c r="E19" i="3"/>
  <c r="G19" i="3" s="1"/>
  <c r="I19" i="3" s="1"/>
  <c r="H44" i="3"/>
  <c r="N44" i="3" s="1"/>
  <c r="L44" i="3" s="1"/>
  <c r="E31" i="3" l="1"/>
  <c r="I31" i="3" s="1"/>
  <c r="G31" i="3" s="1"/>
  <c r="H6" i="1" l="1"/>
  <c r="M6" i="1" s="1"/>
  <c r="K6" i="1" s="1"/>
</calcChain>
</file>

<file path=xl/sharedStrings.xml><?xml version="1.0" encoding="utf-8"?>
<sst xmlns="http://schemas.openxmlformats.org/spreadsheetml/2006/main" count="623" uniqueCount="226">
  <si>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</si>
  <si>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</si>
  <si>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</si>
  <si>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</si>
  <si>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</si>
  <si>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</si>
  <si>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</si>
  <si>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</si>
  <si>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</si>
  <si>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</si>
  <si>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</si>
  <si>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</si>
  <si>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</si>
  <si>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</si>
  <si>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</si>
  <si>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</si>
  <si>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</si>
  <si>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</si>
  <si>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</si>
  <si>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</si>
  <si>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</si>
  <si>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</si>
  <si>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</si>
  <si>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</si>
  <si>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</si>
  <si>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</si>
  <si>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</si>
  <si>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</si>
  <si>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</si>
  <si>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</si>
  <si>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</si>
  <si>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</si>
  <si>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</si>
  <si>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</si>
  <si>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</si>
  <si>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</si>
  <si>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</si>
  <si>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</si>
  <si>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</si>
  <si>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</si>
  <si>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</si>
  <si>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</si>
  <si>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</si>
  <si>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</si>
  <si>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</si>
  <si>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</si>
  <si>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</si>
  <si>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</si>
  <si>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</si>
  <si>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</si>
  <si>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</si>
  <si>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</si>
  <si>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</si>
  <si>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</si>
  <si>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</si>
  <si>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</si>
  <si>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</si>
  <si>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</si>
  <si>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</si>
  <si>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</si>
  <si>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</si>
  <si>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</si>
  <si>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</si>
  <si>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</si>
  <si>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</si>
  <si>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</si>
  <si>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</si>
  <si>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</si>
  <si>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</si>
  <si>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</si>
  <si>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</si>
  <si>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</si>
  <si>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</si>
  <si>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</si>
  <si>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</si>
  <si>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</si>
  <si>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</si>
  <si>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</si>
  <si>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</si>
  <si>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</si>
  <si>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</si>
  <si>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</si>
  <si>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</si>
  <si>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</si>
  <si>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</si>
  <si>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</si>
  <si>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</si>
  <si>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</si>
  <si>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</si>
  <si>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</si>
  <si>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</si>
  <si>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</si>
  <si>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</si>
  <si>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</si>
  <si>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</si>
  <si>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</si>
  <si>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</si>
  <si>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</si>
  <si>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</si>
  <si>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</si>
  <si>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</si>
  <si>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</si>
  <si>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</si>
  <si>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</si>
  <si>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</si>
  <si>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</si>
  <si>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</si>
  <si>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</si>
  <si>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</si>
  <si>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</si>
  <si>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</si>
  <si>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</si>
  <si>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</si>
  <si>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</si>
  <si>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</si>
  <si>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</si>
  <si>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</si>
  <si>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</si>
  <si>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</si>
  <si>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</si>
  <si>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</si>
  <si>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</si>
  <si>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</si>
  <si>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</si>
  <si>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</si>
  <si>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</si>
  <si>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</si>
  <si>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</si>
  <si>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</si>
  <si>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</si>
  <si>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</si>
  <si>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</si>
  <si>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</si>
  <si>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</si>
  <si>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</si>
  <si>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</si>
  <si>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</si>
  <si>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</si>
  <si>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</si>
  <si>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</si>
  <si>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</si>
  <si>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</si>
  <si>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</si>
  <si>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</si>
  <si>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</si>
  <si>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</si>
  <si>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</si>
  <si>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</si>
  <si>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Marketing year</t>
  </si>
  <si>
    <t>Date</t>
  </si>
  <si>
    <t>2023/24*</t>
  </si>
  <si>
    <t>May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</si>
  <si>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</si>
  <si>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</si>
  <si>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</si>
  <si>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</si>
  <si>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</si>
  <si>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</si>
  <si>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</si>
  <si>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</si>
  <si>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</si>
  <si>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Domestic disappearance</t>
  </si>
  <si>
    <t>Oct. 2021</t>
  </si>
  <si>
    <t>Nov. 2021</t>
  </si>
  <si>
    <t>Dec. 2021</t>
  </si>
  <si>
    <t>Jan. 2022</t>
  </si>
  <si>
    <t>Feb. 2022</t>
  </si>
  <si>
    <t>Mar. 2022</t>
  </si>
  <si>
    <t>Apr. 2022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</si>
  <si>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</si>
  <si>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</si>
  <si>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</si>
  <si>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</si>
  <si>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</si>
  <si>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</si>
  <si>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</si>
  <si>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 2021</t>
  </si>
  <si>
    <t>Jun. 2021</t>
  </si>
  <si>
    <t>Aug. 2021</t>
  </si>
  <si>
    <t>Sep. 2021</t>
  </si>
  <si>
    <t>Jul. 2021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</si>
  <si>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</si>
  <si>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</si>
  <si>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</si>
  <si>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</si>
  <si>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</si>
  <si>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Rest of the world</t>
  </si>
  <si>
    <r>
      <t>2023/24</t>
    </r>
    <r>
      <rPr>
        <vertAlign val="superscript"/>
        <sz val="11"/>
        <rFont val="Arial"/>
        <family val="2"/>
      </rPr>
      <t>2</t>
    </r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</si>
  <si>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</si>
  <si>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</si>
  <si>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7</t>
    </r>
  </si>
  <si>
    <t>Ending stocks</t>
  </si>
  <si>
    <t xml:space="preserve">Argentina                     </t>
  </si>
  <si>
    <t xml:space="preserve">Brazil                        </t>
  </si>
  <si>
    <t xml:space="preserve">United States                 </t>
  </si>
  <si>
    <t>World</t>
  </si>
  <si>
    <t>2022/23*</t>
  </si>
  <si>
    <t>Biofuel</t>
  </si>
  <si>
    <t>Food, feed, and other industrial use</t>
  </si>
  <si>
    <t>Soybean oil</t>
  </si>
  <si>
    <t>Canola oil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</si>
  <si>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</si>
  <si>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</si>
  <si>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</si>
  <si>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</si>
  <si>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</si>
  <si>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</si>
  <si>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</si>
  <si>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 2020</t>
  </si>
  <si>
    <t>Jun. 2020</t>
  </si>
  <si>
    <t>Jul. 2020</t>
  </si>
  <si>
    <t>Aug. 2020</t>
  </si>
  <si>
    <t>Sep. 2020</t>
  </si>
  <si>
    <t>Mar. 2023</t>
  </si>
  <si>
    <t>Apr. 2023</t>
  </si>
  <si>
    <t>Demand</t>
  </si>
  <si>
    <t>Export price U.S. Dollars per Metric Ton</t>
  </si>
  <si>
    <t>Year Beg Oct 1</t>
  </si>
  <si>
    <t>2022 YTD</t>
  </si>
  <si>
    <t>Palm oil</t>
  </si>
  <si>
    <t>Rapeseed oil</t>
  </si>
  <si>
    <t>Sunflowerseed oil</t>
  </si>
  <si>
    <t>Soybeans, U.S. No. 2, CIF Rotterdam, NL</t>
  </si>
  <si>
    <t>Sunflowerseed, CIF Rotterdam, NL</t>
  </si>
  <si>
    <t>Rapeseed, CIF Hamburg, DE</t>
  </si>
  <si>
    <t>Other oils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</si>
</sst>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[$-409]mmm\-yy;@"/>
    <numFmt numFmtId="176" formatCode="#,##0.000_);\(#,##0.000\)"/>
    <numFmt numFmtId="177" formatCode="#,##0.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9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40" fillId="0" borderId="0"/>
    <xf numFmtId="0" fontId="25" fillId="0" borderId="0"/>
    <xf numFmtId="0" fontId="24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4" fontId="26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27" fillId="0" borderId="0" xfId="8"/>
    <xf numFmtId="0" fontId="28" fillId="0" borderId="0" xfId="8" applyFont="1"/>
    <xf numFmtId="0" fontId="33" fillId="0" borderId="0" xfId="8" applyFont="1"/>
    <xf numFmtId="0" fontId="34" fillId="0" borderId="0" xfId="8" applyFont="1"/>
    <xf numFmtId="169" fontId="35" fillId="0" borderId="0" xfId="1" applyNumberFormat="1" applyFont="1" applyFill="1" applyBorder="1" applyAlignment="1">
      <alignment horizontal="center"/>
    </xf>
    <xf numFmtId="169" fontId="35" fillId="0" borderId="0" xfId="1" applyNumberFormat="1" applyFont="1" applyFill="1" applyBorder="1" applyAlignment="1">
      <alignment horizontal="right" indent="1"/>
    </xf>
    <xf numFmtId="0" fontId="41" fillId="0" borderId="0" xfId="7" applyFont="1" applyAlignment="1">
      <alignment horizontal="left"/>
    </xf>
    <xf numFmtId="0" fontId="42" fillId="0" borderId="0" xfId="5" applyFont="1" applyAlignment="1" applyProtection="1"/>
    <xf numFmtId="14" fontId="41" fillId="0" borderId="0" xfId="7" applyNumberFormat="1" applyFont="1" applyAlignment="1">
      <alignment horizontal="left"/>
    </xf>
    <xf numFmtId="0" fontId="42" fillId="0" borderId="0" xfId="4" applyFont="1" applyAlignment="1" applyProtection="1"/>
    <xf numFmtId="0" fontId="35" fillId="0" borderId="0" xfId="7" quotePrefix="1" applyFont="1" applyAlignment="1">
      <alignment horizontal="left"/>
    </xf>
    <xf numFmtId="0" fontId="35" fillId="0" borderId="0" xfId="8" applyFont="1" applyAlignment="1">
      <alignment wrapText="1"/>
    </xf>
    <xf numFmtId="169" fontId="35" fillId="0" borderId="0" xfId="1" applyNumberFormat="1" applyFont="1" applyFill="1" applyBorder="1" applyAlignment="1">
      <alignment horizontal="right"/>
    </xf>
    <xf numFmtId="2" fontId="35" fillId="0" borderId="1" xfId="0" applyNumberFormat="1" applyFont="1" applyBorder="1" applyAlignment="1">
      <alignment horizontal="right" indent="2"/>
    </xf>
    <xf numFmtId="0" fontId="35" fillId="0" borderId="1" xfId="0" applyFont="1" applyBorder="1"/>
    <xf numFmtId="0" fontId="35" fillId="0" borderId="0" xfId="0" applyFont="1"/>
    <xf numFmtId="0" fontId="35" fillId="0" borderId="2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0" fillId="0" borderId="2" xfId="0" applyBorder="1"/>
    <xf numFmtId="0" fontId="35" fillId="0" borderId="2" xfId="0" applyFont="1" applyBorder="1" applyAlignment="1">
      <alignment horizontal="left"/>
    </xf>
    <xf numFmtId="0" fontId="35" fillId="0" borderId="0" xfId="0" applyFont="1" applyAlignment="1">
      <alignment horizontal="right"/>
    </xf>
    <xf numFmtId="16" fontId="35" fillId="0" borderId="1" xfId="0" quotePrefix="1" applyNumberFormat="1" applyFont="1" applyBorder="1"/>
    <xf numFmtId="16" fontId="35" fillId="0" borderId="1" xfId="0" applyNumberFormat="1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36" fillId="0" borderId="3" xfId="0" quotePrefix="1" applyFont="1" applyBorder="1" applyAlignment="1">
      <alignment horizontal="center"/>
    </xf>
    <xf numFmtId="0" fontId="36" fillId="0" borderId="0" xfId="0" quotePrefix="1" applyFont="1" applyAlignment="1">
      <alignment horizontal="right"/>
    </xf>
    <xf numFmtId="167" fontId="35" fillId="0" borderId="0" xfId="0" applyNumberFormat="1" applyFont="1" applyAlignment="1">
      <alignment horizontal="center"/>
    </xf>
    <xf numFmtId="165" fontId="35" fillId="0" borderId="0" xfId="1" applyNumberFormat="1" applyFont="1" applyFill="1" applyAlignment="1">
      <alignment horizontal="left"/>
    </xf>
    <xf numFmtId="165" fontId="35" fillId="0" borderId="0" xfId="1" applyNumberFormat="1" applyFont="1" applyFill="1" applyAlignment="1">
      <alignment horizontal="center"/>
    </xf>
    <xf numFmtId="3" fontId="35" fillId="0" borderId="0" xfId="1" applyNumberFormat="1" applyFont="1" applyFill="1" applyBorder="1" applyAlignment="1">
      <alignment horizontal="right" indent="1"/>
    </xf>
    <xf numFmtId="164" fontId="35" fillId="0" borderId="0" xfId="1" applyNumberFormat="1" applyFont="1" applyFill="1" applyBorder="1"/>
    <xf numFmtId="164" fontId="35" fillId="0" borderId="0" xfId="1" applyNumberFormat="1" applyFont="1" applyFill="1" applyBorder="1" applyAlignment="1">
      <alignment horizontal="right"/>
    </xf>
    <xf numFmtId="0" fontId="41" fillId="0" borderId="0" xfId="0" applyFont="1"/>
    <xf numFmtId="169" fontId="35" fillId="0" borderId="0" xfId="1" quotePrefix="1" applyNumberFormat="1" applyFont="1" applyFill="1" applyBorder="1" applyAlignment="1">
      <alignment horizontal="right"/>
    </xf>
    <xf numFmtId="164" fontId="35" fillId="0" borderId="0" xfId="1" applyNumberFormat="1" applyFont="1" applyFill="1" applyBorder="1" applyAlignment="1">
      <alignment horizontal="center"/>
    </xf>
    <xf numFmtId="164" fontId="35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9" fontId="35" fillId="0" borderId="1" xfId="1" applyNumberFormat="1" applyFont="1" applyFill="1" applyBorder="1" applyAlignment="1">
      <alignment horizontal="right" indent="1"/>
    </xf>
    <xf numFmtId="164" fontId="35" fillId="0" borderId="0" xfId="1" applyNumberFormat="1" applyFont="1" applyFill="1"/>
    <xf numFmtId="14" fontId="35" fillId="0" borderId="0" xfId="0" applyNumberFormat="1" applyFont="1" applyAlignment="1">
      <alignment horizontal="left"/>
    </xf>
    <xf numFmtId="3" fontId="35" fillId="0" borderId="0" xfId="1" applyNumberFormat="1" applyFont="1" applyFill="1" applyAlignment="1">
      <alignment horizontal="right" indent="2"/>
    </xf>
    <xf numFmtId="3" fontId="35" fillId="0" borderId="0" xfId="1" applyNumberFormat="1" applyFont="1" applyFill="1" applyAlignment="1">
      <alignment horizontal="right" indent="1"/>
    </xf>
    <xf numFmtId="3" fontId="35" fillId="0" borderId="0" xfId="1" applyNumberFormat="1" applyFont="1" applyFill="1" applyAlignment="1">
      <alignment horizontal="center"/>
    </xf>
    <xf numFmtId="169" fontId="35" fillId="0" borderId="0" xfId="1" applyNumberFormat="1" applyFont="1" applyFill="1" applyBorder="1" applyAlignment="1">
      <alignment horizontal="right" indent="2"/>
    </xf>
    <xf numFmtId="169" fontId="35" fillId="0" borderId="1" xfId="1" applyNumberFormat="1" applyFont="1" applyFill="1" applyBorder="1" applyAlignment="1">
      <alignment horizontal="right" indent="2"/>
    </xf>
    <xf numFmtId="0" fontId="37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5" fillId="0" borderId="1" xfId="1" applyNumberFormat="1" applyFont="1" applyFill="1" applyBorder="1" applyAlignment="1">
      <alignment horizontal="center"/>
    </xf>
    <xf numFmtId="165" fontId="35" fillId="0" borderId="1" xfId="1" applyNumberFormat="1" applyFont="1" applyFill="1" applyBorder="1" applyAlignment="1">
      <alignment horizontal="right"/>
    </xf>
    <xf numFmtId="16" fontId="35" fillId="0" borderId="0" xfId="0" applyNumberFormat="1" applyFont="1"/>
    <xf numFmtId="0" fontId="36" fillId="0" borderId="0" xfId="0" applyFont="1" applyAlignment="1">
      <alignment horizontal="center"/>
    </xf>
    <xf numFmtId="2" fontId="35" fillId="0" borderId="0" xfId="0" applyNumberFormat="1" applyFont="1" applyAlignment="1">
      <alignment horizontal="right" indent="2"/>
    </xf>
    <xf numFmtId="170" fontId="35" fillId="0" borderId="0" xfId="0" applyNumberFormat="1" applyFont="1"/>
    <xf numFmtId="43" fontId="35" fillId="0" borderId="0" xfId="1" quotePrefix="1" applyFont="1" applyFill="1" applyBorder="1" applyAlignment="1">
      <alignment horizontal="center"/>
    </xf>
    <xf numFmtId="166" fontId="35" fillId="0" borderId="0" xfId="1" quotePrefix="1" applyNumberFormat="1" applyFont="1" applyFill="1" applyBorder="1" applyAlignment="1">
      <alignment horizontal="center"/>
    </xf>
    <xf numFmtId="43" fontId="35" fillId="0" borderId="0" xfId="1" applyFont="1" applyFill="1" applyBorder="1" applyAlignment="1">
      <alignment horizontal="center"/>
    </xf>
    <xf numFmtId="0" fontId="41" fillId="0" borderId="0" xfId="0" quotePrefix="1" applyFo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indent="1"/>
    </xf>
    <xf numFmtId="0" fontId="35" fillId="0" borderId="3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36" fillId="0" borderId="3" xfId="0" quotePrefix="1" applyFont="1" applyBorder="1"/>
    <xf numFmtId="0" fontId="36" fillId="0" borderId="3" xfId="0" applyFont="1" applyBorder="1"/>
    <xf numFmtId="43" fontId="35" fillId="0" borderId="0" xfId="1" applyFont="1" applyFill="1" applyBorder="1"/>
    <xf numFmtId="2" fontId="35" fillId="0" borderId="0" xfId="0" applyNumberFormat="1" applyFont="1" applyAlignment="1">
      <alignment horizontal="center"/>
    </xf>
    <xf numFmtId="43" fontId="35" fillId="0" borderId="0" xfId="0" applyNumberFormat="1" applyFont="1"/>
    <xf numFmtId="0" fontId="30" fillId="0" borderId="0" xfId="0" applyFont="1"/>
    <xf numFmtId="2" fontId="0" fillId="0" borderId="0" xfId="0" applyNumberFormat="1"/>
    <xf numFmtId="165" fontId="35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39" fillId="0" borderId="0" xfId="0" applyFont="1" applyAlignment="1">
      <alignment vertical="center"/>
    </xf>
    <xf numFmtId="168" fontId="35" fillId="0" borderId="0" xfId="0" applyNumberFormat="1" applyFont="1"/>
    <xf numFmtId="2" fontId="35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35" fillId="0" borderId="3" xfId="0" applyFont="1" applyBorder="1"/>
    <xf numFmtId="165" fontId="35" fillId="0" borderId="0" xfId="1" applyNumberFormat="1" applyFont="1" applyFill="1"/>
    <xf numFmtId="37" fontId="35" fillId="0" borderId="0" xfId="1" applyNumberFormat="1" applyFont="1" applyFill="1" applyBorder="1" applyAlignment="1">
      <alignment horizontal="center"/>
    </xf>
    <xf numFmtId="37" fontId="35" fillId="0" borderId="0" xfId="1" applyNumberFormat="1" applyFont="1" applyFill="1" applyBorder="1" applyAlignment="1">
      <alignment horizontal="right" indent="2"/>
    </xf>
    <xf numFmtId="165" fontId="35" fillId="0" borderId="0" xfId="1" applyNumberFormat="1" applyFont="1" applyFill="1" applyBorder="1"/>
    <xf numFmtId="37" fontId="35" fillId="0" borderId="0" xfId="1" applyNumberFormat="1" applyFont="1" applyFill="1" applyBorder="1" applyAlignment="1">
      <alignment horizontal="right" indent="1"/>
    </xf>
    <xf numFmtId="37" fontId="35" fillId="0" borderId="1" xfId="1" applyNumberFormat="1" applyFont="1" applyFill="1" applyBorder="1" applyAlignment="1">
      <alignment horizontal="center"/>
    </xf>
    <xf numFmtId="37" fontId="35" fillId="0" borderId="1" xfId="1" applyNumberFormat="1" applyFont="1" applyFill="1" applyBorder="1" applyAlignment="1">
      <alignment horizontal="right" indent="2"/>
    </xf>
    <xf numFmtId="165" fontId="35" fillId="0" borderId="1" xfId="1" applyNumberFormat="1" applyFont="1" applyFill="1" applyBorder="1"/>
    <xf numFmtId="37" fontId="35" fillId="0" borderId="1" xfId="1" applyNumberFormat="1" applyFont="1" applyFill="1" applyBorder="1" applyAlignment="1">
      <alignment horizontal="right" indent="1"/>
    </xf>
    <xf numFmtId="9" fontId="35" fillId="0" borderId="0" xfId="12" applyFont="1" applyFill="1"/>
    <xf numFmtId="1" fontId="35" fillId="0" borderId="0" xfId="0" applyNumberFormat="1" applyFont="1" applyAlignment="1">
      <alignment horizontal="center"/>
    </xf>
    <xf numFmtId="1" fontId="35" fillId="0" borderId="1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14" fontId="35" fillId="0" borderId="0" xfId="0" applyNumberFormat="1" applyFont="1" applyAlignment="1">
      <alignment horizontal="right" inden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3" fontId="0" fillId="0" borderId="0" xfId="0" applyNumberFormat="1"/>
    <xf numFmtId="169" fontId="35" fillId="0" borderId="0" xfId="1" applyNumberFormat="1" applyFont="1" applyFill="1" applyAlignment="1">
      <alignment horizontal="center"/>
    </xf>
    <xf numFmtId="0" fontId="37" fillId="0" borderId="3" xfId="0" applyFont="1" applyBorder="1"/>
    <xf numFmtId="164" fontId="35" fillId="0" borderId="3" xfId="0" applyNumberFormat="1" applyFont="1" applyBorder="1"/>
    <xf numFmtId="43" fontId="35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6" fillId="0" borderId="0" xfId="8" applyFont="1"/>
    <xf numFmtId="0" fontId="26" fillId="0" borderId="0" xfId="0" applyFont="1"/>
    <xf numFmtId="4" fontId="44" fillId="0" borderId="0" xfId="0" applyNumberFormat="1" applyFont="1"/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172" fontId="30" fillId="0" borderId="0" xfId="12" applyNumberFormat="1" applyFont="1" applyFill="1"/>
    <xf numFmtId="4" fontId="0" fillId="0" borderId="0" xfId="0" applyNumberFormat="1"/>
    <xf numFmtId="169" fontId="35" fillId="0" borderId="0" xfId="1" applyNumberFormat="1" applyFont="1" applyBorder="1" applyAlignment="1">
      <alignment horizontal="right" indent="1"/>
    </xf>
    <xf numFmtId="0" fontId="26" fillId="0" borderId="0" xfId="20"/>
    <xf numFmtId="37" fontId="0" fillId="0" borderId="0" xfId="0" applyNumberFormat="1"/>
    <xf numFmtId="173" fontId="44" fillId="0" borderId="0" xfId="0" applyNumberFormat="1" applyFont="1"/>
    <xf numFmtId="174" fontId="35" fillId="0" borderId="0" xfId="1" applyNumberFormat="1" applyFont="1" applyFill="1" applyBorder="1" applyAlignment="1">
      <alignment horizontal="right" indent="2"/>
    </xf>
    <xf numFmtId="0" fontId="45" fillId="0" borderId="0" xfId="44" applyFont="1" applyAlignment="1">
      <alignment horizontal="center"/>
    </xf>
    <xf numFmtId="164" fontId="35" fillId="2" borderId="0" xfId="1" applyNumberFormat="1" applyFont="1" applyFill="1" applyBorder="1" applyAlignment="1">
      <alignment horizontal="center"/>
    </xf>
    <xf numFmtId="0" fontId="46" fillId="0" borderId="1" xfId="46" applyFont="1" applyBorder="1" applyAlignment="1">
      <alignment horizontal="center" wrapText="1"/>
    </xf>
    <xf numFmtId="0" fontId="45" fillId="0" borderId="0" xfId="46" applyFont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43" fillId="0" borderId="1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45" fillId="0" borderId="0" xfId="46" applyFont="1" applyAlignment="1">
      <alignment horizontal="center" wrapText="1"/>
    </xf>
    <xf numFmtId="37" fontId="47" fillId="0" borderId="0" xfId="1" applyNumberFormat="1" applyFont="1" applyFill="1" applyAlignment="1">
      <alignment horizontal="right"/>
    </xf>
    <xf numFmtId="0" fontId="33" fillId="0" borderId="1" xfId="20" applyFont="1" applyBorder="1" applyAlignment="1">
      <alignment horizontal="centerContinuous"/>
    </xf>
    <xf numFmtId="0" fontId="48" fillId="0" borderId="0" xfId="0" applyFont="1"/>
    <xf numFmtId="174" fontId="47" fillId="0" borderId="0" xfId="1" applyNumberFormat="1" applyFont="1" applyFill="1" applyAlignment="1">
      <alignment horizontal="right"/>
    </xf>
    <xf numFmtId="2" fontId="43" fillId="0" borderId="0" xfId="0" applyNumberFormat="1" applyFont="1" applyAlignment="1">
      <alignment horizontal="right" indent="2"/>
    </xf>
    <xf numFmtId="0" fontId="0" fillId="0" borderId="0" xfId="20" applyFont="1"/>
    <xf numFmtId="0" fontId="0" fillId="0" borderId="1" xfId="20" applyFont="1" applyBorder="1" applyAlignment="1">
      <alignment horizontal="centerContinuous"/>
    </xf>
    <xf numFmtId="175" fontId="0" fillId="0" borderId="0" xfId="0" applyNumberFormat="1"/>
    <xf numFmtId="0" fontId="26" fillId="0" borderId="1" xfId="0" applyFont="1" applyBorder="1" applyAlignment="1">
      <alignment wrapText="1"/>
    </xf>
    <xf numFmtId="1" fontId="0" fillId="0" borderId="0" xfId="0" applyNumberFormat="1"/>
    <xf numFmtId="1" fontId="0" fillId="0" borderId="0" xfId="20" applyNumberFormat="1" applyFont="1"/>
    <xf numFmtId="172" fontId="0" fillId="0" borderId="0" xfId="12" applyNumberFormat="1" applyFont="1"/>
    <xf numFmtId="39" fontId="47" fillId="0" borderId="0" xfId="1" applyNumberFormat="1" applyFont="1" applyFill="1" applyAlignment="1">
      <alignment horizontal="right"/>
    </xf>
    <xf numFmtId="39" fontId="47" fillId="0" borderId="0" xfId="1" applyNumberFormat="1" applyFont="1" applyFill="1"/>
    <xf numFmtId="39" fontId="26" fillId="0" borderId="0" xfId="20" applyNumberFormat="1"/>
    <xf numFmtId="0" fontId="0" fillId="0" borderId="0" xfId="0" quotePrefix="1"/>
    <xf numFmtId="0" fontId="33" fillId="0" borderId="0" xfId="20" applyFont="1" applyAlignment="1">
      <alignment wrapText="1"/>
    </xf>
    <xf numFmtId="14" fontId="0" fillId="0" borderId="0" xfId="20" applyNumberFormat="1" applyFont="1"/>
    <xf numFmtId="3" fontId="0" fillId="0" borderId="0" xfId="20" applyNumberFormat="1" applyFont="1" applyAlignment="1">
      <alignment horizontal="left"/>
    </xf>
    <xf numFmtId="165" fontId="0" fillId="0" borderId="0" xfId="20" applyNumberFormat="1" applyFont="1"/>
    <xf numFmtId="14" fontId="0" fillId="0" borderId="0" xfId="20" applyNumberFormat="1" applyFont="1" applyAlignment="1">
      <alignment horizontal="right"/>
    </xf>
    <xf numFmtId="169" fontId="43" fillId="0" borderId="0" xfId="1" applyNumberFormat="1" applyFont="1" applyFill="1" applyBorder="1" applyAlignment="1">
      <alignment horizontal="right"/>
    </xf>
    <xf numFmtId="0" fontId="33" fillId="0" borderId="0" xfId="20" applyFont="1"/>
    <xf numFmtId="39" fontId="47" fillId="0" borderId="0" xfId="1" applyNumberFormat="1" applyFont="1" applyFill="1" applyBorder="1" applyAlignment="1">
      <alignment horizontal="right"/>
    </xf>
    <xf numFmtId="176" fontId="26" fillId="0" borderId="0" xfId="20" applyNumberFormat="1"/>
    <xf numFmtId="170" fontId="0" fillId="0" borderId="0" xfId="0" applyNumberFormat="1"/>
    <xf numFmtId="177" fontId="44" fillId="0" borderId="0" xfId="0" applyNumberFormat="1" applyFont="1"/>
    <xf numFmtId="37" fontId="47" fillId="0" borderId="0" xfId="1" applyNumberFormat="1" applyFont="1" applyFill="1"/>
    <xf numFmtId="37" fontId="26" fillId="0" borderId="0" xfId="20" applyNumberFormat="1"/>
    <xf numFmtId="177" fontId="0" fillId="0" borderId="0" xfId="0" applyNumberFormat="1"/>
    <xf numFmtId="0" fontId="33" fillId="0" borderId="1" xfId="20" applyFont="1" applyBorder="1" applyAlignment="1">
      <alignment wrapText="1"/>
    </xf>
    <xf numFmtId="3" fontId="0" fillId="0" borderId="0" xfId="20" applyNumberFormat="1" applyFont="1"/>
    <xf numFmtId="0" fontId="45" fillId="0" borderId="0" xfId="0" applyFont="1"/>
    <xf numFmtId="0" fontId="46" fillId="0" borderId="1" xfId="51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2" xfId="0" quotePrefix="1" applyFont="1" applyBorder="1" applyAlignment="1">
      <alignment horizontal="center"/>
    </xf>
    <xf numFmtId="0" fontId="36" fillId="0" borderId="5" xfId="0" quotePrefix="1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5" xfId="0" applyFont="1" applyBorder="1" applyAlignment="1">
      <alignment horizontal="center"/>
    </xf>
  </cellXfs>
  <cellStyles count="52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10" xfId="48" xr:uid="{B0B7CAAA-7091-450F-85C9-52BED8D28969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B050"/>
      <color rgb="FFC0504D"/>
      <color rgb="FFFFFF00"/>
      <color rgb="FFC0502F"/>
      <color rgb="FFD99694"/>
      <color rgb="FFFFCF01"/>
      <color rgb="FF0000FF"/>
      <color rgb="FFFA6400"/>
      <color rgb="FFFB0BCD"/>
      <color rgb="FFBE4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soybean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6607299087614"/>
          <c:y val="0.17628667233929823"/>
          <c:w val="0.83489876265466811"/>
          <c:h val="0.51544326743329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</c:f>
              <c:strCache>
                <c:ptCount val="1"/>
                <c:pt idx="0">
                  <c:v>Argentina                     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38100"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1'!$D$2:$D$14</c:f>
              <c:numCache>
                <c:formatCode>#,##0_);\(#,##0\)</c:formatCode>
                <c:ptCount val="13"/>
                <c:pt idx="0">
                  <c:v>40.1</c:v>
                </c:pt>
                <c:pt idx="1">
                  <c:v>49.3</c:v>
                </c:pt>
                <c:pt idx="2">
                  <c:v>53.4</c:v>
                </c:pt>
                <c:pt idx="3">
                  <c:v>61.45</c:v>
                </c:pt>
                <c:pt idx="4">
                  <c:v>58.8</c:v>
                </c:pt>
                <c:pt idx="5">
                  <c:v>55</c:v>
                </c:pt>
                <c:pt idx="6">
                  <c:v>37.799999999999997</c:v>
                </c:pt>
                <c:pt idx="7">
                  <c:v>55.3</c:v>
                </c:pt>
                <c:pt idx="8">
                  <c:v>48.8</c:v>
                </c:pt>
                <c:pt idx="9">
                  <c:v>46.2</c:v>
                </c:pt>
                <c:pt idx="10">
                  <c:v>43.9</c:v>
                </c:pt>
                <c:pt idx="11">
                  <c:v>27</c:v>
                </c:pt>
                <c:pt idx="1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4-4A7C-A1EF-85C83F859EA4}"/>
            </c:ext>
          </c:extLst>
        </c:ser>
        <c:ser>
          <c:idx val="2"/>
          <c:order val="1"/>
          <c:tx>
            <c:strRef>
              <c:f>'Figure 1'!$B$1</c:f>
              <c:strCache>
                <c:ptCount val="1"/>
                <c:pt idx="0">
                  <c:v>Brazil                       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1'!$B$2:$B$14</c:f>
              <c:numCache>
                <c:formatCode>#,##0_);\(#,##0\)</c:formatCode>
                <c:ptCount val="13"/>
                <c:pt idx="0">
                  <c:v>66.5</c:v>
                </c:pt>
                <c:pt idx="1">
                  <c:v>82</c:v>
                </c:pt>
                <c:pt idx="2">
                  <c:v>86.2</c:v>
                </c:pt>
                <c:pt idx="3">
                  <c:v>97.1</c:v>
                </c:pt>
                <c:pt idx="4">
                  <c:v>95.7</c:v>
                </c:pt>
                <c:pt idx="5">
                  <c:v>114.9</c:v>
                </c:pt>
                <c:pt idx="6">
                  <c:v>123.4</c:v>
                </c:pt>
                <c:pt idx="7">
                  <c:v>120.5</c:v>
                </c:pt>
                <c:pt idx="8">
                  <c:v>128.5</c:v>
                </c:pt>
                <c:pt idx="9">
                  <c:v>139.5</c:v>
                </c:pt>
                <c:pt idx="10">
                  <c:v>130.5</c:v>
                </c:pt>
                <c:pt idx="11">
                  <c:v>155</c:v>
                </c:pt>
                <c:pt idx="12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4-4A7C-A1EF-85C83F859EA4}"/>
            </c:ext>
          </c:extLst>
        </c:ser>
        <c:ser>
          <c:idx val="5"/>
          <c:order val="2"/>
          <c:tx>
            <c:strRef>
              <c:f>'Figure 1'!$C$1</c:f>
              <c:strCache>
                <c:ptCount val="1"/>
                <c:pt idx="0">
                  <c:v>United States               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1'!$C$2:$C$14</c:f>
              <c:numCache>
                <c:formatCode>#,##0_);\(#,##0\)</c:formatCode>
                <c:ptCount val="13"/>
                <c:pt idx="0">
                  <c:v>84.290999999999997</c:v>
                </c:pt>
                <c:pt idx="1">
                  <c:v>82.790999999999997</c:v>
                </c:pt>
                <c:pt idx="2">
                  <c:v>91.363</c:v>
                </c:pt>
                <c:pt idx="3">
                  <c:v>106.905</c:v>
                </c:pt>
                <c:pt idx="4">
                  <c:v>106.869</c:v>
                </c:pt>
                <c:pt idx="5">
                  <c:v>116.931</c:v>
                </c:pt>
                <c:pt idx="6">
                  <c:v>120.065</c:v>
                </c:pt>
                <c:pt idx="7">
                  <c:v>120.515</c:v>
                </c:pt>
                <c:pt idx="8">
                  <c:v>96.667000000000002</c:v>
                </c:pt>
                <c:pt idx="9">
                  <c:v>114.749</c:v>
                </c:pt>
                <c:pt idx="10">
                  <c:v>121.52800000000001</c:v>
                </c:pt>
                <c:pt idx="11">
                  <c:v>116.377</c:v>
                </c:pt>
                <c:pt idx="12">
                  <c:v>122.742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4-4A7C-A1EF-85C83F859EA4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1'!$E$2:$E$14</c:f>
              <c:numCache>
                <c:formatCode>#,##0_);\(#,##0\)</c:formatCode>
                <c:ptCount val="13"/>
                <c:pt idx="0">
                  <c:v>50.134</c:v>
                </c:pt>
                <c:pt idx="1">
                  <c:v>54.731999999999999</c:v>
                </c:pt>
                <c:pt idx="2">
                  <c:v>52.276000000000003</c:v>
                </c:pt>
                <c:pt idx="3">
                  <c:v>55.793000000000006</c:v>
                </c:pt>
                <c:pt idx="4">
                  <c:v>54.463999999999999</c:v>
                </c:pt>
                <c:pt idx="5">
                  <c:v>63.727000000000004</c:v>
                </c:pt>
                <c:pt idx="6">
                  <c:v>62.210999999999999</c:v>
                </c:pt>
                <c:pt idx="7">
                  <c:v>66.7</c:v>
                </c:pt>
                <c:pt idx="8">
                  <c:v>66.929000000000002</c:v>
                </c:pt>
                <c:pt idx="9">
                  <c:v>68.147000000000006</c:v>
                </c:pt>
                <c:pt idx="10">
                  <c:v>63.917999999999999</c:v>
                </c:pt>
                <c:pt idx="11">
                  <c:v>72.043999999999997</c:v>
                </c:pt>
                <c:pt idx="12">
                  <c:v>76.843000000000004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44-4A7C-A1EF-85C83F859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710036245469317"/>
              <c:y val="0.8250937639926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569902494072299"/>
          <c:y val="9.7453476391843111E-2"/>
          <c:w val="0.80040574638315143"/>
          <c:h val="7.559441632152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harvested acreage and yield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79994456138525E-2"/>
          <c:y val="0.15821728912575725"/>
          <c:w val="0.8749493689526433"/>
          <c:h val="0.52307395399104528"/>
        </c:manualLayout>
      </c:layout>
      <c:areaChart>
        <c:grouping val="stacked"/>
        <c:varyColors val="0"/>
        <c:ser>
          <c:idx val="2"/>
          <c:order val="2"/>
          <c:tx>
            <c:strRef>
              <c:f>'Figure 2'!$C$1</c:f>
              <c:strCache>
                <c:ptCount val="1"/>
                <c:pt idx="0">
                  <c:v>Demand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2'!$C$2:$C$11</c:f>
              <c:numCache>
                <c:formatCode>#,##0</c:formatCode>
                <c:ptCount val="10"/>
                <c:pt idx="0">
                  <c:v>3862.6756843585472</c:v>
                </c:pt>
                <c:pt idx="1">
                  <c:v>3944.2009162439076</c:v>
                </c:pt>
                <c:pt idx="2">
                  <c:v>4213.9107172106051</c:v>
                </c:pt>
                <c:pt idx="3">
                  <c:v>4296.9335006007277</c:v>
                </c:pt>
                <c:pt idx="4">
                  <c:v>3971.26028009634</c:v>
                </c:pt>
                <c:pt idx="5">
                  <c:v>3951.7995056159771</c:v>
                </c:pt>
                <c:pt idx="6">
                  <c:v>4503.6789864362345</c:v>
                </c:pt>
                <c:pt idx="7">
                  <c:v>4463.8770486205594</c:v>
                </c:pt>
                <c:pt idx="8">
                  <c:v>4355.2779795298602</c:v>
                </c:pt>
                <c:pt idx="9">
                  <c:v>4410.5610361019117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FE-4A92-9B76-3FB11C93F67E}"/>
            </c:ext>
          </c:extLst>
        </c:ser>
        <c:ser>
          <c:idx val="3"/>
          <c:order val="3"/>
          <c:tx>
            <c:strRef>
              <c:f>'Figure 2'!$D$1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2'!$D$2:$D$11</c:f>
              <c:numCache>
                <c:formatCode>#,##0</c:formatCode>
                <c:ptCount val="10"/>
                <c:pt idx="0">
                  <c:v>190.61</c:v>
                </c:pt>
                <c:pt idx="1">
                  <c:v>196.72900000000001</c:v>
                </c:pt>
                <c:pt idx="2">
                  <c:v>301.59500000000003</c:v>
                </c:pt>
                <c:pt idx="3">
                  <c:v>438.10500000000002</c:v>
                </c:pt>
                <c:pt idx="4">
                  <c:v>909.05200000000002</c:v>
                </c:pt>
                <c:pt idx="5">
                  <c:v>524.54100000000005</c:v>
                </c:pt>
                <c:pt idx="6">
                  <c:v>256.97899999999998</c:v>
                </c:pt>
                <c:pt idx="7">
                  <c:v>274.39400000000001</c:v>
                </c:pt>
                <c:pt idx="8">
                  <c:v>215.23902047013962</c:v>
                </c:pt>
                <c:pt idx="9">
                  <c:v>334.67798436822795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FE-4A92-9B76-3FB11C93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lineChart>
        <c:grouping val="standar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2'!$B$2:$B$11</c:f>
              <c:numCache>
                <c:formatCode>#,##0</c:formatCode>
                <c:ptCount val="10"/>
                <c:pt idx="0">
                  <c:v>4053.2856843585473</c:v>
                </c:pt>
                <c:pt idx="1">
                  <c:v>4140.9299162439074</c:v>
                </c:pt>
                <c:pt idx="2">
                  <c:v>4515.5057172106053</c:v>
                </c:pt>
                <c:pt idx="3">
                  <c:v>4735.0385006007273</c:v>
                </c:pt>
                <c:pt idx="4">
                  <c:v>4880.3122800963401</c:v>
                </c:pt>
                <c:pt idx="5">
                  <c:v>4476.3405056159772</c:v>
                </c:pt>
                <c:pt idx="6">
                  <c:v>4760.6579864362348</c:v>
                </c:pt>
                <c:pt idx="7">
                  <c:v>4738.2710486205597</c:v>
                </c:pt>
                <c:pt idx="8">
                  <c:v>4570.5169999999998</c:v>
                </c:pt>
                <c:pt idx="9">
                  <c:v>4745.2390204701396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E-4A92-9B76-3FB11C93F67E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Demand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2'!$C$2:$C$11</c:f>
              <c:numCache>
                <c:formatCode>#,##0</c:formatCode>
                <c:ptCount val="10"/>
                <c:pt idx="0">
                  <c:v>3862.6756843585472</c:v>
                </c:pt>
                <c:pt idx="1">
                  <c:v>3944.2009162439076</c:v>
                </c:pt>
                <c:pt idx="2">
                  <c:v>4213.9107172106051</c:v>
                </c:pt>
                <c:pt idx="3">
                  <c:v>4296.9335006007277</c:v>
                </c:pt>
                <c:pt idx="4">
                  <c:v>3971.26028009634</c:v>
                </c:pt>
                <c:pt idx="5">
                  <c:v>3951.7995056159771</c:v>
                </c:pt>
                <c:pt idx="6">
                  <c:v>4503.6789864362345</c:v>
                </c:pt>
                <c:pt idx="7">
                  <c:v>4463.8770486205594</c:v>
                </c:pt>
                <c:pt idx="8">
                  <c:v>4355.2779795298602</c:v>
                </c:pt>
                <c:pt idx="9">
                  <c:v>4410.5610361019117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E-4A92-9B76-3FB11C93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2387498594"/>
              <c:y val="0.83174373423910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5000"/>
          <c:min val="38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effectLst/>
                  </a:rPr>
                  <a:t>Million bushels</a:t>
                </a: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6432698387949"/>
          <c:y val="0.10306179558437548"/>
          <c:w val="0.50050310542865306"/>
          <c:h val="6.5153298852349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oil supply and disappearance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065616797900251E-2"/>
          <c:y val="0.15476497724339905"/>
          <c:w val="0.92555442945869371"/>
          <c:h val="0.535329011253377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'Figure 3'!$C$1</c:f>
              <c:strCache>
                <c:ptCount val="1"/>
                <c:pt idx="0">
                  <c:v>Biofuel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3'!$C$2:$C$11</c:f>
              <c:numCache>
                <c:formatCode>#,##0.000</c:formatCode>
                <c:ptCount val="10"/>
                <c:pt idx="0">
                  <c:v>5.0387700000000004</c:v>
                </c:pt>
                <c:pt idx="1">
                  <c:v>5.67</c:v>
                </c:pt>
                <c:pt idx="2">
                  <c:v>6.2003000000000004</c:v>
                </c:pt>
                <c:pt idx="3">
                  <c:v>7.33371</c:v>
                </c:pt>
                <c:pt idx="4">
                  <c:v>8.6632999999999996</c:v>
                </c:pt>
                <c:pt idx="5">
                  <c:v>8.6578199999999992</c:v>
                </c:pt>
                <c:pt idx="6">
                  <c:v>8.92</c:v>
                </c:pt>
                <c:pt idx="7">
                  <c:v>10.348190000000001</c:v>
                </c:pt>
                <c:pt idx="8">
                  <c:v>11.6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1-4A1E-AD9D-5E7A6D30207E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Food, feed, and other industrial use</c:v>
                </c:pt>
              </c:strCache>
            </c:strRef>
          </c:tx>
          <c:spPr>
            <a:pattFill prst="lgConfetti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3'!$D$2:$D$11</c:f>
              <c:numCache>
                <c:formatCode>#,##0.000</c:formatCode>
                <c:ptCount val="10"/>
                <c:pt idx="0">
                  <c:v>13.920131077093275</c:v>
                </c:pt>
                <c:pt idx="1">
                  <c:v>14.492247412149666</c:v>
                </c:pt>
                <c:pt idx="2">
                  <c:v>13.662016352975796</c:v>
                </c:pt>
                <c:pt idx="3">
                  <c:v>14.04650060750757</c:v>
                </c:pt>
                <c:pt idx="4">
                  <c:v>14.210857005018134</c:v>
                </c:pt>
                <c:pt idx="5">
                  <c:v>13.659180563573729</c:v>
                </c:pt>
                <c:pt idx="6">
                  <c:v>14.394331644053418</c:v>
                </c:pt>
                <c:pt idx="7">
                  <c:v>14.476912760305853</c:v>
                </c:pt>
                <c:pt idx="8">
                  <c:v>14.525</c:v>
                </c:pt>
                <c:pt idx="9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A1E-AD9D-5E7A6D30207E}"/>
            </c:ext>
          </c:extLst>
        </c:ser>
        <c:ser>
          <c:idx val="3"/>
          <c:order val="3"/>
          <c:tx>
            <c:strRef>
              <c:f>'Figure 3'!$E$1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3'!$E$2:$E$11</c:f>
              <c:numCache>
                <c:formatCode>#,##0.000</c:formatCode>
                <c:ptCount val="10"/>
                <c:pt idx="0">
                  <c:v>2.014373388233528</c:v>
                </c:pt>
                <c:pt idx="1">
                  <c:v>2.242541908601738</c:v>
                </c:pt>
                <c:pt idx="2">
                  <c:v>2.5556629160845037</c:v>
                </c:pt>
                <c:pt idx="3">
                  <c:v>2.4430375649191838</c:v>
                </c:pt>
                <c:pt idx="4">
                  <c:v>1.9404219679927719</c:v>
                </c:pt>
                <c:pt idx="5">
                  <c:v>2.8366949799463836</c:v>
                </c:pt>
                <c:pt idx="6">
                  <c:v>1.731359148174006</c:v>
                </c:pt>
                <c:pt idx="7">
                  <c:v>1.7734436302917098</c:v>
                </c:pt>
                <c:pt idx="8">
                  <c:v>0.45</c:v>
                </c:pt>
                <c:pt idx="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1-4A1E-AD9D-5E7A6D302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1"/>
          <c:order val="0"/>
          <c:tx>
            <c:strRef>
              <c:f>'Figure 3'!$B$1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3'!$B$2:$B$11</c:f>
              <c:numCache>
                <c:formatCode>#,##0.000</c:formatCode>
                <c:ptCount val="10"/>
                <c:pt idx="0">
                  <c:v>22.828092465326804</c:v>
                </c:pt>
                <c:pt idx="1">
                  <c:v>24.091602320751409</c:v>
                </c:pt>
                <c:pt idx="2">
                  <c:v>24.128933269060301</c:v>
                </c:pt>
                <c:pt idx="3">
                  <c:v>25.818682172426755</c:v>
                </c:pt>
                <c:pt idx="4">
                  <c:v>26.589894973010903</c:v>
                </c:pt>
                <c:pt idx="5">
                  <c:v>27.006370543520113</c:v>
                </c:pt>
                <c:pt idx="6">
                  <c:v>27.176923792227427</c:v>
                </c:pt>
                <c:pt idx="7">
                  <c:v>28.589694390597565</c:v>
                </c:pt>
                <c:pt idx="8">
                  <c:v>28.511148000000002</c:v>
                </c:pt>
                <c:pt idx="9">
                  <c:v>29.431148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1-4A1E-AD9D-5E7A6D302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6324662387498594"/>
              <c:y val="0.82702630921134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Billion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2268995221751"/>
          <c:y val="8.6721711869349669E-2"/>
          <c:w val="0.76077302218410814"/>
          <c:h val="5.5380304024496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meal supply and disappearance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65396775898063E-2"/>
          <c:y val="0.15476497724339905"/>
          <c:w val="0.93435530954670265"/>
          <c:h val="0.5735233486439195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'Figure 4'!$D$1</c:f>
              <c:strCache>
                <c:ptCount val="1"/>
                <c:pt idx="0">
                  <c:v>Domestic disappearance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4'!$D$2:$D$11</c:f>
              <c:numCache>
                <c:formatCode>#,##0.000</c:formatCode>
                <c:ptCount val="10"/>
                <c:pt idx="0">
                  <c:v>32.277515252823328</c:v>
                </c:pt>
                <c:pt idx="1">
                  <c:v>33.110294160647356</c:v>
                </c:pt>
                <c:pt idx="2">
                  <c:v>33.415579290918068</c:v>
                </c:pt>
                <c:pt idx="3">
                  <c:v>35.535109349509405</c:v>
                </c:pt>
                <c:pt idx="4">
                  <c:v>36.267676843266003</c:v>
                </c:pt>
                <c:pt idx="5">
                  <c:v>37.967281257744652</c:v>
                </c:pt>
                <c:pt idx="6">
                  <c:v>37.674373916642843</c:v>
                </c:pt>
                <c:pt idx="7">
                  <c:v>38.969602626211376</c:v>
                </c:pt>
                <c:pt idx="8">
                  <c:v>39.299999999999997</c:v>
                </c:pt>
                <c:pt idx="9">
                  <c:v>40.174999999999997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7-4E94-9E18-53EDD9A7D915}"/>
            </c:ext>
          </c:extLst>
        </c:ser>
        <c:ser>
          <c:idx val="0"/>
          <c:order val="2"/>
          <c:tx>
            <c:strRef>
              <c:f>'Figure 4'!$C$1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4'!$A$2:$A$11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4'!$C$2:$C$11</c:f>
              <c:numCache>
                <c:formatCode>#,##0.000</c:formatCode>
                <c:ptCount val="10"/>
                <c:pt idx="0">
                  <c:v>13.107299501123148</c:v>
                </c:pt>
                <c:pt idx="1">
                  <c:v>11.952508472427619</c:v>
                </c:pt>
                <c:pt idx="2">
                  <c:v>11.579831238332519</c:v>
                </c:pt>
                <c:pt idx="3">
                  <c:v>14.018496375209455</c:v>
                </c:pt>
                <c:pt idx="4">
                  <c:v>13.382755633454524</c:v>
                </c:pt>
                <c:pt idx="5">
                  <c:v>13.833111753485145</c:v>
                </c:pt>
                <c:pt idx="6">
                  <c:v>13.675364391156284</c:v>
                </c:pt>
                <c:pt idx="7">
                  <c:v>13.523827120054571</c:v>
                </c:pt>
                <c:pt idx="8">
                  <c:v>13.8</c:v>
                </c:pt>
                <c:pt idx="9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4'!$B$2:$B$11</c:f>
              <c:numCache>
                <c:formatCode>#,##0.000</c:formatCode>
                <c:ptCount val="10"/>
                <c:pt idx="0">
                  <c:v>45.645278753946478</c:v>
                </c:pt>
                <c:pt idx="1">
                  <c:v>45.326688633074973</c:v>
                </c:pt>
                <c:pt idx="2">
                  <c:v>45.396040529250584</c:v>
                </c:pt>
                <c:pt idx="3">
                  <c:v>50.109029724718859</c:v>
                </c:pt>
                <c:pt idx="4">
                  <c:v>50.052447476720523</c:v>
                </c:pt>
                <c:pt idx="5">
                  <c:v>52.141729011229799</c:v>
                </c:pt>
                <c:pt idx="6">
                  <c:v>51.690524307799123</c:v>
                </c:pt>
                <c:pt idx="7">
                  <c:v>52.804356746265945</c:v>
                </c:pt>
                <c:pt idx="8">
                  <c:v>53.45</c:v>
                </c:pt>
                <c:pt idx="9">
                  <c:v>55.375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6324662387498594"/>
              <c:y val="0.85530019685039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short tons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2268995221751"/>
          <c:y val="8.6721711869349669E-2"/>
          <c:w val="0.60265344235816676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and canola oil prices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67952082912707E-2"/>
          <c:y val="0.15476497724339905"/>
          <c:w val="0.90135203412073495"/>
          <c:h val="0.5353290112533774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5'!$B$1</c:f>
              <c:strCache>
                <c:ptCount val="1"/>
                <c:pt idx="0">
                  <c:v>Soybean oil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5'!$A$2:$A$44</c:f>
              <c:strCache>
                <c:ptCount val="43"/>
                <c:pt idx="0">
                  <c:v>Oct. 2019</c:v>
                </c:pt>
                <c:pt idx="1">
                  <c:v>Nov. 2019</c:v>
                </c:pt>
                <c:pt idx="2">
                  <c:v>Dec. 2019</c:v>
                </c:pt>
                <c:pt idx="3">
                  <c:v>Jan. 2020</c:v>
                </c:pt>
                <c:pt idx="4">
                  <c:v>Feb. 2020</c:v>
                </c:pt>
                <c:pt idx="5">
                  <c:v>Mar. 2020</c:v>
                </c:pt>
                <c:pt idx="6">
                  <c:v>Apr. 2020</c:v>
                </c:pt>
                <c:pt idx="7">
                  <c:v>May 2020</c:v>
                </c:pt>
                <c:pt idx="8">
                  <c:v>Jun. 2020</c:v>
                </c:pt>
                <c:pt idx="9">
                  <c:v>Jul. 2020</c:v>
                </c:pt>
                <c:pt idx="10">
                  <c:v>Aug. 2020</c:v>
                </c:pt>
                <c:pt idx="11">
                  <c:v>Sep. 2020</c:v>
                </c:pt>
                <c:pt idx="12">
                  <c:v>Oct. 2020</c:v>
                </c:pt>
                <c:pt idx="13">
                  <c:v>Nov. 2020</c:v>
                </c:pt>
                <c:pt idx="14">
                  <c:v>Dec. 2020</c:v>
                </c:pt>
                <c:pt idx="15">
                  <c:v>Jan. 2021</c:v>
                </c:pt>
                <c:pt idx="16">
                  <c:v>Feb. 2021</c:v>
                </c:pt>
                <c:pt idx="17">
                  <c:v>Mar. 2021</c:v>
                </c:pt>
                <c:pt idx="18">
                  <c:v>Apr. 2021</c:v>
                </c:pt>
                <c:pt idx="19">
                  <c:v>May 2021</c:v>
                </c:pt>
                <c:pt idx="20">
                  <c:v>Jun. 2021</c:v>
                </c:pt>
                <c:pt idx="21">
                  <c:v>Jul. 2021</c:v>
                </c:pt>
                <c:pt idx="22">
                  <c:v>Aug. 2021</c:v>
                </c:pt>
                <c:pt idx="23">
                  <c:v>Sep. 2021</c:v>
                </c:pt>
                <c:pt idx="24">
                  <c:v>Oct. 2021</c:v>
                </c:pt>
                <c:pt idx="25">
                  <c:v>Nov. 2021</c:v>
                </c:pt>
                <c:pt idx="26">
                  <c:v>Dec. 2021</c:v>
                </c:pt>
                <c:pt idx="27">
                  <c:v>Jan. 2022</c:v>
                </c:pt>
                <c:pt idx="28">
                  <c:v>Feb. 2022</c:v>
                </c:pt>
                <c:pt idx="29">
                  <c:v>Mar. 2022</c:v>
                </c:pt>
                <c:pt idx="30">
                  <c:v>Apr. 2022</c:v>
                </c:pt>
                <c:pt idx="31">
                  <c:v>May 2022</c:v>
                </c:pt>
                <c:pt idx="32">
                  <c:v>Jun. 2022</c:v>
                </c:pt>
                <c:pt idx="33">
                  <c:v>Jul. 2022</c:v>
                </c:pt>
                <c:pt idx="34">
                  <c:v>Aug. 2022</c:v>
                </c:pt>
                <c:pt idx="35">
                  <c:v>Sep. 2022</c:v>
                </c:pt>
                <c:pt idx="36">
                  <c:v>Oct. 2022</c:v>
                </c:pt>
                <c:pt idx="37">
                  <c:v>Nov. 2022</c:v>
                </c:pt>
                <c:pt idx="38">
                  <c:v>Dec. 2022</c:v>
                </c:pt>
                <c:pt idx="39">
                  <c:v>Jan. 2023</c:v>
                </c:pt>
                <c:pt idx="40">
                  <c:v>Feb. 2023</c:v>
                </c:pt>
                <c:pt idx="41">
                  <c:v>Mar. 2023</c:v>
                </c:pt>
                <c:pt idx="42">
                  <c:v>Apr. 2023</c:v>
                </c:pt>
              </c:strCache>
            </c:strRef>
          </c:cat>
          <c:val>
            <c:numRef>
              <c:f>'Figure 5'!$B$2:$B$44</c:f>
              <c:numCache>
                <c:formatCode>0.00</c:formatCode>
                <c:ptCount val="43"/>
                <c:pt idx="0">
                  <c:v>30.14</c:v>
                </c:pt>
                <c:pt idx="1">
                  <c:v>30.62</c:v>
                </c:pt>
                <c:pt idx="2">
                  <c:v>32.270000000000003</c:v>
                </c:pt>
                <c:pt idx="3">
                  <c:v>33.04</c:v>
                </c:pt>
                <c:pt idx="4">
                  <c:v>30.26</c:v>
                </c:pt>
                <c:pt idx="5">
                  <c:v>27.04</c:v>
                </c:pt>
                <c:pt idx="6">
                  <c:v>25.69</c:v>
                </c:pt>
                <c:pt idx="7">
                  <c:v>25.27</c:v>
                </c:pt>
                <c:pt idx="8">
                  <c:v>26.61</c:v>
                </c:pt>
                <c:pt idx="9">
                  <c:v>28.71</c:v>
                </c:pt>
                <c:pt idx="10">
                  <c:v>32.130000000000003</c:v>
                </c:pt>
                <c:pt idx="11">
                  <c:v>34.200000000000003</c:v>
                </c:pt>
                <c:pt idx="12">
                  <c:v>33.909999999999997</c:v>
                </c:pt>
                <c:pt idx="13">
                  <c:v>37.79</c:v>
                </c:pt>
                <c:pt idx="14">
                  <c:v>40.85</c:v>
                </c:pt>
                <c:pt idx="15">
                  <c:v>44.31</c:v>
                </c:pt>
                <c:pt idx="16">
                  <c:v>48.37</c:v>
                </c:pt>
                <c:pt idx="17">
                  <c:v>54</c:v>
                </c:pt>
                <c:pt idx="18">
                  <c:v>62.88</c:v>
                </c:pt>
                <c:pt idx="19">
                  <c:v>74.75</c:v>
                </c:pt>
                <c:pt idx="20">
                  <c:v>74.75</c:v>
                </c:pt>
                <c:pt idx="21">
                  <c:v>72.930000000000007</c:v>
                </c:pt>
                <c:pt idx="22">
                  <c:v>70.010000000000005</c:v>
                </c:pt>
                <c:pt idx="23">
                  <c:v>65.930000000000007</c:v>
                </c:pt>
                <c:pt idx="24">
                  <c:v>70.42</c:v>
                </c:pt>
                <c:pt idx="25">
                  <c:v>66.459999999999994</c:v>
                </c:pt>
                <c:pt idx="26">
                  <c:v>63.69</c:v>
                </c:pt>
                <c:pt idx="27">
                  <c:v>65.7</c:v>
                </c:pt>
                <c:pt idx="28">
                  <c:v>70.91</c:v>
                </c:pt>
                <c:pt idx="29">
                  <c:v>76.405000000000001</c:v>
                </c:pt>
                <c:pt idx="30">
                  <c:v>83.846000000000004</c:v>
                </c:pt>
                <c:pt idx="31">
                  <c:v>87.385000000000005</c:v>
                </c:pt>
                <c:pt idx="32">
                  <c:v>80.297499999999999</c:v>
                </c:pt>
                <c:pt idx="33">
                  <c:v>67.74799999999999</c:v>
                </c:pt>
                <c:pt idx="34">
                  <c:v>72.334999999999994</c:v>
                </c:pt>
                <c:pt idx="35">
                  <c:v>70.626000000000005</c:v>
                </c:pt>
                <c:pt idx="36">
                  <c:v>72.67</c:v>
                </c:pt>
                <c:pt idx="37">
                  <c:v>79.180000000000007</c:v>
                </c:pt>
                <c:pt idx="38">
                  <c:v>68.14</c:v>
                </c:pt>
                <c:pt idx="39">
                  <c:v>66</c:v>
                </c:pt>
                <c:pt idx="40">
                  <c:v>63.242500000000007</c:v>
                </c:pt>
                <c:pt idx="41">
                  <c:v>58.83</c:v>
                </c:pt>
                <c:pt idx="42">
                  <c:v>55.474999999999994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8-4378-84AA-D3DA127B609C}"/>
            </c:ext>
          </c:extLst>
        </c:ser>
        <c:ser>
          <c:idx val="0"/>
          <c:order val="1"/>
          <c:tx>
            <c:strRef>
              <c:f>'Figure 5'!$C$1</c:f>
              <c:strCache>
                <c:ptCount val="1"/>
                <c:pt idx="0">
                  <c:v>Canola oil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'Figure 5'!$A$2:$A$44</c:f>
              <c:strCache>
                <c:ptCount val="43"/>
                <c:pt idx="0">
                  <c:v>Oct. 2019</c:v>
                </c:pt>
                <c:pt idx="1">
                  <c:v>Nov. 2019</c:v>
                </c:pt>
                <c:pt idx="2">
                  <c:v>Dec. 2019</c:v>
                </c:pt>
                <c:pt idx="3">
                  <c:v>Jan. 2020</c:v>
                </c:pt>
                <c:pt idx="4">
                  <c:v>Feb. 2020</c:v>
                </c:pt>
                <c:pt idx="5">
                  <c:v>Mar. 2020</c:v>
                </c:pt>
                <c:pt idx="6">
                  <c:v>Apr. 2020</c:v>
                </c:pt>
                <c:pt idx="7">
                  <c:v>May 2020</c:v>
                </c:pt>
                <c:pt idx="8">
                  <c:v>Jun. 2020</c:v>
                </c:pt>
                <c:pt idx="9">
                  <c:v>Jul. 2020</c:v>
                </c:pt>
                <c:pt idx="10">
                  <c:v>Aug. 2020</c:v>
                </c:pt>
                <c:pt idx="11">
                  <c:v>Sep. 2020</c:v>
                </c:pt>
                <c:pt idx="12">
                  <c:v>Oct. 2020</c:v>
                </c:pt>
                <c:pt idx="13">
                  <c:v>Nov. 2020</c:v>
                </c:pt>
                <c:pt idx="14">
                  <c:v>Dec. 2020</c:v>
                </c:pt>
                <c:pt idx="15">
                  <c:v>Jan. 2021</c:v>
                </c:pt>
                <c:pt idx="16">
                  <c:v>Feb. 2021</c:v>
                </c:pt>
                <c:pt idx="17">
                  <c:v>Mar. 2021</c:v>
                </c:pt>
                <c:pt idx="18">
                  <c:v>Apr. 2021</c:v>
                </c:pt>
                <c:pt idx="19">
                  <c:v>May 2021</c:v>
                </c:pt>
                <c:pt idx="20">
                  <c:v>Jun. 2021</c:v>
                </c:pt>
                <c:pt idx="21">
                  <c:v>Jul. 2021</c:v>
                </c:pt>
                <c:pt idx="22">
                  <c:v>Aug. 2021</c:v>
                </c:pt>
                <c:pt idx="23">
                  <c:v>Sep. 2021</c:v>
                </c:pt>
                <c:pt idx="24">
                  <c:v>Oct. 2021</c:v>
                </c:pt>
                <c:pt idx="25">
                  <c:v>Nov. 2021</c:v>
                </c:pt>
                <c:pt idx="26">
                  <c:v>Dec. 2021</c:v>
                </c:pt>
                <c:pt idx="27">
                  <c:v>Jan. 2022</c:v>
                </c:pt>
                <c:pt idx="28">
                  <c:v>Feb. 2022</c:v>
                </c:pt>
                <c:pt idx="29">
                  <c:v>Mar. 2022</c:v>
                </c:pt>
                <c:pt idx="30">
                  <c:v>Apr. 2022</c:v>
                </c:pt>
                <c:pt idx="31">
                  <c:v>May 2022</c:v>
                </c:pt>
                <c:pt idx="32">
                  <c:v>Jun. 2022</c:v>
                </c:pt>
                <c:pt idx="33">
                  <c:v>Jul. 2022</c:v>
                </c:pt>
                <c:pt idx="34">
                  <c:v>Aug. 2022</c:v>
                </c:pt>
                <c:pt idx="35">
                  <c:v>Sep. 2022</c:v>
                </c:pt>
                <c:pt idx="36">
                  <c:v>Oct. 2022</c:v>
                </c:pt>
                <c:pt idx="37">
                  <c:v>Nov. 2022</c:v>
                </c:pt>
                <c:pt idx="38">
                  <c:v>Dec. 2022</c:v>
                </c:pt>
                <c:pt idx="39">
                  <c:v>Jan. 2023</c:v>
                </c:pt>
                <c:pt idx="40">
                  <c:v>Feb. 2023</c:v>
                </c:pt>
                <c:pt idx="41">
                  <c:v>Mar. 2023</c:v>
                </c:pt>
                <c:pt idx="42">
                  <c:v>Apr. 2023</c:v>
                </c:pt>
              </c:strCache>
            </c:strRef>
          </c:cat>
          <c:val>
            <c:numRef>
              <c:f>'Figure 5'!$C$2:$C$44</c:f>
              <c:numCache>
                <c:formatCode>0.00</c:formatCode>
                <c:ptCount val="43"/>
                <c:pt idx="0">
                  <c:v>36.3125</c:v>
                </c:pt>
                <c:pt idx="1">
                  <c:v>36.15</c:v>
                </c:pt>
                <c:pt idx="2">
                  <c:v>38.0625</c:v>
                </c:pt>
                <c:pt idx="3">
                  <c:v>37.9</c:v>
                </c:pt>
                <c:pt idx="4">
                  <c:v>35.5</c:v>
                </c:pt>
                <c:pt idx="5">
                  <c:v>32.875</c:v>
                </c:pt>
                <c:pt idx="6">
                  <c:v>32.375</c:v>
                </c:pt>
                <c:pt idx="7">
                  <c:v>32.4</c:v>
                </c:pt>
                <c:pt idx="8">
                  <c:v>36.625</c:v>
                </c:pt>
                <c:pt idx="9">
                  <c:v>40.5</c:v>
                </c:pt>
                <c:pt idx="10">
                  <c:v>47.8125</c:v>
                </c:pt>
                <c:pt idx="11">
                  <c:v>47.9375</c:v>
                </c:pt>
                <c:pt idx="12">
                  <c:v>44.35</c:v>
                </c:pt>
                <c:pt idx="13">
                  <c:v>49.5</c:v>
                </c:pt>
                <c:pt idx="14">
                  <c:v>51.65</c:v>
                </c:pt>
                <c:pt idx="15">
                  <c:v>53.3125</c:v>
                </c:pt>
                <c:pt idx="16">
                  <c:v>58.9375</c:v>
                </c:pt>
                <c:pt idx="17">
                  <c:v>71.3125</c:v>
                </c:pt>
                <c:pt idx="18">
                  <c:v>79.55</c:v>
                </c:pt>
                <c:pt idx="19">
                  <c:v>94.0625</c:v>
                </c:pt>
                <c:pt idx="20">
                  <c:v>93.5</c:v>
                </c:pt>
                <c:pt idx="21">
                  <c:v>92.3</c:v>
                </c:pt>
                <c:pt idx="22">
                  <c:v>81</c:v>
                </c:pt>
                <c:pt idx="23">
                  <c:v>76</c:v>
                </c:pt>
                <c:pt idx="24">
                  <c:v>82.3</c:v>
                </c:pt>
                <c:pt idx="25">
                  <c:v>84.375</c:v>
                </c:pt>
                <c:pt idx="26">
                  <c:v>82.95</c:v>
                </c:pt>
                <c:pt idx="27">
                  <c:v>88.5625</c:v>
                </c:pt>
                <c:pt idx="28">
                  <c:v>85.875</c:v>
                </c:pt>
                <c:pt idx="29">
                  <c:v>92</c:v>
                </c:pt>
                <c:pt idx="30">
                  <c:v>103.15</c:v>
                </c:pt>
                <c:pt idx="31">
                  <c:v>108.6875</c:v>
                </c:pt>
                <c:pt idx="32">
                  <c:v>102.25</c:v>
                </c:pt>
                <c:pt idx="33">
                  <c:v>87.9</c:v>
                </c:pt>
                <c:pt idx="34">
                  <c:v>91.3125</c:v>
                </c:pt>
                <c:pt idx="35">
                  <c:v>76.849999999999994</c:v>
                </c:pt>
                <c:pt idx="36">
                  <c:v>80.125</c:v>
                </c:pt>
                <c:pt idx="37">
                  <c:v>84.375</c:v>
                </c:pt>
                <c:pt idx="38">
                  <c:v>74.05</c:v>
                </c:pt>
                <c:pt idx="39">
                  <c:v>71.1875</c:v>
                </c:pt>
                <c:pt idx="40">
                  <c:v>68.25</c:v>
                </c:pt>
                <c:pt idx="41">
                  <c:v>64.599999999999994</c:v>
                </c:pt>
                <c:pt idx="42">
                  <c:v>62.625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8-4378-84AA-D3DA127B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104640385298373"/>
              <c:y val="0.854998561823607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Cents per pound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103115823393365"/>
          <c:y val="8.6721824194554653E-2"/>
          <c:w val="0.48824198955328602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6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World oilseed prices 2002</a:t>
            </a:r>
            <a:r>
              <a:rPr lang="en-US" sz="1050" b="1" i="0" u="none" strike="noStrike" baseline="0">
                <a:effectLst/>
              </a:rPr>
              <a:t>–</a:t>
            </a:r>
            <a:r>
              <a:rPr lang="en-US" sz="1100" b="1" i="0" baseline="0">
                <a:effectLst/>
              </a:rPr>
              <a:t>present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65562058029664E-2"/>
          <c:y val="0.25130525238799578"/>
          <c:w val="0.86887862810033112"/>
          <c:h val="0.4757675023026004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6'!$B$2</c:f>
              <c:strCache>
                <c:ptCount val="1"/>
                <c:pt idx="0">
                  <c:v>Soybeans, U.S. No. 2, CIF Rotterdam, NL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6'!$A$3:$A$23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 YTD</c:v>
                </c:pt>
              </c:strCache>
            </c:strRef>
          </c:cat>
          <c:val>
            <c:numRef>
              <c:f>'Figure 6'!$B$3:$B$23</c:f>
              <c:numCache>
                <c:formatCode>0</c:formatCode>
                <c:ptCount val="21"/>
                <c:pt idx="0">
                  <c:v>244.83333333333334</c:v>
                </c:pt>
                <c:pt idx="1">
                  <c:v>322.75</c:v>
                </c:pt>
                <c:pt idx="2">
                  <c:v>276.91666666666669</c:v>
                </c:pt>
                <c:pt idx="3">
                  <c:v>260.91666666666669</c:v>
                </c:pt>
                <c:pt idx="4">
                  <c:v>335.41666666666669</c:v>
                </c:pt>
                <c:pt idx="5">
                  <c:v>549.66666666666663</c:v>
                </c:pt>
                <c:pt idx="6">
                  <c:v>420.83333333333331</c:v>
                </c:pt>
                <c:pt idx="7">
                  <c:v>429.16666666666669</c:v>
                </c:pt>
                <c:pt idx="8">
                  <c:v>549.25</c:v>
                </c:pt>
                <c:pt idx="9">
                  <c:v>562.25</c:v>
                </c:pt>
                <c:pt idx="10">
                  <c:v>557.16666666666663</c:v>
                </c:pt>
                <c:pt idx="11">
                  <c:v>520.66666666666663</c:v>
                </c:pt>
                <c:pt idx="12">
                  <c:v>407.08333333333331</c:v>
                </c:pt>
                <c:pt idx="13">
                  <c:v>395.75</c:v>
                </c:pt>
                <c:pt idx="14">
                  <c:v>403.58333333333331</c:v>
                </c:pt>
                <c:pt idx="15">
                  <c:v>403.41666666666669</c:v>
                </c:pt>
                <c:pt idx="16">
                  <c:v>369.91666666666669</c:v>
                </c:pt>
                <c:pt idx="17">
                  <c:v>379.83333333333331</c:v>
                </c:pt>
                <c:pt idx="18">
                  <c:v>563.25</c:v>
                </c:pt>
                <c:pt idx="19">
                  <c:v>639.66666666666663</c:v>
                </c:pt>
                <c:pt idx="2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9-4CB4-9206-91B128A48085}"/>
            </c:ext>
          </c:extLst>
        </c:ser>
        <c:ser>
          <c:idx val="0"/>
          <c:order val="1"/>
          <c:tx>
            <c:strRef>
              <c:f>'Figure 6'!$C$2</c:f>
              <c:strCache>
                <c:ptCount val="1"/>
                <c:pt idx="0">
                  <c:v>Sunflowerseed, CIF Rotterdam, NL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'Figure 6'!$A$3:$A$23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 YTD</c:v>
                </c:pt>
              </c:strCache>
            </c:strRef>
          </c:cat>
          <c:val>
            <c:numRef>
              <c:f>'Figure 6'!$C$3:$C$23</c:f>
              <c:numCache>
                <c:formatCode>0</c:formatCode>
                <c:ptCount val="21"/>
                <c:pt idx="0">
                  <c:v>286.16666666666669</c:v>
                </c:pt>
                <c:pt idx="1">
                  <c:v>320.75</c:v>
                </c:pt>
                <c:pt idx="2">
                  <c:v>313</c:v>
                </c:pt>
                <c:pt idx="3">
                  <c:v>291.41666666666669</c:v>
                </c:pt>
                <c:pt idx="4">
                  <c:v>401.16666666666669</c:v>
                </c:pt>
                <c:pt idx="5">
                  <c:v>745.25</c:v>
                </c:pt>
                <c:pt idx="6">
                  <c:v>363.66666666666669</c:v>
                </c:pt>
                <c:pt idx="7">
                  <c:v>451.91666666666669</c:v>
                </c:pt>
                <c:pt idx="8">
                  <c:v>661.16666666666663</c:v>
                </c:pt>
                <c:pt idx="9">
                  <c:v>592.58333333333337</c:v>
                </c:pt>
                <c:pt idx="10">
                  <c:v>580.25</c:v>
                </c:pt>
                <c:pt idx="11">
                  <c:v>466.08333333333331</c:v>
                </c:pt>
                <c:pt idx="12">
                  <c:v>431.66666666666669</c:v>
                </c:pt>
                <c:pt idx="13">
                  <c:v>439.75</c:v>
                </c:pt>
                <c:pt idx="14">
                  <c:v>407.58333333333331</c:v>
                </c:pt>
                <c:pt idx="15">
                  <c:v>402.75</c:v>
                </c:pt>
                <c:pt idx="16">
                  <c:v>380.08333333333331</c:v>
                </c:pt>
                <c:pt idx="17">
                  <c:v>420</c:v>
                </c:pt>
                <c:pt idx="18">
                  <c:v>684.66666666666663</c:v>
                </c:pt>
                <c:pt idx="19">
                  <c:v>762.58333333333337</c:v>
                </c:pt>
                <c:pt idx="20">
                  <c:v>581.28571428571433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9-4CB4-9206-91B128A48085}"/>
            </c:ext>
          </c:extLst>
        </c:ser>
        <c:ser>
          <c:idx val="2"/>
          <c:order val="2"/>
          <c:tx>
            <c:strRef>
              <c:f>'Figure 6'!$D$2</c:f>
              <c:strCache>
                <c:ptCount val="1"/>
                <c:pt idx="0">
                  <c:v>Rapeseed, CIF Hamburg, DE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6'!$A$3:$A$23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 YTD</c:v>
                </c:pt>
              </c:strCache>
            </c:strRef>
          </c:cat>
          <c:val>
            <c:numRef>
              <c:f>'Figure 6'!$D$3:$D$23</c:f>
              <c:numCache>
                <c:formatCode>0</c:formatCode>
                <c:ptCount val="21"/>
                <c:pt idx="0">
                  <c:v>284.58333333333331</c:v>
                </c:pt>
                <c:pt idx="1">
                  <c:v>317.25</c:v>
                </c:pt>
                <c:pt idx="2">
                  <c:v>261.91666666666669</c:v>
                </c:pt>
                <c:pt idx="3">
                  <c:v>291.91666666666669</c:v>
                </c:pt>
                <c:pt idx="4">
                  <c:v>375.16666666666669</c:v>
                </c:pt>
                <c:pt idx="5">
                  <c:v>643.58333333333337</c:v>
                </c:pt>
                <c:pt idx="6">
                  <c:v>392.83333333333331</c:v>
                </c:pt>
                <c:pt idx="7">
                  <c:v>419.25</c:v>
                </c:pt>
                <c:pt idx="8">
                  <c:v>647.25</c:v>
                </c:pt>
                <c:pt idx="9">
                  <c:v>616.08333333333337</c:v>
                </c:pt>
                <c:pt idx="10">
                  <c:v>578.5</c:v>
                </c:pt>
                <c:pt idx="11">
                  <c:v>504.5</c:v>
                </c:pt>
                <c:pt idx="12">
                  <c:v>416.83333333333331</c:v>
                </c:pt>
                <c:pt idx="13">
                  <c:v>409.41666666666669</c:v>
                </c:pt>
                <c:pt idx="14">
                  <c:v>431.58333333333331</c:v>
                </c:pt>
                <c:pt idx="15">
                  <c:v>424.66666666666669</c:v>
                </c:pt>
                <c:pt idx="16">
                  <c:v>419.91666666666669</c:v>
                </c:pt>
                <c:pt idx="17">
                  <c:v>432.75</c:v>
                </c:pt>
                <c:pt idx="18">
                  <c:v>593.66666666666663</c:v>
                </c:pt>
                <c:pt idx="19">
                  <c:v>822.08333333333337</c:v>
                </c:pt>
                <c:pt idx="20">
                  <c:v>580.57142857142856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A9-4CB4-9206-91B128A4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6513370442745483"/>
              <c:y val="0.85451461125887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  <c:max val="850"/>
          <c:min val="2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</a:t>
                </a:r>
                <a:r>
                  <a:rPr lang="en-US" sz="900" baseline="0"/>
                  <a:t> per</a:t>
                </a:r>
                <a:r>
                  <a:rPr lang="en-US" sz="900"/>
                  <a:t> metric ton</a:t>
                </a:r>
              </a:p>
            </c:rich>
          </c:tx>
          <c:layout>
            <c:manualLayout>
              <c:xMode val="edge"/>
              <c:yMode val="edge"/>
              <c:x val="8.667086880975965E-3"/>
              <c:y val="0.18945203187451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61922247012643E-2"/>
          <c:y val="9.8540073800816891E-2"/>
          <c:w val="0.97538077752987362"/>
          <c:h val="9.13668653255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7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vegetable oils ending stocks as of September 30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6607299087614"/>
          <c:y val="0.17628667233929823"/>
          <c:w val="0.83489876265466811"/>
          <c:h val="0.48666629233057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38100"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7'!$B$2:$B$14</c:f>
              <c:numCache>
                <c:formatCode>#,##0.00_);\(#,##0.00\)</c:formatCode>
                <c:ptCount val="13"/>
                <c:pt idx="0">
                  <c:v>9.4749999999999996</c:v>
                </c:pt>
                <c:pt idx="1">
                  <c:v>9.4670000000000005</c:v>
                </c:pt>
                <c:pt idx="2">
                  <c:v>9.6120000000000001</c:v>
                </c:pt>
                <c:pt idx="3">
                  <c:v>10.843999999999999</c:v>
                </c:pt>
                <c:pt idx="4">
                  <c:v>8.7899999999999991</c:v>
                </c:pt>
                <c:pt idx="5">
                  <c:v>10.218</c:v>
                </c:pt>
                <c:pt idx="6">
                  <c:v>12.929</c:v>
                </c:pt>
                <c:pt idx="7">
                  <c:v>14.951000000000001</c:v>
                </c:pt>
                <c:pt idx="8">
                  <c:v>15.755000000000001</c:v>
                </c:pt>
                <c:pt idx="9">
                  <c:v>15.189</c:v>
                </c:pt>
                <c:pt idx="10">
                  <c:v>16.32</c:v>
                </c:pt>
                <c:pt idx="11">
                  <c:v>16.916</c:v>
                </c:pt>
                <c:pt idx="12">
                  <c:v>16.521999999999998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8-4256-B840-669256A06C0C}"/>
            </c:ext>
          </c:extLst>
        </c:ser>
        <c:ser>
          <c:idx val="4"/>
          <c:order val="1"/>
          <c:tx>
            <c:strRef>
              <c:f>'Figure 7'!$C$1</c:f>
              <c:strCache>
                <c:ptCount val="1"/>
                <c:pt idx="0">
                  <c:v>Rapeseed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7'!$C$2:$C$14</c:f>
              <c:numCache>
                <c:formatCode>#,##0.00_);\(#,##0.00\)</c:formatCode>
                <c:ptCount val="13"/>
                <c:pt idx="0">
                  <c:v>3.3290000000000002</c:v>
                </c:pt>
                <c:pt idx="1">
                  <c:v>4.9470000000000001</c:v>
                </c:pt>
                <c:pt idx="2">
                  <c:v>6.274</c:v>
                </c:pt>
                <c:pt idx="3">
                  <c:v>6.6790000000000003</c:v>
                </c:pt>
                <c:pt idx="4">
                  <c:v>5.6989999999999998</c:v>
                </c:pt>
                <c:pt idx="5">
                  <c:v>4.2430000000000003</c:v>
                </c:pt>
                <c:pt idx="6">
                  <c:v>3.39</c:v>
                </c:pt>
                <c:pt idx="7">
                  <c:v>2.9830000000000001</c:v>
                </c:pt>
                <c:pt idx="8">
                  <c:v>2.859</c:v>
                </c:pt>
                <c:pt idx="9">
                  <c:v>3.48</c:v>
                </c:pt>
                <c:pt idx="10">
                  <c:v>2.6749999999999998</c:v>
                </c:pt>
                <c:pt idx="11">
                  <c:v>3.0049999999999999</c:v>
                </c:pt>
                <c:pt idx="12">
                  <c:v>3.3330000000000002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8-4256-B840-669256A06C0C}"/>
            </c:ext>
          </c:extLst>
        </c:ser>
        <c:ser>
          <c:idx val="2"/>
          <c:order val="2"/>
          <c:tx>
            <c:strRef>
              <c:f>'Figure 7'!$D$1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7'!$D$2:$D$14</c:f>
              <c:numCache>
                <c:formatCode>#,##0.00_);\(#,##0.00\)</c:formatCode>
                <c:ptCount val="13"/>
                <c:pt idx="0">
                  <c:v>4.2990000000000004</c:v>
                </c:pt>
                <c:pt idx="1">
                  <c:v>4.2679999999999998</c:v>
                </c:pt>
                <c:pt idx="2">
                  <c:v>3.9729999999999999</c:v>
                </c:pt>
                <c:pt idx="3">
                  <c:v>4.556</c:v>
                </c:pt>
                <c:pt idx="4">
                  <c:v>4.0220000000000002</c:v>
                </c:pt>
                <c:pt idx="5">
                  <c:v>4.2370000000000001</c:v>
                </c:pt>
                <c:pt idx="6">
                  <c:v>4.34</c:v>
                </c:pt>
                <c:pt idx="7">
                  <c:v>4.7560000000000002</c:v>
                </c:pt>
                <c:pt idx="8">
                  <c:v>5.37</c:v>
                </c:pt>
                <c:pt idx="9">
                  <c:v>5.3609999999999998</c:v>
                </c:pt>
                <c:pt idx="10">
                  <c:v>4.67</c:v>
                </c:pt>
                <c:pt idx="11">
                  <c:v>4.5579999999999998</c:v>
                </c:pt>
                <c:pt idx="12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8-4256-B840-669256A06C0C}"/>
            </c:ext>
          </c:extLst>
        </c:ser>
        <c:ser>
          <c:idx val="1"/>
          <c:order val="3"/>
          <c:tx>
            <c:strRef>
              <c:f>'Figure 7'!$E$1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7'!$E$2:$E$14</c:f>
              <c:numCache>
                <c:formatCode>#,##0.00_);\(#,##0.00\)</c:formatCode>
                <c:ptCount val="13"/>
                <c:pt idx="0">
                  <c:v>3.0459999999999998</c:v>
                </c:pt>
                <c:pt idx="1">
                  <c:v>2.2599999999999998</c:v>
                </c:pt>
                <c:pt idx="2">
                  <c:v>2.9350000000000001</c:v>
                </c:pt>
                <c:pt idx="3">
                  <c:v>2.5430000000000001</c:v>
                </c:pt>
                <c:pt idx="4">
                  <c:v>2.0459999999999998</c:v>
                </c:pt>
                <c:pt idx="5">
                  <c:v>2.6030000000000002</c:v>
                </c:pt>
                <c:pt idx="6">
                  <c:v>2.6059999999999999</c:v>
                </c:pt>
                <c:pt idx="7">
                  <c:v>2.3420000000000001</c:v>
                </c:pt>
                <c:pt idx="8">
                  <c:v>2.786</c:v>
                </c:pt>
                <c:pt idx="9">
                  <c:v>1.84</c:v>
                </c:pt>
                <c:pt idx="10">
                  <c:v>2.581</c:v>
                </c:pt>
                <c:pt idx="11">
                  <c:v>3.0739999999999998</c:v>
                </c:pt>
                <c:pt idx="12">
                  <c:v>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98-4256-B840-669256A06C0C}"/>
            </c:ext>
          </c:extLst>
        </c:ser>
        <c:ser>
          <c:idx val="5"/>
          <c:order val="4"/>
          <c:tx>
            <c:strRef>
              <c:f>'Figure 7'!$F$1</c:f>
              <c:strCache>
                <c:ptCount val="1"/>
                <c:pt idx="0">
                  <c:v>Other oils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7'!$F$2:$F$14</c:f>
              <c:numCache>
                <c:formatCode>#,##0.00_);\(#,##0.00\)</c:formatCode>
                <c:ptCount val="13"/>
                <c:pt idx="0">
                  <c:v>3.0640000000000001</c:v>
                </c:pt>
                <c:pt idx="1">
                  <c:v>2.3319999999999999</c:v>
                </c:pt>
                <c:pt idx="2">
                  <c:v>2.649</c:v>
                </c:pt>
                <c:pt idx="3">
                  <c:v>2.1309999999999998</c:v>
                </c:pt>
                <c:pt idx="4">
                  <c:v>2.3860000000000001</c:v>
                </c:pt>
                <c:pt idx="5">
                  <c:v>2.222</c:v>
                </c:pt>
                <c:pt idx="6">
                  <c:v>3.306</c:v>
                </c:pt>
                <c:pt idx="7">
                  <c:v>3.2519999999999998</c:v>
                </c:pt>
                <c:pt idx="8">
                  <c:v>3.2480000000000002</c:v>
                </c:pt>
                <c:pt idx="9">
                  <c:v>2.8149999999999999</c:v>
                </c:pt>
                <c:pt idx="10">
                  <c:v>2.8530000000000002</c:v>
                </c:pt>
                <c:pt idx="11">
                  <c:v>2.4980000000000002</c:v>
                </c:pt>
                <c:pt idx="12">
                  <c:v>2.601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8-4256-B840-669256A06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710031239837197"/>
              <c:y val="0.81230410946833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24809398825146"/>
          <c:y val="0.12506502830643926"/>
          <c:w val="0.81248298861553658"/>
          <c:h val="4.798293489487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603884</xdr:colOff>
      <xdr:row>0</xdr:row>
      <xdr:rowOff>45720</xdr:rowOff>
    </xdr:from>
    <xdr:to>
      <xdr:col>17</xdr:col>
      <xdr:colOff>40004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F08E8-F157-4FCE-901B-7D6798361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0.89332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86125"/>
          <a:ext cx="5772150" cy="39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Agricultural Marketing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National Grain and Oilseed Processor Feedstuff Report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and Sosland Publishing,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Milling and Baking News.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607695</xdr:colOff>
      <xdr:row>2</xdr:row>
      <xdr:rowOff>45720</xdr:rowOff>
    </xdr:from>
    <xdr:to>
      <xdr:col>14</xdr:col>
      <xdr:colOff>356235</xdr:colOff>
      <xdr:row>24</xdr:row>
      <xdr:rowOff>99062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64D35D-8A2C-4558-BE6F-68B9C0B95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0.90604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128607"/>
          <a:ext cx="6730368" cy="42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CIF = Cost, Insurance, and Freight.  YTD = October 2022</a:t>
          </a:r>
          <a:r>
            <a:rPr lang="en-US" sz="1100">
              <a:effectLst/>
              <a:latin typeface="+mn-lt"/>
              <a:ea typeface="+mn-ea"/>
              <a:cs typeface="+mn-cs"/>
            </a:rPr>
            <a:t>–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March 2023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International Grains Council and Oil World.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497204</xdr:colOff>
      <xdr:row>0</xdr:row>
      <xdr:rowOff>0</xdr:rowOff>
    </xdr:from>
    <xdr:to>
      <xdr:col>16</xdr:col>
      <xdr:colOff>337184</xdr:colOff>
      <xdr:row>22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8444C-EE42-4221-A7DD-A0000E8FA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0.85755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06140"/>
          <a:ext cx="6088380" cy="5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Other oils includes coconut oil, cottonseed oil, olive oil, palm kernel oil and peanut oil.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Asterisk (*) denotes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0.86835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15615"/>
          <a:ext cx="6400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Asterisk (*) denotes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85725</xdr:rowOff>
    </xdr:from>
    <xdr:to>
      <xdr:col>14</xdr:col>
      <xdr:colOff>447675</xdr:colOff>
      <xdr:row>18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19C9A1-1B57-46CA-81FC-F5DD3B946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0.84252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619375"/>
          <a:ext cx="5772150" cy="489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World Agricultural Outlook Board,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306703</xdr:colOff>
      <xdr:row>0</xdr:row>
      <xdr:rowOff>57150</xdr:rowOff>
    </xdr:from>
    <xdr:to>
      <xdr:col>15</xdr:col>
      <xdr:colOff>173353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672704-3F00-48F9-AD3D-D2304BBB6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0.86558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4225"/>
          <a:ext cx="5772150" cy="51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World Agricultural Outlook Board,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World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Agricultural Supply and Demand Estimates.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259078</xdr:colOff>
      <xdr:row>0</xdr:row>
      <xdr:rowOff>38100</xdr:rowOff>
    </xdr:from>
    <xdr:to>
      <xdr:col>14</xdr:col>
      <xdr:colOff>125728</xdr:colOff>
      <xdr:row>21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16443-B20A-4F00-B816-48F6B5CC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0.86558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4225"/>
          <a:ext cx="5772150" cy="51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World Agricultural Outlook Board,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World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Agricultural Supply and Demand Estimates.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316228</xdr:colOff>
      <xdr:row>0</xdr:row>
      <xdr:rowOff>133350</xdr:rowOff>
    </xdr:from>
    <xdr:to>
      <xdr:col>12</xdr:col>
      <xdr:colOff>392428</xdr:colOff>
      <xdr:row>21</xdr:row>
      <xdr:rowOff>70485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F6704E-4D7D-4C0F-8C68-554C755AD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05"/>
      <c r="C1" s="10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05"/>
    </row>
    <row r="5" spans="1:3">
      <c r="A5" s="10" t="s">
        <v>3</v>
      </c>
      <c r="B5" s="4"/>
      <c r="C5" s="105"/>
    </row>
    <row r="6" spans="1:3">
      <c r="A6" s="10" t="s">
        <v>4</v>
      </c>
      <c r="B6" s="4"/>
      <c r="C6" s="105"/>
    </row>
    <row r="7" spans="1:3">
      <c r="A7" s="10" t="s">
        <v>5</v>
      </c>
      <c r="B7" s="4"/>
      <c r="C7" s="105"/>
    </row>
    <row r="8" spans="1:3">
      <c r="A8" s="10" t="s">
        <v>6</v>
      </c>
      <c r="B8" s="4"/>
      <c r="C8" s="105"/>
    </row>
    <row r="9" spans="1:3">
      <c r="A9" s="10" t="s">
        <v>7</v>
      </c>
      <c r="B9" s="4"/>
      <c r="C9" s="105"/>
    </row>
    <row r="10" spans="1:3">
      <c r="A10" s="10" t="s">
        <v>8</v>
      </c>
      <c r="B10" s="4"/>
      <c r="C10" s="105"/>
    </row>
    <row r="11" spans="1:3">
      <c r="A11" s="10" t="s">
        <v>9</v>
      </c>
      <c r="B11" s="4"/>
      <c r="C11" s="105"/>
    </row>
    <row r="12" spans="1:3">
      <c r="A12" s="10" t="s">
        <v>10</v>
      </c>
      <c r="B12" s="4"/>
      <c r="C12" s="105"/>
    </row>
    <row r="13" spans="1:3">
      <c r="A13" s="11" t="s">
        <v>11</v>
      </c>
      <c r="B13" s="4"/>
      <c r="C13" s="105"/>
    </row>
    <row r="14" spans="1:3" ht="13.2">
      <c r="A14" s="105"/>
      <c r="B14" s="105"/>
      <c r="C14" s="105"/>
    </row>
    <row r="15" spans="1:3">
      <c r="A15" s="7" t="s">
        <v>12</v>
      </c>
      <c r="B15" s="105"/>
      <c r="C15" s="105"/>
    </row>
    <row r="16" spans="1:3">
      <c r="A16" s="9">
        <v>45062</v>
      </c>
      <c r="B16" s="105"/>
      <c r="C16" s="10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7E7E-57C5-41C0-A9B5-09145F9549E2}">
  <dimension ref="A1:D259"/>
  <sheetViews>
    <sheetView workbookViewId="0">
      <selection activeCell="H23" sqref="H23"/>
    </sheetView>
  </sheetViews>
  <sheetFormatPr defaultColWidth="8.88671875" defaultRowHeight="13.2"/>
  <cols>
    <col min="1" max="1" width="13.109375" style="132" customWidth="1"/>
    <col min="2" max="3" width="8.88671875" style="132"/>
    <col min="4" max="4" width="8" style="132" customWidth="1"/>
    <col min="5" max="16384" width="8.88671875" style="132"/>
  </cols>
  <sheetData>
    <row r="1" spans="1:4" ht="26.4">
      <c r="A1" s="143" t="s">
        <v>148</v>
      </c>
      <c r="B1" s="149" t="s">
        <v>15</v>
      </c>
      <c r="C1" s="149" t="s">
        <v>215</v>
      </c>
      <c r="D1" s="143" t="s">
        <v>191</v>
      </c>
    </row>
    <row r="2" spans="1:4">
      <c r="A2" s="142" t="s">
        <v>109</v>
      </c>
      <c r="B2" s="158">
        <v>4053.2856843585473</v>
      </c>
      <c r="C2" s="158">
        <v>3862.6756843585472</v>
      </c>
      <c r="D2" s="158">
        <v>190.61</v>
      </c>
    </row>
    <row r="3" spans="1:4">
      <c r="A3" s="142" t="s">
        <v>110</v>
      </c>
      <c r="B3" s="158">
        <v>4140.9299162439074</v>
      </c>
      <c r="C3" s="158">
        <v>3944.2009162439076</v>
      </c>
      <c r="D3" s="158">
        <v>196.72900000000001</v>
      </c>
    </row>
    <row r="4" spans="1:4">
      <c r="A4" s="142" t="s">
        <v>111</v>
      </c>
      <c r="B4" s="158">
        <v>4515.5057172106053</v>
      </c>
      <c r="C4" s="158">
        <v>4213.9107172106051</v>
      </c>
      <c r="D4" s="158">
        <v>301.59500000000003</v>
      </c>
    </row>
    <row r="5" spans="1:4">
      <c r="A5" s="142" t="s">
        <v>112</v>
      </c>
      <c r="B5" s="158">
        <v>4735.0385006007273</v>
      </c>
      <c r="C5" s="158">
        <v>4296.9335006007277</v>
      </c>
      <c r="D5" s="158">
        <v>438.10500000000002</v>
      </c>
    </row>
    <row r="6" spans="1:4">
      <c r="A6" s="142" t="s">
        <v>113</v>
      </c>
      <c r="B6" s="158">
        <v>4880.3122800963401</v>
      </c>
      <c r="C6" s="158">
        <v>3971.26028009634</v>
      </c>
      <c r="D6" s="158">
        <v>909.05200000000002</v>
      </c>
    </row>
    <row r="7" spans="1:4">
      <c r="A7" s="142" t="s">
        <v>114</v>
      </c>
      <c r="B7" s="158">
        <v>4476.3405056159772</v>
      </c>
      <c r="C7" s="158">
        <v>3951.7995056159771</v>
      </c>
      <c r="D7" s="158">
        <v>524.54100000000005</v>
      </c>
    </row>
    <row r="8" spans="1:4">
      <c r="A8" s="142" t="s">
        <v>34</v>
      </c>
      <c r="B8" s="158">
        <v>4760.6579864362348</v>
      </c>
      <c r="C8" s="158">
        <v>4503.6789864362345</v>
      </c>
      <c r="D8" s="158">
        <v>256.97899999999998</v>
      </c>
    </row>
    <row r="9" spans="1:4">
      <c r="A9" s="142" t="s">
        <v>37</v>
      </c>
      <c r="B9" s="158">
        <v>4738.2710486205597</v>
      </c>
      <c r="C9" s="158">
        <v>4463.8770486205594</v>
      </c>
      <c r="D9" s="158">
        <v>274.39400000000001</v>
      </c>
    </row>
    <row r="10" spans="1:4">
      <c r="A10" s="142" t="s">
        <v>196</v>
      </c>
      <c r="B10" s="158">
        <v>4570.5169999999998</v>
      </c>
      <c r="C10" s="158">
        <v>4355.2779795298602</v>
      </c>
      <c r="D10" s="158">
        <v>215.23902047013962</v>
      </c>
    </row>
    <row r="11" spans="1:4">
      <c r="A11" s="142" t="s">
        <v>150</v>
      </c>
      <c r="B11" s="158">
        <v>4745.2390204701396</v>
      </c>
      <c r="C11" s="158">
        <v>4410.5610361019117</v>
      </c>
      <c r="D11" s="158">
        <v>334.67798436822795</v>
      </c>
    </row>
    <row r="12" spans="1:4">
      <c r="A12" s="142"/>
    </row>
    <row r="13" spans="1:4">
      <c r="A13" s="142"/>
    </row>
    <row r="14" spans="1:4">
      <c r="A14" s="142"/>
    </row>
    <row r="15" spans="1:4">
      <c r="A15" s="142"/>
    </row>
    <row r="16" spans="1:4">
      <c r="A16" s="142"/>
    </row>
    <row r="17" spans="1:1">
      <c r="A17" s="142"/>
    </row>
    <row r="18" spans="1:1">
      <c r="A18" s="142"/>
    </row>
    <row r="19" spans="1:1">
      <c r="A19" s="142"/>
    </row>
    <row r="20" spans="1:1">
      <c r="A20" s="142"/>
    </row>
    <row r="21" spans="1:1">
      <c r="A21" s="144"/>
    </row>
    <row r="22" spans="1:1">
      <c r="A22" s="144"/>
    </row>
    <row r="23" spans="1:1">
      <c r="A23" s="144"/>
    </row>
    <row r="24" spans="1:1">
      <c r="A24" s="144"/>
    </row>
    <row r="25" spans="1:1">
      <c r="A25" s="144"/>
    </row>
    <row r="26" spans="1:1">
      <c r="A26" s="144"/>
    </row>
    <row r="27" spans="1:1">
      <c r="A27" s="144"/>
    </row>
    <row r="28" spans="1:1">
      <c r="A28" s="144"/>
    </row>
    <row r="29" spans="1:1">
      <c r="A29" s="144"/>
    </row>
    <row r="30" spans="1:1">
      <c r="A30" s="144"/>
    </row>
    <row r="31" spans="1:1">
      <c r="A31" s="144"/>
    </row>
    <row r="32" spans="1:1">
      <c r="A32" s="144"/>
    </row>
    <row r="33" spans="1:1">
      <c r="A33" s="144"/>
    </row>
    <row r="34" spans="1:1">
      <c r="A34" s="144"/>
    </row>
    <row r="35" spans="1:1">
      <c r="A35" s="144"/>
    </row>
    <row r="36" spans="1:1">
      <c r="A36" s="144"/>
    </row>
    <row r="37" spans="1:1">
      <c r="A37" s="144"/>
    </row>
    <row r="38" spans="1:1">
      <c r="A38" s="144"/>
    </row>
    <row r="39" spans="1:1">
      <c r="A39" s="144"/>
    </row>
    <row r="40" spans="1:1">
      <c r="A40" s="144"/>
    </row>
    <row r="41" spans="1:1">
      <c r="A41" s="144"/>
    </row>
    <row r="42" spans="1:1">
      <c r="A42" s="144"/>
    </row>
    <row r="43" spans="1:1">
      <c r="A43" s="144"/>
    </row>
    <row r="44" spans="1:1">
      <c r="A44" s="144"/>
    </row>
    <row r="45" spans="1:1">
      <c r="A45" s="144"/>
    </row>
    <row r="46" spans="1:1">
      <c r="A46" s="144"/>
    </row>
    <row r="47" spans="1:1">
      <c r="A47" s="144"/>
    </row>
    <row r="48" spans="1:1">
      <c r="A48" s="144"/>
    </row>
    <row r="49" spans="1:1">
      <c r="A49" s="144"/>
    </row>
    <row r="50" spans="1:1">
      <c r="A50" s="144"/>
    </row>
    <row r="51" spans="1:1">
      <c r="A51" s="144"/>
    </row>
    <row r="52" spans="1:1">
      <c r="A52" s="144"/>
    </row>
    <row r="53" spans="1:1">
      <c r="A53" s="144"/>
    </row>
    <row r="54" spans="1:1">
      <c r="A54" s="144"/>
    </row>
    <row r="55" spans="1:1">
      <c r="A55" s="144"/>
    </row>
    <row r="56" spans="1:1">
      <c r="A56" s="144"/>
    </row>
    <row r="57" spans="1:1">
      <c r="A57" s="144"/>
    </row>
    <row r="58" spans="1:1">
      <c r="A58" s="144"/>
    </row>
    <row r="59" spans="1:1">
      <c r="A59" s="144"/>
    </row>
    <row r="60" spans="1:1">
      <c r="A60" s="144"/>
    </row>
    <row r="61" spans="1:1">
      <c r="A61" s="144"/>
    </row>
    <row r="62" spans="1:1">
      <c r="A62" s="144"/>
    </row>
    <row r="63" spans="1:1">
      <c r="A63" s="144"/>
    </row>
    <row r="64" spans="1:1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7"/>
    </row>
    <row r="191" spans="1:1">
      <c r="A191" s="147"/>
    </row>
    <row r="192" spans="1:1">
      <c r="A192" s="147"/>
    </row>
    <row r="193" spans="1:1">
      <c r="A193" s="147"/>
    </row>
    <row r="194" spans="1:1">
      <c r="A194" s="147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4"/>
    </row>
    <row r="201" spans="1:1">
      <c r="A201" s="144"/>
    </row>
    <row r="202" spans="1:1">
      <c r="A202" s="144"/>
    </row>
    <row r="203" spans="1:1">
      <c r="A203" s="144"/>
    </row>
    <row r="204" spans="1:1">
      <c r="A204" s="144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FA71-D6E9-4835-BCEC-D760444BE9DF}">
  <dimension ref="A1:J269"/>
  <sheetViews>
    <sheetView workbookViewId="0">
      <selection activeCell="I25" sqref="I25"/>
    </sheetView>
  </sheetViews>
  <sheetFormatPr defaultColWidth="8.88671875" defaultRowHeight="13.2"/>
  <cols>
    <col min="1" max="1" width="13.109375" style="132" customWidth="1"/>
    <col min="2" max="2" width="12" style="132" bestFit="1" customWidth="1"/>
    <col min="3" max="3" width="10.6640625" style="132" bestFit="1" customWidth="1"/>
    <col min="4" max="4" width="14.5546875" style="132" customWidth="1"/>
    <col min="5" max="16384" width="8.88671875" style="132"/>
  </cols>
  <sheetData>
    <row r="1" spans="1:10" ht="39.6">
      <c r="A1" s="157" t="s">
        <v>148</v>
      </c>
      <c r="B1" s="157" t="s">
        <v>15</v>
      </c>
      <c r="C1" s="157" t="s">
        <v>197</v>
      </c>
      <c r="D1" s="157" t="s">
        <v>198</v>
      </c>
      <c r="E1" s="157" t="s">
        <v>30</v>
      </c>
    </row>
    <row r="2" spans="1:10">
      <c r="A2" s="142" t="s">
        <v>109</v>
      </c>
      <c r="B2" s="156">
        <v>22.828092465326804</v>
      </c>
      <c r="C2" s="156">
        <v>5.0387700000000004</v>
      </c>
      <c r="D2" s="156">
        <v>13.920131077093275</v>
      </c>
      <c r="E2" s="156">
        <v>2.014373388233528</v>
      </c>
      <c r="F2" s="146"/>
      <c r="G2" s="146"/>
      <c r="H2" s="146"/>
      <c r="I2" s="146"/>
      <c r="J2" s="146"/>
    </row>
    <row r="3" spans="1:10">
      <c r="A3" s="142" t="s">
        <v>110</v>
      </c>
      <c r="B3" s="156">
        <v>24.091602320751409</v>
      </c>
      <c r="C3" s="156">
        <v>5.67</v>
      </c>
      <c r="D3" s="156">
        <v>14.492247412149666</v>
      </c>
      <c r="E3" s="156">
        <v>2.242541908601738</v>
      </c>
      <c r="F3" s="146"/>
      <c r="G3" s="146"/>
      <c r="H3" s="146"/>
      <c r="I3" s="146"/>
      <c r="J3" s="146"/>
    </row>
    <row r="4" spans="1:10">
      <c r="A4" s="142" t="s">
        <v>111</v>
      </c>
      <c r="B4" s="156">
        <v>24.128933269060301</v>
      </c>
      <c r="C4" s="156">
        <v>6.2003000000000004</v>
      </c>
      <c r="D4" s="156">
        <v>13.662016352975796</v>
      </c>
      <c r="E4" s="156">
        <v>2.5556629160845037</v>
      </c>
      <c r="F4" s="146"/>
      <c r="G4" s="146"/>
      <c r="H4" s="146"/>
      <c r="I4" s="146"/>
      <c r="J4" s="146"/>
    </row>
    <row r="5" spans="1:10">
      <c r="A5" s="142" t="s">
        <v>112</v>
      </c>
      <c r="B5" s="156">
        <v>25.818682172426755</v>
      </c>
      <c r="C5" s="156">
        <v>7.33371</v>
      </c>
      <c r="D5" s="156">
        <v>14.04650060750757</v>
      </c>
      <c r="E5" s="156">
        <v>2.4430375649191838</v>
      </c>
      <c r="F5" s="146"/>
      <c r="G5" s="146"/>
      <c r="H5" s="146"/>
      <c r="I5" s="146"/>
      <c r="J5" s="146"/>
    </row>
    <row r="6" spans="1:10">
      <c r="A6" s="142" t="s">
        <v>113</v>
      </c>
      <c r="B6" s="156">
        <v>26.589894973010903</v>
      </c>
      <c r="C6" s="156">
        <v>8.6632999999999996</v>
      </c>
      <c r="D6" s="156">
        <v>14.210857005018134</v>
      </c>
      <c r="E6" s="156">
        <v>1.9404219679927719</v>
      </c>
      <c r="F6" s="146"/>
      <c r="G6" s="146"/>
      <c r="H6" s="146"/>
      <c r="I6" s="146"/>
      <c r="J6" s="146"/>
    </row>
    <row r="7" spans="1:10">
      <c r="A7" s="142" t="s">
        <v>114</v>
      </c>
      <c r="B7" s="156">
        <v>27.006370543520113</v>
      </c>
      <c r="C7" s="156">
        <v>8.6578199999999992</v>
      </c>
      <c r="D7" s="156">
        <v>13.659180563573729</v>
      </c>
      <c r="E7" s="156">
        <v>2.8366949799463836</v>
      </c>
      <c r="F7" s="146"/>
      <c r="G7" s="146"/>
      <c r="H7" s="146"/>
      <c r="I7" s="146"/>
      <c r="J7" s="146"/>
    </row>
    <row r="8" spans="1:10">
      <c r="A8" s="142" t="s">
        <v>34</v>
      </c>
      <c r="B8" s="156">
        <v>27.176923792227427</v>
      </c>
      <c r="C8" s="156">
        <v>8.92</v>
      </c>
      <c r="D8" s="156">
        <v>14.394331644053418</v>
      </c>
      <c r="E8" s="156">
        <v>1.731359148174006</v>
      </c>
      <c r="F8" s="146"/>
      <c r="G8" s="146"/>
      <c r="H8" s="146"/>
      <c r="I8" s="146"/>
      <c r="J8" s="146"/>
    </row>
    <row r="9" spans="1:10">
      <c r="A9" s="142" t="s">
        <v>37</v>
      </c>
      <c r="B9" s="156">
        <v>28.589694390597565</v>
      </c>
      <c r="C9" s="156">
        <v>10.348190000000001</v>
      </c>
      <c r="D9" s="156">
        <v>14.476912760305853</v>
      </c>
      <c r="E9" s="156">
        <v>1.7734436302917098</v>
      </c>
      <c r="F9" s="146"/>
      <c r="G9" s="146"/>
      <c r="H9" s="146"/>
      <c r="I9" s="146"/>
      <c r="J9" s="146"/>
    </row>
    <row r="10" spans="1:10">
      <c r="A10" s="142" t="s">
        <v>196</v>
      </c>
      <c r="B10" s="156">
        <v>28.511148000000002</v>
      </c>
      <c r="C10" s="156">
        <v>11.6</v>
      </c>
      <c r="D10" s="156">
        <v>14.525</v>
      </c>
      <c r="E10" s="156">
        <v>0.45</v>
      </c>
      <c r="F10" s="146"/>
      <c r="G10" s="146"/>
      <c r="H10" s="146"/>
      <c r="I10" s="146"/>
      <c r="J10" s="146"/>
    </row>
    <row r="11" spans="1:10">
      <c r="A11" s="142" t="s">
        <v>150</v>
      </c>
      <c r="B11" s="156">
        <v>29.431148</v>
      </c>
      <c r="C11" s="156">
        <v>12.5</v>
      </c>
      <c r="D11" s="156">
        <v>14.5</v>
      </c>
      <c r="E11" s="156">
        <v>0.6</v>
      </c>
      <c r="F11" s="146"/>
      <c r="G11" s="146"/>
      <c r="H11" s="146"/>
      <c r="I11" s="146"/>
      <c r="J11" s="146"/>
    </row>
    <row r="12" spans="1:10">
      <c r="A12" s="142"/>
      <c r="B12" s="99"/>
      <c r="C12" s="99"/>
      <c r="D12" s="99"/>
      <c r="E12" s="146"/>
      <c r="F12" s="146"/>
    </row>
    <row r="13" spans="1:10">
      <c r="A13" s="142"/>
      <c r="B13" s="99"/>
      <c r="C13" s="99"/>
      <c r="D13" s="99"/>
      <c r="E13" s="146"/>
      <c r="F13" s="146"/>
    </row>
    <row r="14" spans="1:10">
      <c r="A14" s="142"/>
      <c r="B14" s="99"/>
      <c r="C14" s="99"/>
      <c r="D14" s="99"/>
      <c r="E14" s="146"/>
      <c r="F14" s="146"/>
    </row>
    <row r="15" spans="1:10">
      <c r="A15" s="142"/>
      <c r="B15" s="99"/>
      <c r="C15" s="99"/>
      <c r="D15" s="99"/>
      <c r="E15" s="146"/>
      <c r="F15" s="146"/>
    </row>
    <row r="16" spans="1:10">
      <c r="A16" s="142"/>
      <c r="B16" s="99"/>
      <c r="C16" s="99"/>
      <c r="D16" s="99"/>
      <c r="E16" s="146"/>
      <c r="F16" s="146"/>
    </row>
    <row r="17" spans="1:6">
      <c r="A17" s="142"/>
      <c r="B17" s="99"/>
      <c r="C17" s="99"/>
      <c r="D17" s="99"/>
      <c r="E17" s="146"/>
      <c r="F17" s="146"/>
    </row>
    <row r="18" spans="1:6">
      <c r="A18" s="142"/>
      <c r="B18" s="99"/>
      <c r="C18" s="99"/>
      <c r="D18" s="99"/>
      <c r="E18" s="146"/>
      <c r="F18" s="146"/>
    </row>
    <row r="19" spans="1:6">
      <c r="A19" s="142"/>
      <c r="B19" s="99"/>
      <c r="C19" s="99"/>
      <c r="D19" s="99"/>
      <c r="E19" s="146"/>
      <c r="F19" s="146"/>
    </row>
    <row r="20" spans="1:6">
      <c r="A20" s="142"/>
      <c r="B20" s="99"/>
      <c r="C20" s="99"/>
      <c r="D20" s="99"/>
      <c r="E20" s="146"/>
      <c r="F20" s="146"/>
    </row>
    <row r="21" spans="1:6">
      <c r="A21" s="142"/>
      <c r="B21" s="99"/>
      <c r="C21" s="99"/>
      <c r="D21" s="99"/>
      <c r="E21" s="146"/>
      <c r="F21" s="146"/>
    </row>
    <row r="22" spans="1:6">
      <c r="A22" s="142"/>
      <c r="B22" s="99"/>
      <c r="C22" s="99"/>
      <c r="D22" s="99"/>
      <c r="E22" s="146"/>
      <c r="F22" s="146"/>
    </row>
    <row r="23" spans="1:6">
      <c r="A23" s="142"/>
      <c r="B23" s="99"/>
      <c r="C23" s="99"/>
      <c r="D23" s="99"/>
      <c r="E23" s="146"/>
      <c r="F23" s="146"/>
    </row>
    <row r="24" spans="1:6">
      <c r="A24" s="142"/>
      <c r="B24" s="99"/>
      <c r="C24" s="99"/>
      <c r="D24" s="99"/>
      <c r="E24" s="146"/>
      <c r="F24" s="146"/>
    </row>
    <row r="25" spans="1:6">
      <c r="A25" s="142"/>
      <c r="B25" s="99"/>
      <c r="C25" s="99"/>
      <c r="D25" s="99"/>
      <c r="E25" s="146"/>
      <c r="F25" s="146"/>
    </row>
    <row r="26" spans="1:6">
      <c r="A26" s="142"/>
      <c r="B26" s="99"/>
      <c r="C26" s="99"/>
      <c r="D26" s="99"/>
      <c r="E26" s="146"/>
      <c r="F26" s="146"/>
    </row>
    <row r="27" spans="1:6">
      <c r="A27" s="142"/>
      <c r="B27" s="99"/>
      <c r="C27" s="99"/>
      <c r="D27" s="99"/>
      <c r="F27" s="146"/>
    </row>
    <row r="28" spans="1:6">
      <c r="A28" s="142"/>
      <c r="B28" s="99"/>
      <c r="C28" s="99"/>
      <c r="D28" s="99"/>
      <c r="E28" s="146"/>
      <c r="F28" s="146"/>
    </row>
    <row r="29" spans="1:6">
      <c r="A29" s="142"/>
      <c r="B29" s="99"/>
      <c r="C29" s="99"/>
      <c r="D29" s="99"/>
      <c r="E29" s="146"/>
      <c r="F29" s="146"/>
    </row>
    <row r="30" spans="1:6">
      <c r="A30" s="142"/>
      <c r="B30" s="99"/>
      <c r="C30" s="99"/>
      <c r="D30" s="99"/>
      <c r="E30" s="146"/>
      <c r="F30" s="146"/>
    </row>
    <row r="31" spans="1:6">
      <c r="A31" s="144"/>
      <c r="B31" s="145"/>
      <c r="C31" s="145"/>
      <c r="D31" s="146"/>
      <c r="E31" s="146"/>
      <c r="F31" s="146"/>
    </row>
    <row r="32" spans="1:6">
      <c r="A32" s="144"/>
      <c r="B32" s="145"/>
      <c r="C32" s="145"/>
      <c r="D32" s="146"/>
      <c r="E32" s="146"/>
      <c r="F32" s="146"/>
    </row>
    <row r="33" spans="1:6">
      <c r="A33" s="144"/>
      <c r="B33" s="145"/>
      <c r="C33" s="145"/>
      <c r="D33" s="146"/>
      <c r="E33" s="146"/>
      <c r="F33" s="146"/>
    </row>
    <row r="34" spans="1:6">
      <c r="A34" s="144"/>
      <c r="B34" s="145"/>
      <c r="C34" s="145"/>
      <c r="D34" s="146"/>
      <c r="E34" s="146"/>
      <c r="F34" s="146"/>
    </row>
    <row r="35" spans="1:6">
      <c r="A35" s="144"/>
      <c r="B35" s="145"/>
      <c r="C35" s="145"/>
      <c r="D35" s="146"/>
      <c r="E35" s="146"/>
      <c r="F35" s="146"/>
    </row>
    <row r="36" spans="1:6">
      <c r="A36" s="144"/>
      <c r="B36" s="145"/>
      <c r="C36" s="145"/>
      <c r="D36" s="146"/>
      <c r="E36" s="146"/>
      <c r="F36" s="146"/>
    </row>
    <row r="37" spans="1:6">
      <c r="A37" s="144"/>
      <c r="B37" s="145"/>
      <c r="C37" s="145"/>
      <c r="D37" s="146"/>
      <c r="E37" s="146"/>
      <c r="F37" s="146"/>
    </row>
    <row r="38" spans="1:6">
      <c r="A38" s="144"/>
      <c r="B38" s="145"/>
      <c r="C38" s="145"/>
      <c r="D38" s="146"/>
      <c r="E38" s="146"/>
      <c r="F38" s="146"/>
    </row>
    <row r="39" spans="1:6">
      <c r="A39" s="144"/>
      <c r="B39" s="145"/>
      <c r="C39" s="145"/>
      <c r="D39" s="146"/>
      <c r="E39" s="146"/>
      <c r="F39" s="146"/>
    </row>
    <row r="40" spans="1:6">
      <c r="A40" s="144"/>
      <c r="B40" s="145"/>
      <c r="C40" s="145"/>
      <c r="D40" s="146"/>
      <c r="E40" s="146"/>
      <c r="F40" s="146"/>
    </row>
    <row r="41" spans="1:6">
      <c r="A41" s="144"/>
      <c r="B41" s="145"/>
      <c r="C41" s="145"/>
      <c r="D41" s="146"/>
      <c r="E41" s="146"/>
      <c r="F41" s="146"/>
    </row>
    <row r="42" spans="1:6">
      <c r="A42" s="144"/>
      <c r="B42" s="145"/>
      <c r="C42" s="145"/>
      <c r="D42" s="146"/>
      <c r="E42" s="146"/>
      <c r="F42" s="146"/>
    </row>
    <row r="43" spans="1:6">
      <c r="A43" s="144"/>
      <c r="B43" s="145"/>
      <c r="C43" s="145"/>
      <c r="D43" s="146"/>
      <c r="E43" s="146"/>
      <c r="F43" s="146"/>
    </row>
    <row r="44" spans="1:6">
      <c r="A44" s="144"/>
      <c r="B44" s="145"/>
      <c r="C44" s="145"/>
      <c r="D44" s="146"/>
      <c r="E44" s="146"/>
      <c r="F44" s="146"/>
    </row>
    <row r="45" spans="1:6">
      <c r="A45" s="144"/>
      <c r="B45" s="145"/>
      <c r="C45" s="145"/>
      <c r="D45" s="146"/>
      <c r="E45" s="146"/>
      <c r="F45" s="146"/>
    </row>
    <row r="46" spans="1:6">
      <c r="A46" s="144"/>
      <c r="B46" s="145"/>
      <c r="C46" s="145"/>
      <c r="D46" s="146"/>
      <c r="E46" s="146"/>
      <c r="F46" s="146"/>
    </row>
    <row r="47" spans="1:6">
      <c r="A47" s="144"/>
      <c r="B47" s="145"/>
      <c r="C47" s="145"/>
      <c r="D47" s="146"/>
      <c r="E47" s="146"/>
      <c r="F47" s="146"/>
    </row>
    <row r="48" spans="1:6">
      <c r="A48" s="144"/>
      <c r="B48" s="145"/>
      <c r="C48" s="145"/>
      <c r="D48" s="146"/>
      <c r="E48" s="146"/>
      <c r="F48" s="146"/>
    </row>
    <row r="49" spans="1:6">
      <c r="A49" s="144"/>
      <c r="B49" s="145"/>
      <c r="C49" s="145"/>
      <c r="D49" s="146"/>
      <c r="E49" s="146"/>
      <c r="F49" s="146"/>
    </row>
    <row r="50" spans="1:6">
      <c r="A50" s="144"/>
      <c r="B50" s="145"/>
      <c r="C50" s="145"/>
      <c r="D50" s="146"/>
      <c r="E50" s="146"/>
      <c r="F50" s="146"/>
    </row>
    <row r="51" spans="1:6">
      <c r="A51" s="144"/>
      <c r="B51" s="145"/>
      <c r="C51" s="145"/>
      <c r="D51" s="146"/>
      <c r="E51" s="146"/>
      <c r="F51" s="146"/>
    </row>
    <row r="52" spans="1:6">
      <c r="A52" s="144"/>
      <c r="B52" s="145"/>
      <c r="C52" s="145"/>
      <c r="D52" s="146"/>
      <c r="E52" s="146"/>
      <c r="F52" s="146"/>
    </row>
    <row r="53" spans="1:6">
      <c r="A53" s="144"/>
      <c r="B53" s="145"/>
      <c r="C53" s="145"/>
      <c r="D53" s="146"/>
      <c r="E53" s="146"/>
      <c r="F53" s="146"/>
    </row>
    <row r="54" spans="1:6">
      <c r="A54" s="144"/>
      <c r="D54" s="146"/>
      <c r="E54" s="146"/>
      <c r="F54" s="146"/>
    </row>
    <row r="55" spans="1:6">
      <c r="A55" s="144"/>
    </row>
    <row r="56" spans="1:6">
      <c r="A56" s="144"/>
    </row>
    <row r="57" spans="1:6">
      <c r="A57" s="144"/>
    </row>
    <row r="58" spans="1:6">
      <c r="A58" s="144"/>
    </row>
    <row r="59" spans="1:6">
      <c r="A59" s="144"/>
    </row>
    <row r="60" spans="1:6">
      <c r="A60" s="144"/>
    </row>
    <row r="61" spans="1:6">
      <c r="A61" s="144"/>
    </row>
    <row r="62" spans="1:6">
      <c r="A62" s="144"/>
    </row>
    <row r="63" spans="1:6">
      <c r="A63" s="144"/>
    </row>
    <row r="64" spans="1:6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7"/>
    </row>
    <row r="201" spans="1:1">
      <c r="A201" s="147"/>
    </row>
    <row r="202" spans="1:1">
      <c r="A202" s="147"/>
    </row>
    <row r="203" spans="1:1">
      <c r="A203" s="147"/>
    </row>
    <row r="204" spans="1:1">
      <c r="A204" s="147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  <row r="269" spans="1:1">
      <c r="A269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5E29-63F8-4719-A6B4-47EE34BDE6CF}">
  <dimension ref="A1:G269"/>
  <sheetViews>
    <sheetView workbookViewId="0">
      <selection activeCell="Q10" sqref="Q10"/>
    </sheetView>
  </sheetViews>
  <sheetFormatPr defaultColWidth="8.88671875" defaultRowHeight="13.2"/>
  <cols>
    <col min="1" max="1" width="13.109375" style="132" customWidth="1"/>
    <col min="2" max="2" width="12" style="132" bestFit="1" customWidth="1"/>
    <col min="3" max="3" width="10.6640625" style="132" bestFit="1" customWidth="1"/>
    <col min="4" max="4" width="14.5546875" style="132" customWidth="1"/>
    <col min="5" max="16384" width="8.88671875" style="132"/>
  </cols>
  <sheetData>
    <row r="1" spans="1:7" ht="26.4">
      <c r="A1" s="157" t="s">
        <v>148</v>
      </c>
      <c r="B1" s="157" t="s">
        <v>15</v>
      </c>
      <c r="C1" s="157" t="s">
        <v>30</v>
      </c>
      <c r="D1" s="157" t="s">
        <v>161</v>
      </c>
      <c r="E1" s="143"/>
    </row>
    <row r="2" spans="1:7">
      <c r="A2" s="142" t="s">
        <v>109</v>
      </c>
      <c r="B2" s="156">
        <v>45.645278753946478</v>
      </c>
      <c r="C2" s="156">
        <v>13.107299501123148</v>
      </c>
      <c r="D2" s="156">
        <v>32.277515252823328</v>
      </c>
      <c r="E2" s="146"/>
      <c r="F2" s="146"/>
      <c r="G2" s="146"/>
    </row>
    <row r="3" spans="1:7">
      <c r="A3" s="142" t="s">
        <v>110</v>
      </c>
      <c r="B3" s="156">
        <v>45.326688633074973</v>
      </c>
      <c r="C3" s="156">
        <v>11.952508472427619</v>
      </c>
      <c r="D3" s="156">
        <v>33.110294160647356</v>
      </c>
      <c r="E3" s="146"/>
      <c r="F3" s="146"/>
      <c r="G3" s="146"/>
    </row>
    <row r="4" spans="1:7">
      <c r="A4" s="142" t="s">
        <v>111</v>
      </c>
      <c r="B4" s="156">
        <v>45.396040529250584</v>
      </c>
      <c r="C4" s="156">
        <v>11.579831238332519</v>
      </c>
      <c r="D4" s="156">
        <v>33.415579290918068</v>
      </c>
      <c r="E4" s="146"/>
      <c r="F4" s="146"/>
      <c r="G4" s="146"/>
    </row>
    <row r="5" spans="1:7">
      <c r="A5" s="142" t="s">
        <v>112</v>
      </c>
      <c r="B5" s="156">
        <v>50.109029724718859</v>
      </c>
      <c r="C5" s="156">
        <v>14.018496375209455</v>
      </c>
      <c r="D5" s="156">
        <v>35.535109349509405</v>
      </c>
      <c r="E5" s="146"/>
      <c r="F5" s="146"/>
      <c r="G5" s="146"/>
    </row>
    <row r="6" spans="1:7">
      <c r="A6" s="142" t="s">
        <v>113</v>
      </c>
      <c r="B6" s="156">
        <v>50.052447476720523</v>
      </c>
      <c r="C6" s="156">
        <v>13.382755633454524</v>
      </c>
      <c r="D6" s="156">
        <v>36.267676843266003</v>
      </c>
      <c r="E6" s="146"/>
      <c r="F6" s="146"/>
      <c r="G6" s="146"/>
    </row>
    <row r="7" spans="1:7">
      <c r="A7" s="142" t="s">
        <v>114</v>
      </c>
      <c r="B7" s="156">
        <v>52.141729011229799</v>
      </c>
      <c r="C7" s="156">
        <v>13.833111753485145</v>
      </c>
      <c r="D7" s="156">
        <v>37.967281257744652</v>
      </c>
      <c r="E7" s="146"/>
      <c r="F7" s="146"/>
      <c r="G7" s="146"/>
    </row>
    <row r="8" spans="1:7">
      <c r="A8" s="142" t="s">
        <v>34</v>
      </c>
      <c r="B8" s="156">
        <v>51.690524307799123</v>
      </c>
      <c r="C8" s="156">
        <v>13.675364391156284</v>
      </c>
      <c r="D8" s="156">
        <v>37.674373916642843</v>
      </c>
      <c r="E8" s="146"/>
      <c r="F8" s="146"/>
      <c r="G8" s="146"/>
    </row>
    <row r="9" spans="1:7">
      <c r="A9" s="142" t="s">
        <v>37</v>
      </c>
      <c r="B9" s="156">
        <v>52.804356746265945</v>
      </c>
      <c r="C9" s="156">
        <v>13.523827120054571</v>
      </c>
      <c r="D9" s="156">
        <v>38.969602626211376</v>
      </c>
      <c r="E9" s="146"/>
      <c r="F9" s="146"/>
      <c r="G9" s="146"/>
    </row>
    <row r="10" spans="1:7">
      <c r="A10" s="142" t="s">
        <v>196</v>
      </c>
      <c r="B10" s="156">
        <v>53.45</v>
      </c>
      <c r="C10" s="156">
        <v>13.8</v>
      </c>
      <c r="D10" s="156">
        <v>39.299999999999997</v>
      </c>
      <c r="E10" s="146"/>
      <c r="F10" s="146"/>
      <c r="G10" s="146"/>
    </row>
    <row r="11" spans="1:7">
      <c r="A11" s="142" t="s">
        <v>150</v>
      </c>
      <c r="B11" s="156">
        <v>55.375</v>
      </c>
      <c r="C11" s="156">
        <v>14.8</v>
      </c>
      <c r="D11" s="156">
        <v>40.174999999999997</v>
      </c>
      <c r="E11" s="146"/>
      <c r="F11" s="146"/>
      <c r="G11" s="146"/>
    </row>
    <row r="12" spans="1:7">
      <c r="A12" s="142"/>
      <c r="B12" s="99"/>
      <c r="C12" s="99"/>
      <c r="D12" s="99"/>
      <c r="E12" s="146"/>
      <c r="F12" s="146"/>
    </row>
    <row r="13" spans="1:7">
      <c r="A13" s="142"/>
      <c r="B13" s="99"/>
      <c r="C13" s="99"/>
      <c r="D13" s="99"/>
      <c r="E13" s="146"/>
      <c r="F13" s="146"/>
    </row>
    <row r="14" spans="1:7">
      <c r="A14" s="142"/>
      <c r="B14" s="99"/>
      <c r="C14" s="99"/>
      <c r="D14" s="99"/>
      <c r="E14" s="146"/>
      <c r="F14" s="146"/>
    </row>
    <row r="15" spans="1:7">
      <c r="A15" s="142"/>
      <c r="B15" s="99"/>
      <c r="C15" s="99"/>
      <c r="D15" s="99"/>
      <c r="E15" s="146"/>
      <c r="F15" s="146"/>
    </row>
    <row r="16" spans="1:7">
      <c r="A16" s="142"/>
      <c r="B16" s="99"/>
      <c r="C16" s="99"/>
      <c r="D16" s="99"/>
      <c r="E16" s="146"/>
      <c r="F16" s="146"/>
    </row>
    <row r="17" spans="1:6">
      <c r="A17" s="142"/>
      <c r="B17" s="99"/>
      <c r="C17" s="99"/>
      <c r="D17" s="99"/>
      <c r="E17" s="146"/>
      <c r="F17" s="146"/>
    </row>
    <row r="18" spans="1:6">
      <c r="A18" s="142"/>
      <c r="B18" s="99"/>
      <c r="C18" s="99"/>
      <c r="D18" s="99"/>
      <c r="E18" s="146"/>
      <c r="F18" s="146"/>
    </row>
    <row r="19" spans="1:6">
      <c r="A19" s="142"/>
      <c r="B19" s="99"/>
      <c r="C19" s="99"/>
      <c r="D19" s="99"/>
      <c r="E19" s="146"/>
      <c r="F19" s="146"/>
    </row>
    <row r="20" spans="1:6">
      <c r="A20" s="142"/>
      <c r="B20" s="99"/>
      <c r="C20" s="99"/>
      <c r="D20" s="99"/>
      <c r="E20" s="146"/>
      <c r="F20" s="146"/>
    </row>
    <row r="21" spans="1:6">
      <c r="A21" s="142"/>
      <c r="B21" s="99"/>
      <c r="C21" s="99"/>
      <c r="D21" s="99"/>
      <c r="E21" s="146"/>
      <c r="F21" s="146"/>
    </row>
    <row r="22" spans="1:6">
      <c r="A22" s="142"/>
      <c r="B22" s="99"/>
      <c r="C22" s="99"/>
      <c r="D22" s="99"/>
      <c r="E22" s="146"/>
      <c r="F22" s="146"/>
    </row>
    <row r="23" spans="1:6">
      <c r="A23" s="142"/>
      <c r="B23" s="99"/>
      <c r="C23" s="99"/>
      <c r="D23" s="99"/>
      <c r="E23" s="146"/>
      <c r="F23" s="146"/>
    </row>
    <row r="24" spans="1:6">
      <c r="A24" s="142"/>
      <c r="B24" s="99"/>
      <c r="C24" s="99"/>
      <c r="D24" s="99"/>
      <c r="E24" s="146"/>
      <c r="F24" s="146"/>
    </row>
    <row r="25" spans="1:6">
      <c r="A25" s="142"/>
      <c r="B25" s="99"/>
      <c r="C25" s="99"/>
      <c r="D25" s="99"/>
      <c r="E25" s="146"/>
      <c r="F25" s="146"/>
    </row>
    <row r="26" spans="1:6">
      <c r="A26" s="142"/>
      <c r="B26" s="99"/>
      <c r="C26" s="99"/>
      <c r="D26" s="99"/>
      <c r="E26" s="146"/>
      <c r="F26" s="146"/>
    </row>
    <row r="27" spans="1:6">
      <c r="A27" s="142"/>
      <c r="B27" s="99"/>
      <c r="C27" s="99"/>
      <c r="D27" s="99"/>
      <c r="F27" s="146"/>
    </row>
    <row r="28" spans="1:6">
      <c r="A28" s="142"/>
      <c r="B28" s="99"/>
      <c r="C28" s="99"/>
      <c r="D28" s="99"/>
      <c r="E28" s="146"/>
      <c r="F28" s="146"/>
    </row>
    <row r="29" spans="1:6">
      <c r="A29" s="142"/>
      <c r="B29" s="99"/>
      <c r="C29" s="99"/>
      <c r="D29" s="99"/>
      <c r="E29" s="146"/>
      <c r="F29" s="146"/>
    </row>
    <row r="30" spans="1:6">
      <c r="A30" s="142"/>
      <c r="B30" s="99"/>
      <c r="C30" s="99"/>
      <c r="D30" s="99"/>
      <c r="E30" s="146"/>
      <c r="F30" s="146"/>
    </row>
    <row r="31" spans="1:6">
      <c r="A31" s="144"/>
      <c r="B31" s="145"/>
      <c r="C31" s="145"/>
      <c r="D31" s="146"/>
      <c r="E31" s="146"/>
      <c r="F31" s="146"/>
    </row>
    <row r="32" spans="1:6">
      <c r="A32" s="144"/>
      <c r="B32" s="145"/>
      <c r="C32" s="145"/>
      <c r="D32" s="146"/>
      <c r="E32" s="146"/>
      <c r="F32" s="146"/>
    </row>
    <row r="33" spans="1:6">
      <c r="A33" s="144"/>
      <c r="B33" s="145"/>
      <c r="C33" s="145"/>
      <c r="D33" s="146"/>
      <c r="E33" s="146"/>
      <c r="F33" s="146"/>
    </row>
    <row r="34" spans="1:6">
      <c r="A34" s="144"/>
      <c r="B34" s="145"/>
      <c r="C34" s="145"/>
      <c r="D34" s="146"/>
      <c r="E34" s="146"/>
      <c r="F34" s="146"/>
    </row>
    <row r="35" spans="1:6">
      <c r="A35" s="144"/>
      <c r="B35" s="145"/>
      <c r="C35" s="145"/>
      <c r="D35" s="146"/>
      <c r="E35" s="146"/>
      <c r="F35" s="146"/>
    </row>
    <row r="36" spans="1:6">
      <c r="A36" s="144"/>
      <c r="B36" s="145"/>
      <c r="C36" s="145"/>
      <c r="D36" s="146"/>
      <c r="E36" s="146"/>
      <c r="F36" s="146"/>
    </row>
    <row r="37" spans="1:6">
      <c r="A37" s="144"/>
      <c r="B37" s="145"/>
      <c r="C37" s="145"/>
      <c r="D37" s="146"/>
      <c r="E37" s="146"/>
      <c r="F37" s="146"/>
    </row>
    <row r="38" spans="1:6">
      <c r="A38" s="144"/>
      <c r="B38" s="145"/>
      <c r="C38" s="145"/>
      <c r="D38" s="146"/>
      <c r="E38" s="146"/>
      <c r="F38" s="146"/>
    </row>
    <row r="39" spans="1:6">
      <c r="A39" s="144"/>
      <c r="B39" s="145"/>
      <c r="C39" s="145"/>
      <c r="D39" s="146"/>
      <c r="E39" s="146"/>
      <c r="F39" s="146"/>
    </row>
    <row r="40" spans="1:6">
      <c r="A40" s="144"/>
      <c r="B40" s="145"/>
      <c r="C40" s="145"/>
      <c r="D40" s="146"/>
      <c r="E40" s="146"/>
      <c r="F40" s="146"/>
    </row>
    <row r="41" spans="1:6">
      <c r="A41" s="144"/>
      <c r="B41" s="145"/>
      <c r="C41" s="145"/>
      <c r="D41" s="146"/>
      <c r="E41" s="146"/>
      <c r="F41" s="146"/>
    </row>
    <row r="42" spans="1:6">
      <c r="A42" s="144"/>
      <c r="B42" s="145"/>
      <c r="C42" s="145"/>
      <c r="D42" s="146"/>
      <c r="E42" s="146"/>
      <c r="F42" s="146"/>
    </row>
    <row r="43" spans="1:6">
      <c r="A43" s="144"/>
      <c r="B43" s="145"/>
      <c r="C43" s="145"/>
      <c r="D43" s="146"/>
      <c r="E43" s="146"/>
      <c r="F43" s="146"/>
    </row>
    <row r="44" spans="1:6">
      <c r="A44" s="144"/>
      <c r="B44" s="145"/>
      <c r="C44" s="145"/>
      <c r="D44" s="146"/>
      <c r="E44" s="146"/>
      <c r="F44" s="146"/>
    </row>
    <row r="45" spans="1:6">
      <c r="A45" s="144"/>
      <c r="B45" s="145"/>
      <c r="C45" s="145"/>
      <c r="D45" s="146"/>
      <c r="E45" s="146"/>
      <c r="F45" s="146"/>
    </row>
    <row r="46" spans="1:6">
      <c r="A46" s="144"/>
      <c r="B46" s="145"/>
      <c r="C46" s="145"/>
      <c r="D46" s="146"/>
      <c r="E46" s="146"/>
      <c r="F46" s="146"/>
    </row>
    <row r="47" spans="1:6">
      <c r="A47" s="144"/>
      <c r="B47" s="145"/>
      <c r="C47" s="145"/>
      <c r="D47" s="146"/>
      <c r="E47" s="146"/>
      <c r="F47" s="146"/>
    </row>
    <row r="48" spans="1:6">
      <c r="A48" s="144"/>
      <c r="B48" s="145"/>
      <c r="C48" s="145"/>
      <c r="D48" s="146"/>
      <c r="E48" s="146"/>
      <c r="F48" s="146"/>
    </row>
    <row r="49" spans="1:6">
      <c r="A49" s="144"/>
      <c r="B49" s="145"/>
      <c r="C49" s="145"/>
      <c r="D49" s="146"/>
      <c r="E49" s="146"/>
      <c r="F49" s="146"/>
    </row>
    <row r="50" spans="1:6">
      <c r="A50" s="144"/>
      <c r="B50" s="145"/>
      <c r="C50" s="145"/>
      <c r="D50" s="146"/>
      <c r="E50" s="146"/>
      <c r="F50" s="146"/>
    </row>
    <row r="51" spans="1:6">
      <c r="A51" s="144"/>
      <c r="B51" s="145"/>
      <c r="C51" s="145"/>
      <c r="D51" s="146"/>
      <c r="E51" s="146"/>
      <c r="F51" s="146"/>
    </row>
    <row r="52" spans="1:6">
      <c r="A52" s="144"/>
      <c r="B52" s="145"/>
      <c r="C52" s="145"/>
      <c r="D52" s="146"/>
      <c r="E52" s="146"/>
      <c r="F52" s="146"/>
    </row>
    <row r="53" spans="1:6">
      <c r="A53" s="144"/>
      <c r="B53" s="145"/>
      <c r="C53" s="145"/>
      <c r="D53" s="146"/>
      <c r="E53" s="146"/>
      <c r="F53" s="146"/>
    </row>
    <row r="54" spans="1:6">
      <c r="A54" s="144"/>
      <c r="D54" s="146"/>
      <c r="E54" s="146"/>
      <c r="F54" s="146"/>
    </row>
    <row r="55" spans="1:6">
      <c r="A55" s="144"/>
    </row>
    <row r="56" spans="1:6">
      <c r="A56" s="144"/>
    </row>
    <row r="57" spans="1:6">
      <c r="A57" s="144"/>
    </row>
    <row r="58" spans="1:6">
      <c r="A58" s="144"/>
    </row>
    <row r="59" spans="1:6">
      <c r="A59" s="144"/>
    </row>
    <row r="60" spans="1:6">
      <c r="A60" s="144"/>
    </row>
    <row r="61" spans="1:6">
      <c r="A61" s="144"/>
    </row>
    <row r="62" spans="1:6">
      <c r="A62" s="144"/>
    </row>
    <row r="63" spans="1:6">
      <c r="A63" s="144"/>
    </row>
    <row r="64" spans="1:6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7"/>
    </row>
    <row r="201" spans="1:1">
      <c r="A201" s="147"/>
    </row>
    <row r="202" spans="1:1">
      <c r="A202" s="147"/>
    </row>
    <row r="203" spans="1:1">
      <c r="A203" s="147"/>
    </row>
    <row r="204" spans="1:1">
      <c r="A204" s="147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  <row r="269" spans="1:1">
      <c r="A269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6708-1D52-4560-A75C-5FFE7D0D5D71}">
  <dimension ref="A1:G268"/>
  <sheetViews>
    <sheetView workbookViewId="0">
      <selection activeCell="E25" sqref="E25"/>
    </sheetView>
  </sheetViews>
  <sheetFormatPr defaultColWidth="8.88671875" defaultRowHeight="13.2"/>
  <cols>
    <col min="1" max="1" width="13.109375" style="132" customWidth="1"/>
    <col min="2" max="2" width="12" style="132" bestFit="1" customWidth="1"/>
    <col min="3" max="3" width="10.6640625" style="132" bestFit="1" customWidth="1"/>
    <col min="4" max="4" width="14.5546875" style="132" customWidth="1"/>
    <col min="5" max="16384" width="8.88671875" style="132"/>
  </cols>
  <sheetData>
    <row r="1" spans="1:7">
      <c r="A1" s="157" t="s">
        <v>149</v>
      </c>
      <c r="B1" s="157" t="s">
        <v>199</v>
      </c>
      <c r="C1" s="157" t="s">
        <v>200</v>
      </c>
      <c r="D1" s="143"/>
      <c r="E1" s="143"/>
    </row>
    <row r="2" spans="1:7">
      <c r="A2" s="142" t="s">
        <v>201</v>
      </c>
      <c r="B2" s="73">
        <v>30.14</v>
      </c>
      <c r="C2" s="73">
        <v>36.3125</v>
      </c>
      <c r="D2" s="73"/>
      <c r="E2" s="146"/>
      <c r="F2" s="146"/>
      <c r="G2" s="146"/>
    </row>
    <row r="3" spans="1:7">
      <c r="A3" s="142" t="s">
        <v>202</v>
      </c>
      <c r="B3" s="73">
        <v>30.62</v>
      </c>
      <c r="C3" s="73">
        <v>36.15</v>
      </c>
      <c r="D3" s="73"/>
      <c r="E3" s="146"/>
      <c r="F3" s="146"/>
      <c r="G3" s="146"/>
    </row>
    <row r="4" spans="1:7">
      <c r="A4" s="142" t="s">
        <v>203</v>
      </c>
      <c r="B4" s="73">
        <v>32.270000000000003</v>
      </c>
      <c r="C4" s="73">
        <v>38.0625</v>
      </c>
      <c r="D4" s="73"/>
      <c r="E4" s="146"/>
      <c r="F4" s="146"/>
      <c r="G4" s="146"/>
    </row>
    <row r="5" spans="1:7">
      <c r="A5" s="132" t="s">
        <v>204</v>
      </c>
      <c r="B5" s="73">
        <v>33.04</v>
      </c>
      <c r="C5" s="73">
        <v>37.9</v>
      </c>
      <c r="D5" s="73"/>
      <c r="E5" s="146"/>
      <c r="F5" s="146"/>
      <c r="G5" s="146"/>
    </row>
    <row r="6" spans="1:7">
      <c r="A6" s="142" t="s">
        <v>205</v>
      </c>
      <c r="B6" s="73">
        <v>30.26</v>
      </c>
      <c r="C6" s="73">
        <v>35.5</v>
      </c>
      <c r="D6" s="73"/>
      <c r="E6" s="146"/>
      <c r="F6" s="146"/>
      <c r="G6" s="146"/>
    </row>
    <row r="7" spans="1:7">
      <c r="A7" s="142" t="s">
        <v>206</v>
      </c>
      <c r="B7" s="73">
        <v>27.04</v>
      </c>
      <c r="C7" s="73">
        <v>32.875</v>
      </c>
      <c r="D7" s="73"/>
      <c r="E7" s="146"/>
      <c r="F7" s="146"/>
      <c r="G7" s="146"/>
    </row>
    <row r="8" spans="1:7">
      <c r="A8" s="142" t="s">
        <v>207</v>
      </c>
      <c r="B8" s="73">
        <v>25.69</v>
      </c>
      <c r="C8" s="73">
        <v>32.375</v>
      </c>
      <c r="D8" s="73"/>
      <c r="E8" s="146"/>
      <c r="F8" s="146"/>
      <c r="G8" s="146"/>
    </row>
    <row r="9" spans="1:7">
      <c r="A9" s="142" t="s">
        <v>208</v>
      </c>
      <c r="B9" s="73">
        <v>25.27</v>
      </c>
      <c r="C9" s="73">
        <v>32.4</v>
      </c>
      <c r="D9" s="73"/>
      <c r="E9" s="146"/>
      <c r="F9" s="146"/>
      <c r="G9" s="146"/>
    </row>
    <row r="10" spans="1:7">
      <c r="A10" s="142" t="s">
        <v>209</v>
      </c>
      <c r="B10" s="73">
        <v>26.61</v>
      </c>
      <c r="C10" s="73">
        <v>36.625</v>
      </c>
      <c r="D10" s="73"/>
      <c r="E10" s="146"/>
      <c r="F10" s="146"/>
      <c r="G10" s="146"/>
    </row>
    <row r="11" spans="1:7">
      <c r="A11" s="142" t="s">
        <v>210</v>
      </c>
      <c r="B11" s="73">
        <v>28.71</v>
      </c>
      <c r="C11" s="73">
        <v>40.5</v>
      </c>
      <c r="D11" s="73"/>
      <c r="E11" s="146"/>
      <c r="F11" s="146"/>
      <c r="G11" s="146"/>
    </row>
    <row r="12" spans="1:7">
      <c r="A12" s="142" t="s">
        <v>211</v>
      </c>
      <c r="B12" s="73">
        <v>32.130000000000003</v>
      </c>
      <c r="C12" s="73">
        <v>47.8125</v>
      </c>
      <c r="D12" s="73"/>
      <c r="E12" s="146"/>
      <c r="F12" s="146"/>
    </row>
    <row r="13" spans="1:7">
      <c r="A13" s="142" t="s">
        <v>212</v>
      </c>
      <c r="B13" s="73">
        <v>34.200000000000003</v>
      </c>
      <c r="C13" s="73">
        <v>47.9375</v>
      </c>
      <c r="D13" s="73"/>
      <c r="E13" s="146"/>
      <c r="F13" s="146"/>
    </row>
    <row r="14" spans="1:7">
      <c r="A14" s="142" t="s">
        <v>169</v>
      </c>
      <c r="B14" s="73">
        <v>33.909999999999997</v>
      </c>
      <c r="C14" s="73">
        <v>44.35</v>
      </c>
      <c r="D14" s="73"/>
      <c r="E14" s="146"/>
      <c r="F14" s="146"/>
    </row>
    <row r="15" spans="1:7">
      <c r="A15" s="142" t="s">
        <v>170</v>
      </c>
      <c r="B15" s="73">
        <v>37.79</v>
      </c>
      <c r="C15" s="73">
        <v>49.5</v>
      </c>
      <c r="D15" s="73"/>
      <c r="E15" s="146"/>
      <c r="F15" s="146"/>
    </row>
    <row r="16" spans="1:7">
      <c r="A16" s="142" t="s">
        <v>171</v>
      </c>
      <c r="B16" s="73">
        <v>40.85</v>
      </c>
      <c r="C16" s="73">
        <v>51.65</v>
      </c>
      <c r="D16" s="73"/>
      <c r="E16" s="146"/>
      <c r="F16" s="146"/>
    </row>
    <row r="17" spans="1:6">
      <c r="A17" s="142" t="s">
        <v>172</v>
      </c>
      <c r="B17" s="73">
        <v>44.31</v>
      </c>
      <c r="C17" s="73">
        <v>53.3125</v>
      </c>
      <c r="D17" s="73"/>
      <c r="E17" s="146"/>
      <c r="F17" s="146"/>
    </row>
    <row r="18" spans="1:6">
      <c r="A18" s="142" t="s">
        <v>173</v>
      </c>
      <c r="B18" s="73">
        <v>48.37</v>
      </c>
      <c r="C18" s="73">
        <v>58.9375</v>
      </c>
      <c r="D18" s="73"/>
      <c r="E18" s="146"/>
      <c r="F18" s="146"/>
    </row>
    <row r="19" spans="1:6">
      <c r="A19" s="142" t="s">
        <v>174</v>
      </c>
      <c r="B19" s="73">
        <v>54</v>
      </c>
      <c r="C19" s="73">
        <v>71.3125</v>
      </c>
      <c r="D19" s="73"/>
      <c r="E19" s="146"/>
      <c r="F19" s="146"/>
    </row>
    <row r="20" spans="1:6">
      <c r="A20" s="142" t="s">
        <v>175</v>
      </c>
      <c r="B20" s="73">
        <v>62.88</v>
      </c>
      <c r="C20" s="73">
        <v>79.55</v>
      </c>
      <c r="D20" s="73"/>
      <c r="E20" s="146"/>
      <c r="F20" s="146"/>
    </row>
    <row r="21" spans="1:6">
      <c r="A21" s="142" t="s">
        <v>176</v>
      </c>
      <c r="B21" s="73">
        <v>74.75</v>
      </c>
      <c r="C21" s="73">
        <v>94.0625</v>
      </c>
      <c r="D21" s="73"/>
      <c r="E21" s="146"/>
      <c r="F21" s="146"/>
    </row>
    <row r="22" spans="1:6">
      <c r="A22" s="142" t="s">
        <v>177</v>
      </c>
      <c r="B22" s="73">
        <v>74.75</v>
      </c>
      <c r="C22" s="73">
        <v>93.5</v>
      </c>
      <c r="D22" s="73"/>
      <c r="E22" s="146"/>
      <c r="F22" s="146"/>
    </row>
    <row r="23" spans="1:6">
      <c r="A23" s="142" t="s">
        <v>180</v>
      </c>
      <c r="B23" s="73">
        <v>72.930000000000007</v>
      </c>
      <c r="C23" s="73">
        <v>92.3</v>
      </c>
      <c r="D23" s="73"/>
      <c r="E23" s="146"/>
      <c r="F23" s="146"/>
    </row>
    <row r="24" spans="1:6">
      <c r="A24" s="142" t="s">
        <v>178</v>
      </c>
      <c r="B24" s="73">
        <v>70.010000000000005</v>
      </c>
      <c r="C24" s="73">
        <v>81</v>
      </c>
      <c r="D24" s="73"/>
      <c r="E24" s="146"/>
      <c r="F24" s="146"/>
    </row>
    <row r="25" spans="1:6">
      <c r="A25" s="142" t="s">
        <v>179</v>
      </c>
      <c r="B25" s="73">
        <v>65.930000000000007</v>
      </c>
      <c r="C25" s="73">
        <v>76</v>
      </c>
      <c r="D25" s="73"/>
      <c r="E25" s="146"/>
      <c r="F25" s="146"/>
    </row>
    <row r="26" spans="1:6">
      <c r="A26" s="142" t="s">
        <v>162</v>
      </c>
      <c r="B26" s="73">
        <v>70.42</v>
      </c>
      <c r="C26" s="73">
        <v>82.3</v>
      </c>
      <c r="D26" s="73"/>
      <c r="E26" s="146"/>
      <c r="F26" s="146"/>
    </row>
    <row r="27" spans="1:6">
      <c r="A27" s="142" t="s">
        <v>163</v>
      </c>
      <c r="B27" s="73">
        <v>66.459999999999994</v>
      </c>
      <c r="C27" s="73">
        <v>84.375</v>
      </c>
      <c r="D27" s="73"/>
      <c r="F27" s="146"/>
    </row>
    <row r="28" spans="1:6">
      <c r="A28" s="142" t="s">
        <v>164</v>
      </c>
      <c r="B28" s="73">
        <v>63.69</v>
      </c>
      <c r="C28" s="73">
        <v>82.95</v>
      </c>
      <c r="D28" s="73"/>
      <c r="E28" s="146"/>
      <c r="F28" s="146"/>
    </row>
    <row r="29" spans="1:6">
      <c r="A29" s="142" t="s">
        <v>165</v>
      </c>
      <c r="B29" s="73">
        <v>65.7</v>
      </c>
      <c r="C29" s="73">
        <v>88.5625</v>
      </c>
      <c r="D29" s="73"/>
      <c r="E29" s="146"/>
      <c r="F29" s="146"/>
    </row>
    <row r="30" spans="1:6">
      <c r="A30" s="142" t="s">
        <v>166</v>
      </c>
      <c r="B30" s="73">
        <v>70.91</v>
      </c>
      <c r="C30" s="73">
        <v>85.875</v>
      </c>
      <c r="D30" s="73"/>
      <c r="E30" s="146"/>
      <c r="F30" s="146"/>
    </row>
    <row r="31" spans="1:6">
      <c r="A31" s="142" t="s">
        <v>167</v>
      </c>
      <c r="B31" s="73">
        <v>76.405000000000001</v>
      </c>
      <c r="C31" s="73">
        <v>92</v>
      </c>
      <c r="D31" s="73"/>
      <c r="E31" s="146"/>
      <c r="F31" s="146"/>
    </row>
    <row r="32" spans="1:6">
      <c r="A32" s="142" t="s">
        <v>168</v>
      </c>
      <c r="B32" s="73">
        <v>83.846000000000004</v>
      </c>
      <c r="C32" s="73">
        <v>103.15</v>
      </c>
      <c r="D32" s="73"/>
      <c r="E32" s="146"/>
      <c r="F32" s="146"/>
    </row>
    <row r="33" spans="1:6">
      <c r="A33" s="142" t="s">
        <v>151</v>
      </c>
      <c r="B33" s="73">
        <v>87.385000000000005</v>
      </c>
      <c r="C33" s="73">
        <v>108.6875</v>
      </c>
      <c r="D33" s="73"/>
      <c r="E33" s="146"/>
      <c r="F33" s="146"/>
    </row>
    <row r="34" spans="1:6">
      <c r="A34" s="142" t="s">
        <v>152</v>
      </c>
      <c r="B34" s="73">
        <v>80.297499999999999</v>
      </c>
      <c r="C34" s="73">
        <v>102.25</v>
      </c>
      <c r="D34" s="73"/>
      <c r="E34" s="146"/>
      <c r="F34" s="146"/>
    </row>
    <row r="35" spans="1:6">
      <c r="A35" s="142" t="s">
        <v>153</v>
      </c>
      <c r="B35" s="73">
        <v>67.74799999999999</v>
      </c>
      <c r="C35" s="73">
        <v>87.9</v>
      </c>
      <c r="D35" s="73"/>
      <c r="E35" s="146"/>
      <c r="F35" s="146"/>
    </row>
    <row r="36" spans="1:6">
      <c r="A36" s="142" t="s">
        <v>154</v>
      </c>
      <c r="B36" s="73">
        <v>72.334999999999994</v>
      </c>
      <c r="C36" s="73">
        <v>91.3125</v>
      </c>
      <c r="D36" s="73"/>
      <c r="E36" s="146"/>
      <c r="F36" s="146"/>
    </row>
    <row r="37" spans="1:6">
      <c r="A37" s="142" t="s">
        <v>155</v>
      </c>
      <c r="B37" s="73">
        <v>70.626000000000005</v>
      </c>
      <c r="C37" s="73">
        <v>76.849999999999994</v>
      </c>
      <c r="D37" s="73"/>
      <c r="E37" s="146"/>
      <c r="F37" s="146"/>
    </row>
    <row r="38" spans="1:6">
      <c r="A38" s="142" t="s">
        <v>156</v>
      </c>
      <c r="B38" s="73">
        <v>72.67</v>
      </c>
      <c r="C38" s="73">
        <v>80.125</v>
      </c>
      <c r="D38" s="73"/>
      <c r="E38" s="146"/>
      <c r="F38" s="146"/>
    </row>
    <row r="39" spans="1:6">
      <c r="A39" s="142" t="s">
        <v>157</v>
      </c>
      <c r="B39" s="73">
        <v>79.180000000000007</v>
      </c>
      <c r="C39" s="73">
        <v>84.375</v>
      </c>
      <c r="D39" s="73"/>
      <c r="E39" s="146"/>
      <c r="F39" s="146"/>
    </row>
    <row r="40" spans="1:6">
      <c r="A40" s="142" t="s">
        <v>158</v>
      </c>
      <c r="B40" s="73">
        <v>68.14</v>
      </c>
      <c r="C40" s="73">
        <v>74.05</v>
      </c>
      <c r="D40" s="73"/>
      <c r="E40" s="146"/>
      <c r="F40" s="146"/>
    </row>
    <row r="41" spans="1:6">
      <c r="A41" s="142" t="s">
        <v>159</v>
      </c>
      <c r="B41" s="73">
        <v>66</v>
      </c>
      <c r="C41" s="73">
        <v>71.1875</v>
      </c>
      <c r="D41" s="73"/>
      <c r="E41" s="146"/>
      <c r="F41" s="146"/>
    </row>
    <row r="42" spans="1:6">
      <c r="A42" s="142" t="s">
        <v>160</v>
      </c>
      <c r="B42" s="73">
        <v>63.242500000000007</v>
      </c>
      <c r="C42" s="73">
        <v>68.25</v>
      </c>
      <c r="D42" s="73"/>
      <c r="E42" s="146"/>
      <c r="F42" s="146"/>
    </row>
    <row r="43" spans="1:6">
      <c r="A43" s="142" t="s">
        <v>213</v>
      </c>
      <c r="B43" s="73">
        <v>58.83</v>
      </c>
      <c r="C43" s="73">
        <v>64.599999999999994</v>
      </c>
      <c r="D43" s="73"/>
      <c r="E43" s="146"/>
      <c r="F43" s="146"/>
    </row>
    <row r="44" spans="1:6">
      <c r="A44" s="142" t="s">
        <v>214</v>
      </c>
      <c r="B44" s="73">
        <v>55.474999999999994</v>
      </c>
      <c r="C44" s="73">
        <v>62.625</v>
      </c>
      <c r="D44" s="73"/>
      <c r="E44" s="146"/>
      <c r="F44" s="146"/>
    </row>
    <row r="45" spans="1:6">
      <c r="A45" s="142"/>
      <c r="B45" s="145"/>
      <c r="C45" s="145"/>
      <c r="D45" s="146"/>
      <c r="E45" s="146"/>
      <c r="F45" s="146"/>
    </row>
    <row r="46" spans="1:6">
      <c r="A46" s="142"/>
      <c r="B46" s="145"/>
      <c r="C46" s="145"/>
      <c r="D46" s="146"/>
      <c r="E46" s="146"/>
      <c r="F46" s="146"/>
    </row>
    <row r="47" spans="1:6">
      <c r="A47" s="142"/>
      <c r="B47" s="145"/>
      <c r="C47" s="145"/>
      <c r="D47" s="146"/>
      <c r="E47" s="146"/>
      <c r="F47" s="146"/>
    </row>
    <row r="48" spans="1:6">
      <c r="A48" s="142"/>
      <c r="B48" s="145"/>
      <c r="C48" s="145"/>
      <c r="D48" s="146"/>
      <c r="E48" s="146"/>
      <c r="F48" s="146"/>
    </row>
    <row r="49" spans="1:6">
      <c r="A49" s="142"/>
      <c r="B49" s="145"/>
      <c r="C49" s="145"/>
      <c r="D49" s="146"/>
      <c r="E49" s="146"/>
      <c r="F49" s="146"/>
    </row>
    <row r="50" spans="1:6">
      <c r="A50" s="142"/>
      <c r="B50" s="145"/>
      <c r="C50" s="145"/>
      <c r="D50" s="146"/>
      <c r="E50" s="146"/>
      <c r="F50" s="146"/>
    </row>
    <row r="51" spans="1:6">
      <c r="A51" s="142"/>
      <c r="B51" s="145"/>
      <c r="C51" s="145"/>
      <c r="D51" s="146"/>
      <c r="E51" s="146"/>
      <c r="F51" s="146"/>
    </row>
    <row r="52" spans="1:6">
      <c r="A52" s="142"/>
      <c r="B52" s="145"/>
      <c r="C52" s="145"/>
      <c r="D52" s="146"/>
      <c r="E52" s="146"/>
      <c r="F52" s="146"/>
    </row>
    <row r="53" spans="1:6">
      <c r="A53" s="142"/>
      <c r="D53" s="146"/>
      <c r="E53" s="146"/>
      <c r="F53" s="146"/>
    </row>
    <row r="54" spans="1:6">
      <c r="A54" s="142"/>
    </row>
    <row r="55" spans="1:6">
      <c r="A55" s="142"/>
    </row>
    <row r="56" spans="1:6">
      <c r="A56" s="142"/>
    </row>
    <row r="57" spans="1:6">
      <c r="A57" s="142"/>
    </row>
    <row r="58" spans="1:6">
      <c r="A58" s="142"/>
    </row>
    <row r="59" spans="1:6">
      <c r="A59" s="144"/>
    </row>
    <row r="60" spans="1:6">
      <c r="A60" s="144"/>
    </row>
    <row r="61" spans="1:6">
      <c r="A61" s="144"/>
    </row>
    <row r="62" spans="1:6">
      <c r="A62" s="144"/>
    </row>
    <row r="63" spans="1:6">
      <c r="A63" s="144"/>
    </row>
    <row r="64" spans="1:6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7"/>
    </row>
    <row r="200" spans="1:1">
      <c r="A200" s="147"/>
    </row>
    <row r="201" spans="1:1">
      <c r="A201" s="147"/>
    </row>
    <row r="202" spans="1:1">
      <c r="A202" s="147"/>
    </row>
    <row r="203" spans="1:1">
      <c r="A203" s="147"/>
    </row>
    <row r="204" spans="1:1">
      <c r="A204" s="144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AD51-59A3-4831-95C6-B45DD1D625AC}">
  <dimension ref="A1:D38"/>
  <sheetViews>
    <sheetView zoomScaleNormal="100" workbookViewId="0">
      <pane xSplit="1" ySplit="2" topLeftCell="B3" activePane="bottomRight" state="frozen"/>
      <selection activeCell="R22" sqref="R22"/>
      <selection pane="topRight" activeCell="R22" sqref="R22"/>
      <selection pane="bottomLeft" activeCell="R22" sqref="R22"/>
      <selection pane="bottomRight" activeCell="K34" sqref="K34"/>
    </sheetView>
  </sheetViews>
  <sheetFormatPr defaultColWidth="9.109375" defaultRowHeight="13.2"/>
  <cols>
    <col min="1" max="1" width="17" style="132" customWidth="1"/>
    <col min="2" max="2" width="21.33203125" style="132" customWidth="1"/>
    <col min="3" max="3" width="20.44140625" style="132" customWidth="1"/>
    <col min="4" max="4" width="15.33203125" style="132" customWidth="1"/>
    <col min="5" max="16384" width="9.109375" style="132"/>
  </cols>
  <sheetData>
    <row r="1" spans="1:4">
      <c r="B1" s="128" t="s">
        <v>216</v>
      </c>
      <c r="C1" s="133"/>
      <c r="D1" s="133"/>
    </row>
    <row r="2" spans="1:4" ht="26.4">
      <c r="A2" s="160" t="s">
        <v>217</v>
      </c>
      <c r="B2" s="135" t="s">
        <v>222</v>
      </c>
      <c r="C2" s="135" t="s">
        <v>223</v>
      </c>
      <c r="D2" s="135" t="s">
        <v>224</v>
      </c>
    </row>
    <row r="3" spans="1:4">
      <c r="A3" s="159">
        <v>2002</v>
      </c>
      <c r="B3" s="137">
        <v>244.83333333333334</v>
      </c>
      <c r="C3" s="136">
        <v>286.16666666666669</v>
      </c>
      <c r="D3" s="137">
        <v>284.58333333333331</v>
      </c>
    </row>
    <row r="4" spans="1:4">
      <c r="A4" s="159">
        <v>2003</v>
      </c>
      <c r="B4" s="137">
        <v>322.75</v>
      </c>
      <c r="C4" s="136">
        <v>320.75</v>
      </c>
      <c r="D4" s="137">
        <v>317.25</v>
      </c>
    </row>
    <row r="5" spans="1:4">
      <c r="A5" s="159">
        <v>2004</v>
      </c>
      <c r="B5" s="137">
        <v>276.91666666666669</v>
      </c>
      <c r="C5" s="137">
        <v>313</v>
      </c>
      <c r="D5" s="137">
        <v>261.91666666666669</v>
      </c>
    </row>
    <row r="6" spans="1:4">
      <c r="A6" s="159">
        <v>2005</v>
      </c>
      <c r="B6" s="137">
        <v>260.91666666666669</v>
      </c>
      <c r="C6" s="137">
        <v>291.41666666666669</v>
      </c>
      <c r="D6" s="137">
        <v>291.91666666666669</v>
      </c>
    </row>
    <row r="7" spans="1:4">
      <c r="A7" s="159">
        <v>2006</v>
      </c>
      <c r="B7" s="137">
        <v>335.41666666666669</v>
      </c>
      <c r="C7" s="136">
        <v>401.16666666666669</v>
      </c>
      <c r="D7" s="137">
        <v>375.16666666666669</v>
      </c>
    </row>
    <row r="8" spans="1:4">
      <c r="A8" s="159">
        <v>2007</v>
      </c>
      <c r="B8" s="137">
        <v>549.66666666666663</v>
      </c>
      <c r="C8" s="136">
        <v>745.25</v>
      </c>
      <c r="D8" s="137">
        <v>643.58333333333337</v>
      </c>
    </row>
    <row r="9" spans="1:4">
      <c r="A9" s="159">
        <v>2008</v>
      </c>
      <c r="B9" s="137">
        <v>420.83333333333331</v>
      </c>
      <c r="C9" s="136">
        <v>363.66666666666669</v>
      </c>
      <c r="D9" s="137">
        <v>392.83333333333331</v>
      </c>
    </row>
    <row r="10" spans="1:4">
      <c r="A10" s="159">
        <v>2009</v>
      </c>
      <c r="B10" s="137">
        <v>429.16666666666669</v>
      </c>
      <c r="C10" s="136">
        <v>451.91666666666669</v>
      </c>
      <c r="D10" s="137">
        <v>419.25</v>
      </c>
    </row>
    <row r="11" spans="1:4">
      <c r="A11" s="159">
        <v>2010</v>
      </c>
      <c r="B11" s="137">
        <v>549.25</v>
      </c>
      <c r="C11" s="136">
        <v>661.16666666666663</v>
      </c>
      <c r="D11" s="137">
        <v>647.25</v>
      </c>
    </row>
    <row r="12" spans="1:4">
      <c r="A12" s="159">
        <v>2011</v>
      </c>
      <c r="B12" s="137">
        <v>562.25</v>
      </c>
      <c r="C12" s="137">
        <v>592.58333333333337</v>
      </c>
      <c r="D12" s="137">
        <v>616.08333333333337</v>
      </c>
    </row>
    <row r="13" spans="1:4">
      <c r="A13" s="159">
        <v>2012</v>
      </c>
      <c r="B13" s="137">
        <v>557.16666666666663</v>
      </c>
      <c r="C13" s="137">
        <v>580.25</v>
      </c>
      <c r="D13" s="137">
        <v>578.5</v>
      </c>
    </row>
    <row r="14" spans="1:4">
      <c r="A14" s="159">
        <v>2013</v>
      </c>
      <c r="B14" s="137">
        <v>520.66666666666663</v>
      </c>
      <c r="C14" s="136">
        <v>466.08333333333331</v>
      </c>
      <c r="D14" s="137">
        <v>504.5</v>
      </c>
    </row>
    <row r="15" spans="1:4">
      <c r="A15" s="159">
        <v>2014</v>
      </c>
      <c r="B15" s="137">
        <v>407.08333333333331</v>
      </c>
      <c r="C15" s="136">
        <v>431.66666666666669</v>
      </c>
      <c r="D15" s="137">
        <v>416.83333333333331</v>
      </c>
    </row>
    <row r="16" spans="1:4">
      <c r="A16" s="159">
        <v>2015</v>
      </c>
      <c r="B16" s="137">
        <v>395.75</v>
      </c>
      <c r="C16" s="136">
        <v>439.75</v>
      </c>
      <c r="D16" s="137">
        <v>409.41666666666669</v>
      </c>
    </row>
    <row r="17" spans="1:4">
      <c r="A17" s="159">
        <v>2016</v>
      </c>
      <c r="B17" s="137">
        <v>403.58333333333331</v>
      </c>
      <c r="C17" s="136">
        <v>407.58333333333331</v>
      </c>
      <c r="D17" s="137">
        <v>431.58333333333331</v>
      </c>
    </row>
    <row r="18" spans="1:4">
      <c r="A18" s="159">
        <v>2017</v>
      </c>
      <c r="B18" s="137">
        <v>403.41666666666669</v>
      </c>
      <c r="C18" s="136">
        <v>402.75</v>
      </c>
      <c r="D18" s="137">
        <v>424.66666666666669</v>
      </c>
    </row>
    <row r="19" spans="1:4">
      <c r="A19" s="159">
        <v>2018</v>
      </c>
      <c r="B19" s="137">
        <v>369.91666666666669</v>
      </c>
      <c r="C19" s="137">
        <v>380.08333333333331</v>
      </c>
      <c r="D19" s="137">
        <v>419.91666666666669</v>
      </c>
    </row>
    <row r="20" spans="1:4">
      <c r="A20" s="159">
        <v>2019</v>
      </c>
      <c r="B20" s="137">
        <v>379.83333333333331</v>
      </c>
      <c r="C20" s="137">
        <v>420</v>
      </c>
      <c r="D20" s="137">
        <v>432.75</v>
      </c>
    </row>
    <row r="21" spans="1:4">
      <c r="A21" s="159">
        <v>2020</v>
      </c>
      <c r="B21" s="137">
        <v>563.25</v>
      </c>
      <c r="C21" s="136">
        <v>684.66666666666663</v>
      </c>
      <c r="D21" s="137">
        <v>593.66666666666663</v>
      </c>
    </row>
    <row r="22" spans="1:4">
      <c r="A22" s="159">
        <v>2021</v>
      </c>
      <c r="B22" s="137">
        <v>639.66666666666663</v>
      </c>
      <c r="C22" s="136">
        <v>762.58333333333337</v>
      </c>
      <c r="D22" s="137">
        <v>822.08333333333337</v>
      </c>
    </row>
    <row r="23" spans="1:4">
      <c r="A23" s="159" t="s">
        <v>218</v>
      </c>
      <c r="B23" s="137">
        <v>621</v>
      </c>
      <c r="C23" s="136">
        <v>581.28571428571433</v>
      </c>
      <c r="D23" s="137">
        <v>580.57142857142856</v>
      </c>
    </row>
    <row r="24" spans="1:4">
      <c r="A24" s="159"/>
      <c r="B24" s="136"/>
      <c r="C24" s="136"/>
      <c r="D24" s="137"/>
    </row>
    <row r="25" spans="1:4">
      <c r="A25" s="134"/>
      <c r="B25" s="136"/>
      <c r="C25" s="136"/>
      <c r="D25" s="137"/>
    </row>
    <row r="26" spans="1:4">
      <c r="A26" s="134"/>
      <c r="B26" s="137"/>
      <c r="C26" s="137"/>
      <c r="D26" s="137"/>
    </row>
    <row r="27" spans="1:4">
      <c r="A27" s="134"/>
      <c r="B27" s="137"/>
      <c r="C27" s="137"/>
      <c r="D27" s="137"/>
    </row>
    <row r="28" spans="1:4">
      <c r="A28" s="134"/>
      <c r="B28" s="136"/>
      <c r="C28" s="136"/>
      <c r="D28" s="137"/>
    </row>
    <row r="29" spans="1:4">
      <c r="A29" s="134"/>
      <c r="B29" s="136"/>
      <c r="C29" s="136"/>
      <c r="D29" s="137"/>
    </row>
    <row r="30" spans="1:4">
      <c r="A30" s="134"/>
      <c r="B30" s="136"/>
      <c r="C30" s="136"/>
      <c r="D30" s="137"/>
    </row>
    <row r="31" spans="1:4">
      <c r="A31" s="134"/>
      <c r="B31" s="136"/>
      <c r="C31" s="136"/>
      <c r="D31" s="137"/>
    </row>
    <row r="32" spans="1:4">
      <c r="A32" s="134"/>
      <c r="B32" s="136"/>
      <c r="C32" s="136"/>
      <c r="D32" s="137"/>
    </row>
    <row r="33" spans="1:4">
      <c r="A33" s="134"/>
      <c r="B33" s="137"/>
      <c r="C33" s="137"/>
      <c r="D33" s="137"/>
    </row>
    <row r="35" spans="1:4">
      <c r="B35" s="137"/>
      <c r="C35" s="137"/>
      <c r="D35" s="137"/>
    </row>
    <row r="36" spans="1:4">
      <c r="B36" s="137"/>
      <c r="C36" s="137"/>
      <c r="D36" s="137"/>
    </row>
    <row r="37" spans="1:4">
      <c r="B37" s="137"/>
      <c r="C37" s="137"/>
    </row>
    <row r="38" spans="1:4">
      <c r="B38" s="138"/>
      <c r="C38" s="13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99BA-B265-490B-9FD3-060B5B03D007}">
  <dimension ref="A1:I34"/>
  <sheetViews>
    <sheetView zoomScaleNormal="100" workbookViewId="0"/>
  </sheetViews>
  <sheetFormatPr defaultColWidth="9.109375" defaultRowHeight="13.2"/>
  <cols>
    <col min="1" max="1" width="12.6640625" style="113" bestFit="1" customWidth="1"/>
    <col min="2" max="2" width="12.6640625" style="113" customWidth="1"/>
    <col min="3" max="3" width="12.33203125" style="113" customWidth="1"/>
    <col min="4" max="4" width="13.77734375" style="113" customWidth="1"/>
    <col min="5" max="5" width="19.21875" style="113" customWidth="1"/>
    <col min="6" max="6" width="13.6640625" style="113" customWidth="1"/>
    <col min="7" max="16384" width="9.109375" style="113"/>
  </cols>
  <sheetData>
    <row r="1" spans="1:9" ht="26.4">
      <c r="A1" s="119" t="s">
        <v>148</v>
      </c>
      <c r="B1" s="119" t="s">
        <v>219</v>
      </c>
      <c r="C1" s="119" t="s">
        <v>220</v>
      </c>
      <c r="D1" s="119" t="s">
        <v>199</v>
      </c>
      <c r="E1" s="119" t="s">
        <v>221</v>
      </c>
      <c r="F1" s="119" t="s">
        <v>225</v>
      </c>
      <c r="G1" s="149"/>
    </row>
    <row r="2" spans="1:9">
      <c r="A2" s="126" t="s">
        <v>106</v>
      </c>
      <c r="B2" s="139">
        <v>9.4749999999999996</v>
      </c>
      <c r="C2" s="139">
        <v>3.3290000000000002</v>
      </c>
      <c r="D2" s="140">
        <v>4.2990000000000004</v>
      </c>
      <c r="E2" s="140">
        <v>3.0459999999999998</v>
      </c>
      <c r="F2" s="140">
        <v>3.0640000000000001</v>
      </c>
      <c r="G2" s="151"/>
      <c r="H2" s="151"/>
      <c r="I2" s="141"/>
    </row>
    <row r="3" spans="1:9">
      <c r="A3" s="126" t="s">
        <v>107</v>
      </c>
      <c r="B3" s="139">
        <v>9.4670000000000005</v>
      </c>
      <c r="C3" s="139">
        <v>4.9470000000000001</v>
      </c>
      <c r="D3" s="140">
        <v>4.2679999999999998</v>
      </c>
      <c r="E3" s="140">
        <v>2.2599999999999998</v>
      </c>
      <c r="F3" s="140">
        <v>2.3319999999999999</v>
      </c>
      <c r="G3" s="141"/>
      <c r="H3" s="151"/>
      <c r="I3" s="141"/>
    </row>
    <row r="4" spans="1:9">
      <c r="A4" s="126" t="s">
        <v>108</v>
      </c>
      <c r="B4" s="139">
        <v>9.6120000000000001</v>
      </c>
      <c r="C4" s="139">
        <v>6.274</v>
      </c>
      <c r="D4" s="140">
        <v>3.9729999999999999</v>
      </c>
      <c r="E4" s="140">
        <v>2.9350000000000001</v>
      </c>
      <c r="F4" s="140">
        <v>2.649</v>
      </c>
      <c r="G4" s="141"/>
      <c r="H4" s="151"/>
      <c r="I4" s="141"/>
    </row>
    <row r="5" spans="1:9">
      <c r="A5" s="126" t="s">
        <v>109</v>
      </c>
      <c r="B5" s="139">
        <v>10.843999999999999</v>
      </c>
      <c r="C5" s="139">
        <v>6.6790000000000003</v>
      </c>
      <c r="D5" s="140">
        <v>4.556</v>
      </c>
      <c r="E5" s="140">
        <v>2.5430000000000001</v>
      </c>
      <c r="F5" s="140">
        <v>2.1309999999999998</v>
      </c>
      <c r="G5" s="141"/>
      <c r="H5" s="151"/>
      <c r="I5" s="141"/>
    </row>
    <row r="6" spans="1:9">
      <c r="A6" s="126" t="s">
        <v>110</v>
      </c>
      <c r="B6" s="139">
        <v>8.7899999999999991</v>
      </c>
      <c r="C6" s="139">
        <v>5.6989999999999998</v>
      </c>
      <c r="D6" s="140">
        <v>4.0220000000000002</v>
      </c>
      <c r="E6" s="140">
        <v>2.0459999999999998</v>
      </c>
      <c r="F6" s="140">
        <v>2.3860000000000001</v>
      </c>
      <c r="G6" s="141"/>
      <c r="H6" s="151"/>
      <c r="I6" s="141"/>
    </row>
    <row r="7" spans="1:9">
      <c r="A7" s="120" t="s">
        <v>111</v>
      </c>
      <c r="B7" s="139">
        <v>10.218</v>
      </c>
      <c r="C7" s="139">
        <v>4.2430000000000003</v>
      </c>
      <c r="D7" s="140">
        <v>4.2370000000000001</v>
      </c>
      <c r="E7" s="140">
        <v>2.6030000000000002</v>
      </c>
      <c r="F7" s="140">
        <v>2.222</v>
      </c>
      <c r="G7" s="141"/>
      <c r="H7" s="151"/>
      <c r="I7" s="141"/>
    </row>
    <row r="8" spans="1:9">
      <c r="A8" s="120" t="s">
        <v>112</v>
      </c>
      <c r="B8" s="139">
        <v>12.929</v>
      </c>
      <c r="C8" s="139">
        <v>3.39</v>
      </c>
      <c r="D8" s="140">
        <v>4.34</v>
      </c>
      <c r="E8" s="140">
        <v>2.6059999999999999</v>
      </c>
      <c r="F8" s="140">
        <v>3.306</v>
      </c>
      <c r="G8" s="141"/>
      <c r="H8" s="151"/>
      <c r="I8" s="141"/>
    </row>
    <row r="9" spans="1:9">
      <c r="A9" s="120" t="s">
        <v>113</v>
      </c>
      <c r="B9" s="139">
        <v>14.951000000000001</v>
      </c>
      <c r="C9" s="139">
        <v>2.9830000000000001</v>
      </c>
      <c r="D9" s="140">
        <v>4.7560000000000002</v>
      </c>
      <c r="E9" s="140">
        <v>2.3420000000000001</v>
      </c>
      <c r="F9" s="140">
        <v>3.2519999999999998</v>
      </c>
      <c r="G9" s="141"/>
      <c r="H9" s="151"/>
      <c r="I9" s="141"/>
    </row>
    <row r="10" spans="1:9">
      <c r="A10" s="120" t="s">
        <v>114</v>
      </c>
      <c r="B10" s="139">
        <v>15.755000000000001</v>
      </c>
      <c r="C10" s="139">
        <v>2.859</v>
      </c>
      <c r="D10" s="140">
        <v>5.37</v>
      </c>
      <c r="E10" s="140">
        <v>2.786</v>
      </c>
      <c r="F10" s="140">
        <v>3.2480000000000002</v>
      </c>
      <c r="G10" s="141"/>
      <c r="H10" s="151"/>
      <c r="I10" s="141"/>
    </row>
    <row r="11" spans="1:9">
      <c r="A11" s="120" t="s">
        <v>34</v>
      </c>
      <c r="B11" s="139">
        <v>15.189</v>
      </c>
      <c r="C11" s="139">
        <v>3.48</v>
      </c>
      <c r="D11" s="140">
        <v>5.3609999999999998</v>
      </c>
      <c r="E11" s="140">
        <v>1.84</v>
      </c>
      <c r="F11" s="140">
        <v>2.8149999999999999</v>
      </c>
      <c r="G11" s="141"/>
      <c r="H11" s="151"/>
      <c r="I11" s="141"/>
    </row>
    <row r="12" spans="1:9">
      <c r="A12" s="117" t="s">
        <v>37</v>
      </c>
      <c r="B12" s="139">
        <v>16.32</v>
      </c>
      <c r="C12" s="139">
        <v>2.6749999999999998</v>
      </c>
      <c r="D12" s="140">
        <v>4.67</v>
      </c>
      <c r="E12" s="140">
        <v>2.581</v>
      </c>
      <c r="F12" s="140">
        <v>2.8530000000000002</v>
      </c>
      <c r="G12" s="141"/>
      <c r="I12" s="141"/>
    </row>
    <row r="13" spans="1:9">
      <c r="A13" s="117" t="s">
        <v>196</v>
      </c>
      <c r="B13" s="139">
        <v>16.916</v>
      </c>
      <c r="C13" s="139">
        <v>3.0049999999999999</v>
      </c>
      <c r="D13" s="140">
        <v>4.5579999999999998</v>
      </c>
      <c r="E13" s="140">
        <v>3.0739999999999998</v>
      </c>
      <c r="F13" s="140">
        <v>2.4980000000000002</v>
      </c>
      <c r="G13" s="141"/>
      <c r="I13" s="141"/>
    </row>
    <row r="14" spans="1:9">
      <c r="A14" s="117" t="s">
        <v>150</v>
      </c>
      <c r="B14" s="139">
        <v>16.521999999999998</v>
      </c>
      <c r="C14" s="139">
        <v>3.3330000000000002</v>
      </c>
      <c r="D14" s="140">
        <v>5.28</v>
      </c>
      <c r="E14" s="140">
        <v>2.8540000000000001</v>
      </c>
      <c r="F14" s="140">
        <v>2.601</v>
      </c>
      <c r="G14" s="141"/>
    </row>
    <row r="15" spans="1:9">
      <c r="C15" s="139"/>
      <c r="D15" s="139"/>
      <c r="E15" s="139"/>
      <c r="F15" s="139"/>
      <c r="G15" s="150"/>
    </row>
    <row r="16" spans="1:9">
      <c r="C16" s="139"/>
      <c r="D16" s="139"/>
      <c r="E16" s="139"/>
      <c r="F16" s="139"/>
      <c r="G16" s="150"/>
    </row>
    <row r="17" spans="3:7">
      <c r="C17" s="139"/>
      <c r="D17" s="139"/>
      <c r="E17" s="139"/>
      <c r="F17" s="139"/>
      <c r="G17" s="150"/>
    </row>
    <row r="18" spans="3:7">
      <c r="C18" s="139"/>
      <c r="D18" s="139"/>
      <c r="E18" s="139"/>
      <c r="F18" s="139"/>
      <c r="G18" s="150"/>
    </row>
    <row r="19" spans="3:7">
      <c r="C19" s="139"/>
      <c r="D19" s="139"/>
      <c r="E19" s="139"/>
      <c r="F19" s="139"/>
      <c r="G19" s="150"/>
    </row>
    <row r="20" spans="3:7">
      <c r="C20" s="139"/>
      <c r="D20" s="139"/>
      <c r="E20" s="139"/>
      <c r="F20" s="139"/>
      <c r="G20" s="150"/>
    </row>
    <row r="21" spans="3:7">
      <c r="C21" s="139"/>
      <c r="D21" s="139"/>
      <c r="E21" s="139"/>
      <c r="F21" s="139"/>
      <c r="G21" s="150"/>
    </row>
    <row r="22" spans="3:7">
      <c r="C22" s="139"/>
      <c r="D22" s="139"/>
      <c r="E22" s="139"/>
      <c r="F22" s="139"/>
      <c r="G22" s="150"/>
    </row>
    <row r="23" spans="3:7">
      <c r="C23" s="139"/>
      <c r="D23" s="139"/>
      <c r="E23" s="139"/>
      <c r="F23" s="139"/>
      <c r="G23" s="150"/>
    </row>
    <row r="24" spans="3:7">
      <c r="C24" s="139"/>
      <c r="D24" s="139"/>
      <c r="E24" s="139"/>
      <c r="F24" s="139"/>
      <c r="G24" s="150"/>
    </row>
    <row r="25" spans="3:7">
      <c r="C25" s="139"/>
      <c r="D25" s="139"/>
      <c r="E25" s="139"/>
      <c r="F25" s="139"/>
      <c r="G25" s="150"/>
    </row>
    <row r="26" spans="3:7">
      <c r="C26" s="139"/>
      <c r="D26" s="139"/>
      <c r="E26" s="139"/>
      <c r="F26" s="139"/>
      <c r="G26" s="150"/>
    </row>
    <row r="27" spans="3:7">
      <c r="C27" s="130"/>
      <c r="E27" s="130"/>
    </row>
    <row r="28" spans="3:7">
      <c r="C28" s="130"/>
      <c r="E28" s="130"/>
    </row>
    <row r="29" spans="3:7">
      <c r="C29" s="130"/>
      <c r="E29" s="130"/>
    </row>
    <row r="30" spans="3:7">
      <c r="C30" s="130"/>
      <c r="E30" s="130"/>
    </row>
    <row r="31" spans="3:7">
      <c r="C31" s="130"/>
      <c r="E31" s="130"/>
    </row>
    <row r="32" spans="3:7">
      <c r="C32" s="130"/>
      <c r="E32" s="130"/>
    </row>
    <row r="33" spans="3:3">
      <c r="C33" s="130"/>
    </row>
    <row r="34" spans="3:3">
      <c r="C34" s="13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9"/>
  <sheetViews>
    <sheetView showGridLines="0" zoomScale="70" zoomScaleNormal="70" workbookViewId="0"/>
  </sheetViews>
  <sheetFormatPr defaultColWidth="9.109375" defaultRowHeight="13.2"/>
  <cols>
    <col min="1" max="1" width="21.6640625" customWidth="1"/>
    <col min="2" max="2" width="14.109375" bestFit="1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8.6640625" bestFit="1" customWidth="1"/>
    <col min="8" max="8" width="9.6640625" customWidth="1"/>
    <col min="9" max="9" width="1.6640625" customWidth="1"/>
    <col min="10" max="10" width="12.441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0.109375" bestFit="1" customWidth="1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6"/>
      <c r="B2" s="17" t="s">
        <v>13</v>
      </c>
      <c r="C2" s="124"/>
      <c r="D2" s="18" t="s">
        <v>14</v>
      </c>
      <c r="E2" s="19"/>
      <c r="F2" s="124" t="s">
        <v>15</v>
      </c>
      <c r="G2" s="124"/>
      <c r="H2" s="124"/>
      <c r="I2" s="16"/>
      <c r="J2" s="19"/>
      <c r="K2" s="124"/>
      <c r="L2" s="20" t="s">
        <v>16</v>
      </c>
      <c r="M2" s="124"/>
      <c r="N2" s="16"/>
    </row>
    <row r="3" spans="1:23" ht="13.8">
      <c r="A3" s="16" t="s">
        <v>17</v>
      </c>
      <c r="B3" s="18" t="s">
        <v>18</v>
      </c>
      <c r="C3" s="16" t="s">
        <v>19</v>
      </c>
      <c r="D3" s="18"/>
      <c r="E3" s="21" t="s">
        <v>20</v>
      </c>
      <c r="F3" s="21"/>
      <c r="G3" s="21"/>
      <c r="H3" s="21"/>
      <c r="I3" s="21"/>
      <c r="J3" s="18" t="s">
        <v>21</v>
      </c>
      <c r="K3" s="21" t="s">
        <v>22</v>
      </c>
      <c r="L3" s="21"/>
      <c r="M3" s="21"/>
      <c r="N3" s="21" t="s">
        <v>23</v>
      </c>
    </row>
    <row r="4" spans="1:23" ht="13.8">
      <c r="A4" s="22" t="s">
        <v>24</v>
      </c>
      <c r="B4" s="23"/>
      <c r="C4" s="23"/>
      <c r="D4" s="23"/>
      <c r="E4" s="24" t="s">
        <v>25</v>
      </c>
      <c r="F4" s="24" t="s">
        <v>26</v>
      </c>
      <c r="G4" s="25" t="s">
        <v>27</v>
      </c>
      <c r="H4" s="26" t="s">
        <v>28</v>
      </c>
      <c r="I4" s="25"/>
      <c r="J4" s="25"/>
      <c r="K4" s="25" t="s">
        <v>29</v>
      </c>
      <c r="L4" s="26" t="s">
        <v>30</v>
      </c>
      <c r="M4" s="24" t="s">
        <v>28</v>
      </c>
      <c r="N4" s="25" t="s">
        <v>25</v>
      </c>
      <c r="W4" s="27"/>
    </row>
    <row r="5" spans="1:23" ht="14.4">
      <c r="A5" s="16"/>
      <c r="B5" s="28" t="s">
        <v>31</v>
      </c>
      <c r="C5" s="125"/>
      <c r="D5" s="29" t="s">
        <v>32</v>
      </c>
      <c r="G5" s="28"/>
      <c r="I5" s="28"/>
      <c r="J5" s="28" t="s">
        <v>33</v>
      </c>
      <c r="K5" s="28"/>
      <c r="L5" s="28"/>
      <c r="M5" s="28"/>
      <c r="N5" s="28"/>
      <c r="W5" s="27"/>
    </row>
    <row r="6" spans="1:23" ht="16.5" customHeight="1">
      <c r="A6" s="16" t="s">
        <v>37</v>
      </c>
      <c r="B6" s="30">
        <v>87.194999999999993</v>
      </c>
      <c r="C6" s="30">
        <v>86.311999999999998</v>
      </c>
      <c r="D6" s="30">
        <f>F6/C6</f>
        <v>51.735355454629712</v>
      </c>
      <c r="E6" s="31">
        <v>256.97899999999998</v>
      </c>
      <c r="F6" s="32">
        <f>F27</f>
        <v>4465.3819999999996</v>
      </c>
      <c r="G6" s="33">
        <f>G27</f>
        <v>15.9101740464</v>
      </c>
      <c r="H6" s="33">
        <f>SUM(E6:G6)</f>
        <v>4738.2711740464001</v>
      </c>
      <c r="I6" s="16"/>
      <c r="J6" s="32">
        <f>J27</f>
        <v>2203.8901705391709</v>
      </c>
      <c r="K6" s="32">
        <f t="shared" ref="K6:K8" si="0">M6-L6-J6</f>
        <v>102.34031607682891</v>
      </c>
      <c r="L6" s="33">
        <f>L27</f>
        <v>2157.6466874304001</v>
      </c>
      <c r="M6" s="33">
        <f>H6-N6</f>
        <v>4463.8771740463999</v>
      </c>
      <c r="N6" s="33">
        <f>N26</f>
        <v>274.39400000000001</v>
      </c>
    </row>
    <row r="7" spans="1:23" ht="16.5" customHeight="1">
      <c r="A7" s="16" t="s">
        <v>188</v>
      </c>
      <c r="B7" s="30">
        <v>87.45</v>
      </c>
      <c r="C7" s="30">
        <v>86.335999999999999</v>
      </c>
      <c r="D7" s="30">
        <f>F7/C7</f>
        <v>49.528852390659743</v>
      </c>
      <c r="E7" s="31">
        <f>N6</f>
        <v>274.39400000000001</v>
      </c>
      <c r="F7" s="32">
        <v>4276.1229999999996</v>
      </c>
      <c r="G7" s="33">
        <v>20</v>
      </c>
      <c r="H7" s="33">
        <f>SUM(E7:G7)</f>
        <v>4570.5169999999998</v>
      </c>
      <c r="I7" s="16"/>
      <c r="J7" s="32">
        <v>2220</v>
      </c>
      <c r="K7" s="32">
        <f t="shared" si="0"/>
        <v>120.27800000000025</v>
      </c>
      <c r="L7" s="33">
        <v>2015</v>
      </c>
      <c r="M7" s="33">
        <f>H7-N7</f>
        <v>4355.2780000000002</v>
      </c>
      <c r="N7" s="33">
        <v>215.239</v>
      </c>
    </row>
    <row r="8" spans="1:23" ht="16.5" customHeight="1">
      <c r="A8" s="16" t="s">
        <v>187</v>
      </c>
      <c r="B8" s="30">
        <v>87.504999999999995</v>
      </c>
      <c r="C8" s="30">
        <v>86.7</v>
      </c>
      <c r="D8" s="30">
        <f>F8/C8</f>
        <v>52.018454440599768</v>
      </c>
      <c r="E8" s="31">
        <f>N7</f>
        <v>215.239</v>
      </c>
      <c r="F8" s="32">
        <v>4510</v>
      </c>
      <c r="G8" s="33">
        <v>20</v>
      </c>
      <c r="H8" s="33">
        <f>SUM(E8:G8)</f>
        <v>4745.2389999999996</v>
      </c>
      <c r="I8" s="16"/>
      <c r="J8" s="32">
        <v>2310</v>
      </c>
      <c r="K8" s="32">
        <f t="shared" si="0"/>
        <v>125.23899999999958</v>
      </c>
      <c r="L8" s="33">
        <v>1975</v>
      </c>
      <c r="M8" s="33">
        <f>H8-N8</f>
        <v>4410.2389999999996</v>
      </c>
      <c r="N8" s="33">
        <v>335</v>
      </c>
    </row>
    <row r="9" spans="1:23" ht="16.5" customHeight="1">
      <c r="A9" s="16"/>
      <c r="B9" s="16"/>
      <c r="C9" s="16"/>
      <c r="D9" s="16"/>
      <c r="E9" s="34"/>
      <c r="F9" s="34"/>
      <c r="G9" s="35"/>
      <c r="H9" s="34"/>
      <c r="I9" s="34"/>
      <c r="J9" s="35"/>
      <c r="K9" s="35"/>
      <c r="L9" s="35"/>
      <c r="M9" s="35"/>
      <c r="N9" s="35"/>
    </row>
    <row r="10" spans="1:23" ht="16.5" customHeight="1">
      <c r="A10" s="36" t="s">
        <v>37</v>
      </c>
      <c r="B10" s="106"/>
      <c r="C10" s="106"/>
      <c r="D10" s="106"/>
      <c r="E10" s="38"/>
      <c r="F10" s="39"/>
      <c r="G10" s="6"/>
      <c r="H10" s="13"/>
      <c r="I10" s="106"/>
      <c r="J10" s="13"/>
      <c r="K10" s="37"/>
      <c r="L10" s="6"/>
      <c r="M10" s="6"/>
      <c r="N10" s="13"/>
    </row>
    <row r="11" spans="1:23" ht="16.5" customHeight="1">
      <c r="A11" s="16" t="s">
        <v>38</v>
      </c>
      <c r="B11" s="106"/>
      <c r="C11" s="106"/>
      <c r="D11" s="111"/>
      <c r="E11" s="38"/>
      <c r="F11" s="39"/>
      <c r="G11" s="6">
        <f>(24488.6*36.744)/1000000</f>
        <v>0.89980911839999989</v>
      </c>
      <c r="I11" s="106"/>
      <c r="J11" s="13">
        <f>((4924574*0.907185)*36.744)/1000000</f>
        <v>164.15380766099736</v>
      </c>
      <c r="K11" s="37"/>
      <c r="L11" s="6">
        <f>(2098690.6*36.744)/1000000</f>
        <v>77.11428740640001</v>
      </c>
      <c r="M11" s="6"/>
      <c r="N11" s="13"/>
      <c r="Q11" s="111"/>
    </row>
    <row r="12" spans="1:23" ht="16.5" customHeight="1">
      <c r="A12" s="16" t="s">
        <v>39</v>
      </c>
      <c r="B12" s="106"/>
      <c r="C12" s="106"/>
      <c r="D12" s="111"/>
      <c r="E12" s="38"/>
      <c r="F12" s="39"/>
      <c r="G12" s="6">
        <f>(19229.4*36.744)/1000000</f>
        <v>0.70656507359999998</v>
      </c>
      <c r="I12" s="106"/>
      <c r="J12" s="13">
        <f>((5908157*0.907185)*36.744)/1000000</f>
        <v>196.9401754972055</v>
      </c>
      <c r="K12" s="37"/>
      <c r="L12" s="6">
        <f>(10749625.7*36.744)/1000000</f>
        <v>394.9842467208</v>
      </c>
      <c r="M12" s="6"/>
      <c r="N12" s="13"/>
      <c r="Q12" s="111"/>
    </row>
    <row r="13" spans="1:23" ht="16.5" customHeight="1">
      <c r="A13" s="16" t="s">
        <v>40</v>
      </c>
      <c r="B13" s="106"/>
      <c r="C13" s="106"/>
      <c r="D13" s="111"/>
      <c r="E13" s="38"/>
      <c r="F13" s="39"/>
      <c r="G13" s="6">
        <f>(34894.1*36.744)/1000000</f>
        <v>1.2821488103999998</v>
      </c>
      <c r="I13" s="106"/>
      <c r="J13" s="13">
        <f>((5717943*0.907185)*36.744)/1000000</f>
        <v>190.59965703399854</v>
      </c>
      <c r="K13" s="37"/>
      <c r="L13" s="6">
        <f>(10581460.9*36.744)/1000000</f>
        <v>388.80519930959997</v>
      </c>
      <c r="M13" s="6"/>
      <c r="N13" s="13"/>
      <c r="Q13" s="111"/>
    </row>
    <row r="14" spans="1:23" ht="16.5" customHeight="1">
      <c r="A14" s="16" t="s">
        <v>41</v>
      </c>
      <c r="B14" s="106"/>
      <c r="C14" s="106"/>
      <c r="E14" s="38">
        <f>E6</f>
        <v>256.97899999999998</v>
      </c>
      <c r="F14" s="38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06"/>
      <c r="J14" s="13">
        <f>SUM(J11:J13)</f>
        <v>551.69364019220143</v>
      </c>
      <c r="K14" s="37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6" t="s">
        <v>42</v>
      </c>
      <c r="B15" s="106"/>
      <c r="C15" s="106"/>
      <c r="D15" s="111"/>
      <c r="E15" s="38"/>
      <c r="F15" s="38"/>
      <c r="G15" s="6">
        <f>(27884.8*36.744)/1000000</f>
        <v>1.0245990912</v>
      </c>
      <c r="H15" s="13"/>
      <c r="I15" s="106"/>
      <c r="J15" s="13">
        <f>((5947222*0.907185)*36.744)/1000000</f>
        <v>198.24235280153209</v>
      </c>
      <c r="K15" s="37"/>
      <c r="L15" s="6">
        <f>(7940701.7*36.744)/1000000</f>
        <v>291.77314326480001</v>
      </c>
      <c r="M15" s="6"/>
      <c r="N15" s="13"/>
      <c r="Q15" s="111"/>
    </row>
    <row r="16" spans="1:23" ht="16.5" customHeight="1">
      <c r="A16" s="16" t="s">
        <v>43</v>
      </c>
      <c r="B16" s="106"/>
      <c r="C16" s="106"/>
      <c r="D16" s="111"/>
      <c r="E16" s="38"/>
      <c r="F16" s="38"/>
      <c r="G16" s="6">
        <f>(23947.4*36.744)/1000000</f>
        <v>0.8799232656</v>
      </c>
      <c r="H16" s="13"/>
      <c r="I16" s="106"/>
      <c r="J16" s="13">
        <f>((5828974*0.907185)*36.744)/1000000</f>
        <v>194.30072060181334</v>
      </c>
      <c r="K16" s="37"/>
      <c r="L16" s="6">
        <f>(6392108.3*36.744)/1000000</f>
        <v>234.87162737520001</v>
      </c>
      <c r="M16" s="6"/>
      <c r="N16" s="13"/>
      <c r="Q16" s="111"/>
    </row>
    <row r="17" spans="1:17" ht="16.5" customHeight="1">
      <c r="A17" s="16" t="s">
        <v>44</v>
      </c>
      <c r="B17" s="106"/>
      <c r="C17" s="106"/>
      <c r="D17" s="111"/>
      <c r="E17" s="38"/>
      <c r="F17" s="38"/>
      <c r="G17" s="6">
        <f>(47248.7*36.744)/1000000</f>
        <v>1.7361062327999999</v>
      </c>
      <c r="H17" s="13"/>
      <c r="I17" s="106"/>
      <c r="J17" s="13">
        <f>((5232453*0.907185)*36.744)/1000000</f>
        <v>174.41652483183492</v>
      </c>
      <c r="K17" s="37"/>
      <c r="L17" s="6">
        <f>(3791255.7*36.744)/1000000</f>
        <v>139.3058994408</v>
      </c>
      <c r="M17" s="6"/>
      <c r="N17" s="13"/>
      <c r="Q17" s="111"/>
    </row>
    <row r="18" spans="1:17" ht="16.5" customHeight="1">
      <c r="A18" s="16" t="s">
        <v>45</v>
      </c>
      <c r="B18" s="106"/>
      <c r="C18" s="106"/>
      <c r="E18" s="38">
        <f>N14</f>
        <v>3136.5239999999999</v>
      </c>
      <c r="F18" s="38"/>
      <c r="G18" s="6">
        <f>SUM(G15:G17)</f>
        <v>3.6406285895999999</v>
      </c>
      <c r="H18" s="13">
        <f>E18+F18+G18</f>
        <v>3140.1646285895999</v>
      </c>
      <c r="I18" s="106"/>
      <c r="J18" s="13">
        <f>SUM(J15:J17)</f>
        <v>566.95959823518035</v>
      </c>
      <c r="K18" s="37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  <c r="P18" s="40"/>
    </row>
    <row r="19" spans="1:17" ht="16.5" customHeight="1">
      <c r="A19" s="16" t="s">
        <v>46</v>
      </c>
      <c r="B19" s="106"/>
      <c r="C19" s="106"/>
      <c r="D19" s="111"/>
      <c r="E19" s="38"/>
      <c r="F19" s="38"/>
      <c r="G19" s="6">
        <f>(33665.9*36.744)/1000000</f>
        <v>1.2370198296000001</v>
      </c>
      <c r="H19" s="13"/>
      <c r="I19" s="106"/>
      <c r="J19" s="13">
        <f>((5786159*0.907185)*36.744)/1000000</f>
        <v>192.87354227633676</v>
      </c>
      <c r="K19" s="37"/>
      <c r="L19" s="6">
        <f>(3184420.8*36.744)/1000000</f>
        <v>117.00835787519999</v>
      </c>
      <c r="M19" s="6"/>
      <c r="N19" s="13"/>
      <c r="Q19" s="111"/>
    </row>
    <row r="20" spans="1:17" ht="16.5" customHeight="1">
      <c r="A20" s="16" t="s">
        <v>47</v>
      </c>
      <c r="B20" s="106"/>
      <c r="C20" s="106"/>
      <c r="D20" s="111"/>
      <c r="E20" s="38"/>
      <c r="F20" s="38"/>
      <c r="G20" s="6">
        <f>(49190.6*36.744)/1000000</f>
        <v>1.8074594064</v>
      </c>
      <c r="H20" s="13"/>
      <c r="I20" s="106"/>
      <c r="J20" s="13">
        <f>((5426712*0.907185)*36.744)/1000000</f>
        <v>180.89187772985568</v>
      </c>
      <c r="K20" s="37"/>
      <c r="L20" s="6">
        <f>(3657248.5*36.744)/1000000</f>
        <v>134.38193888399999</v>
      </c>
      <c r="M20" s="6"/>
      <c r="N20" s="13"/>
      <c r="Q20" s="111"/>
    </row>
    <row r="21" spans="1:17" ht="16.5" customHeight="1">
      <c r="A21" s="16" t="s">
        <v>48</v>
      </c>
      <c r="B21" s="106"/>
      <c r="C21" s="106"/>
      <c r="D21" s="111"/>
      <c r="E21" s="38"/>
      <c r="F21" s="38"/>
      <c r="G21" s="6">
        <f>(30553.6*36.744)/1000000</f>
        <v>1.1226614784</v>
      </c>
      <c r="H21" s="13"/>
      <c r="I21" s="106"/>
      <c r="J21" s="13">
        <f>((5427160*0.907185)*36.744)/1000000</f>
        <v>180.90681118518239</v>
      </c>
      <c r="K21" s="37"/>
      <c r="L21" s="6">
        <f>(2413962.6*36.744)/1000000</f>
        <v>88.698641774400002</v>
      </c>
      <c r="M21" s="6"/>
      <c r="N21" s="13"/>
      <c r="Q21" s="111"/>
    </row>
    <row r="22" spans="1:17" ht="16.5" customHeight="1">
      <c r="A22" s="16" t="s">
        <v>49</v>
      </c>
      <c r="B22" s="106"/>
      <c r="C22" s="106"/>
      <c r="E22" s="38">
        <f>N18</f>
        <v>1931.817</v>
      </c>
      <c r="F22" s="38"/>
      <c r="G22" s="6">
        <f>SUM(G19:G21)</f>
        <v>4.1671407144000003</v>
      </c>
      <c r="H22" s="13">
        <f>E22+F22+G22</f>
        <v>1935.9841407143999</v>
      </c>
      <c r="I22" s="106"/>
      <c r="J22" s="13">
        <f>SUM(J19:J21)</f>
        <v>554.67223119137486</v>
      </c>
      <c r="K22" s="37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6" t="s">
        <v>50</v>
      </c>
      <c r="B23" s="106"/>
      <c r="C23" s="106"/>
      <c r="E23" s="38"/>
      <c r="F23" s="38"/>
      <c r="G23" s="6">
        <f>(21134.8*36.744)/1000000</f>
        <v>0.77657709120000007</v>
      </c>
      <c r="H23" s="13"/>
      <c r="I23" s="106"/>
      <c r="J23" s="13">
        <f>((5222412*0.907185)*36.744)/1000000</f>
        <v>174.08182209760369</v>
      </c>
      <c r="K23" s="37"/>
      <c r="L23" s="6">
        <f>(2271040.2*36.744)/1000000</f>
        <v>83.447101108800013</v>
      </c>
      <c r="M23" s="6"/>
      <c r="N23" s="13"/>
    </row>
    <row r="24" spans="1:17" ht="16.5" customHeight="1">
      <c r="A24" s="16" t="s">
        <v>51</v>
      </c>
      <c r="B24" s="106"/>
      <c r="C24" s="106"/>
      <c r="E24" s="38"/>
      <c r="F24" s="38"/>
      <c r="G24" s="6">
        <f>(60079*36.744)/1000000</f>
        <v>2.2075427759999999</v>
      </c>
      <c r="H24" s="13"/>
      <c r="I24" s="106"/>
      <c r="J24" s="13">
        <f>((5441780*0.907185)*36.744)/1000000</f>
        <v>181.39414849963919</v>
      </c>
      <c r="K24" s="37"/>
      <c r="L24" s="6">
        <f>(2323087.5*36.744)/1000000</f>
        <v>85.359527099999994</v>
      </c>
      <c r="M24" s="6"/>
      <c r="N24" s="13"/>
    </row>
    <row r="25" spans="1:17" ht="16.5" customHeight="1">
      <c r="A25" s="16" t="s">
        <v>52</v>
      </c>
      <c r="B25" s="106"/>
      <c r="C25" s="106"/>
      <c r="E25" s="38"/>
      <c r="F25" s="38"/>
      <c r="G25" s="6">
        <f>(60683.8*36.744)/1000000</f>
        <v>2.2297655472</v>
      </c>
      <c r="H25" s="13"/>
      <c r="I25" s="106"/>
      <c r="J25" s="13">
        <f>((5252619*0.907185)*36.744)/1000000</f>
        <v>175.08873032317118</v>
      </c>
      <c r="K25" s="37"/>
      <c r="L25" s="6">
        <f>(3317459.2*36.744)/1000000</f>
        <v>121.89672084480002</v>
      </c>
      <c r="M25" s="6"/>
      <c r="N25" s="13"/>
    </row>
    <row r="26" spans="1:17" ht="16.5" customHeight="1">
      <c r="A26" s="16" t="s">
        <v>53</v>
      </c>
      <c r="B26" s="106"/>
      <c r="C26" s="106"/>
      <c r="E26" s="38">
        <f>N22</f>
        <v>967.52499999999998</v>
      </c>
      <c r="F26" s="38"/>
      <c r="G26" s="6">
        <f>SUM(G23:G25)</f>
        <v>5.2138854144</v>
      </c>
      <c r="H26" s="13">
        <f>E26+F26+G26</f>
        <v>972.73888541439999</v>
      </c>
      <c r="I26" s="106"/>
      <c r="J26" s="13">
        <f>SUM(J23:J25)</f>
        <v>530.564700920414</v>
      </c>
      <c r="K26" s="37">
        <f>M26-L26-J26</f>
        <v>-122.92316455961407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</row>
    <row r="27" spans="1:17" ht="16.5" customHeight="1">
      <c r="A27" s="16" t="s">
        <v>28</v>
      </c>
      <c r="B27" s="106"/>
      <c r="C27" s="106"/>
      <c r="D27" s="106"/>
      <c r="E27" s="38"/>
      <c r="F27" s="38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06"/>
      <c r="J27" s="13">
        <f>SUM(J14,J18,J22,J26)</f>
        <v>2203.8901705391709</v>
      </c>
      <c r="K27" s="37">
        <f>SUM(K14,K18,K22,K26)</f>
        <v>102.34031607682891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16"/>
      <c r="B28" s="106"/>
      <c r="C28" s="106"/>
      <c r="D28" s="106"/>
      <c r="E28" s="38"/>
      <c r="F28" s="38"/>
      <c r="G28" s="6"/>
      <c r="H28" s="13"/>
      <c r="I28" s="106"/>
      <c r="J28" s="13"/>
      <c r="K28" s="37"/>
      <c r="L28" s="6"/>
      <c r="M28" s="6"/>
      <c r="N28" s="13"/>
    </row>
    <row r="29" spans="1:17" ht="16.5" customHeight="1">
      <c r="A29" s="36" t="s">
        <v>54</v>
      </c>
      <c r="B29" s="106"/>
      <c r="C29" s="106"/>
      <c r="D29" s="106"/>
      <c r="E29" s="38"/>
      <c r="F29" s="38"/>
      <c r="G29" s="6"/>
      <c r="H29" s="13"/>
      <c r="I29" s="106"/>
      <c r="J29" s="13"/>
      <c r="K29" s="37"/>
      <c r="L29" s="6"/>
      <c r="M29" s="6"/>
      <c r="N29" s="13"/>
    </row>
    <row r="30" spans="1:17" ht="16.5" customHeight="1">
      <c r="A30" s="16" t="s">
        <v>38</v>
      </c>
      <c r="B30" s="106"/>
      <c r="C30" s="106"/>
      <c r="D30" s="106"/>
      <c r="E30" s="38"/>
      <c r="F30" s="38"/>
      <c r="G30" s="6">
        <f>(31760.9*36.744)/1000000</f>
        <v>1.1670225096</v>
      </c>
      <c r="H30" s="13"/>
      <c r="I30" s="106"/>
      <c r="J30" s="6">
        <f>((5028287*0.907185)*36.744)/1000000</f>
        <v>167.6109359027387</v>
      </c>
      <c r="K30" s="37"/>
      <c r="L30" s="6">
        <f>(2122949.2*36.744)/1000000</f>
        <v>78.005645404800006</v>
      </c>
      <c r="M30" s="6"/>
      <c r="N30" s="13"/>
    </row>
    <row r="31" spans="1:17" ht="16.5" customHeight="1">
      <c r="A31" s="16" t="s">
        <v>39</v>
      </c>
      <c r="B31" s="106"/>
      <c r="C31" s="106"/>
      <c r="D31" s="106"/>
      <c r="E31" s="38"/>
      <c r="F31" s="38"/>
      <c r="G31" s="6">
        <f>(33846.3*36.744)/1000000</f>
        <v>1.2436484472</v>
      </c>
      <c r="H31" s="13"/>
      <c r="I31" s="106"/>
      <c r="J31" s="6">
        <f>((5899694*0.907185)*36.744)/1000000</f>
        <v>196.65807319267415</v>
      </c>
      <c r="K31" s="37"/>
      <c r="L31" s="6">
        <f>(9780846.5*36.744)/1000000</f>
        <v>359.38742379600001</v>
      </c>
      <c r="M31" s="6"/>
      <c r="N31" s="13"/>
    </row>
    <row r="32" spans="1:17" ht="16.5" customHeight="1">
      <c r="A32" s="16" t="s">
        <v>40</v>
      </c>
      <c r="B32" s="106"/>
      <c r="C32" s="106"/>
      <c r="D32" s="106"/>
      <c r="E32" s="38"/>
      <c r="F32" s="38"/>
      <c r="G32" s="6">
        <f>(34971.9*36.744)/1000000</f>
        <v>1.2850074936000002</v>
      </c>
      <c r="H32" s="13"/>
      <c r="I32" s="106"/>
      <c r="J32" s="6">
        <f>((5687098*0.907185)*36.744)/1000000</f>
        <v>189.57148196803271</v>
      </c>
      <c r="K32" s="37"/>
      <c r="L32" s="6">
        <f>(9667590.7*36.744)/1000000</f>
        <v>355.22595268079994</v>
      </c>
      <c r="M32" s="6"/>
      <c r="N32" s="13"/>
    </row>
    <row r="33" spans="1:73" ht="16.5" customHeight="1">
      <c r="A33" s="16" t="s">
        <v>41</v>
      </c>
      <c r="B33" s="106"/>
      <c r="C33" s="106"/>
      <c r="D33" s="106"/>
      <c r="E33" s="38">
        <f>N26</f>
        <v>274.39400000000001</v>
      </c>
      <c r="F33" s="118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06"/>
      <c r="J33" s="6">
        <f>SUM(J30:J32)</f>
        <v>553.8404910634456</v>
      </c>
      <c r="K33" s="37">
        <f>M33-L33-J33</f>
        <v>186.60116550535417</v>
      </c>
      <c r="L33" s="6">
        <f>SUM(L30:L32)</f>
        <v>792.61902188160002</v>
      </c>
      <c r="M33" s="6">
        <f>H33-N33</f>
        <v>1533.0606784503998</v>
      </c>
      <c r="N33" s="13">
        <f>3021.152</f>
        <v>3021.152</v>
      </c>
    </row>
    <row r="34" spans="1:73" ht="16.5" customHeight="1">
      <c r="A34" s="16" t="s">
        <v>42</v>
      </c>
      <c r="B34" s="106"/>
      <c r="C34" s="106"/>
      <c r="D34" s="106"/>
      <c r="E34" s="38"/>
      <c r="F34" s="118"/>
      <c r="G34" s="6">
        <f>(36103.7*36.744)/1000000</f>
        <v>1.3265943527999999</v>
      </c>
      <c r="H34" s="13"/>
      <c r="I34" s="106"/>
      <c r="J34" s="6">
        <f>((5622561*0.907185)*36.744)/1000000</f>
        <v>187.42023106084403</v>
      </c>
      <c r="K34" s="37"/>
      <c r="L34" s="6">
        <f>(8294601.8*36.744)/1000000</f>
        <v>304.77684853919999</v>
      </c>
      <c r="M34" s="6"/>
      <c r="N34" s="13"/>
    </row>
    <row r="35" spans="1:73" ht="16.5" customHeight="1">
      <c r="A35" s="16" t="s">
        <v>43</v>
      </c>
      <c r="B35" s="106"/>
      <c r="C35" s="106"/>
      <c r="D35" s="106"/>
      <c r="E35" s="38"/>
      <c r="F35" s="118"/>
      <c r="G35" s="6">
        <f>(5893.9*36.744)/1000000</f>
        <v>0.21656546159999998</v>
      </c>
      <c r="H35" s="13"/>
      <c r="I35" s="106"/>
      <c r="J35" s="6">
        <f>((5734398*0.907185)*36.744)/1000000</f>
        <v>191.14816151480471</v>
      </c>
      <c r="K35" s="37"/>
      <c r="L35" s="6">
        <f>(8559125.5*36.744)/1000000</f>
        <v>314.496507372</v>
      </c>
      <c r="M35" s="6"/>
      <c r="N35" s="13"/>
    </row>
    <row r="36" spans="1:73" ht="16.5" customHeight="1">
      <c r="A36" s="16" t="s">
        <v>44</v>
      </c>
      <c r="B36" s="106"/>
      <c r="C36" s="106"/>
      <c r="D36" s="106"/>
      <c r="E36" s="38"/>
      <c r="F36" s="118"/>
      <c r="G36" s="6">
        <f>(27761.8*36.744)/1000000</f>
        <v>1.0200795791999999</v>
      </c>
      <c r="H36" s="13"/>
      <c r="I36" s="106"/>
      <c r="J36" s="6">
        <f>((5306995*0.907185)*36.744)/1000000</f>
        <v>176.9012784634518</v>
      </c>
      <c r="K36" s="37"/>
      <c r="L36" s="6">
        <f>(5374314*36.744)/1000000</f>
        <v>197.47379361599999</v>
      </c>
      <c r="M36" s="6"/>
      <c r="N36" s="13"/>
      <c r="P36" s="40"/>
    </row>
    <row r="37" spans="1:73" ht="16.5" customHeight="1">
      <c r="A37" s="16" t="s">
        <v>45</v>
      </c>
      <c r="B37" s="106"/>
      <c r="C37" s="106"/>
      <c r="D37" s="106"/>
      <c r="E37" s="38">
        <f>N33</f>
        <v>3021.152</v>
      </c>
      <c r="F37" s="118"/>
      <c r="G37" s="6">
        <f>SUM(G34:G36)</f>
        <v>2.5632393936</v>
      </c>
      <c r="H37" s="13">
        <f>SUM(E37:G37)</f>
        <v>3023.7152393935999</v>
      </c>
      <c r="I37" s="106"/>
      <c r="J37" s="6">
        <f>SUM(J34:J36)</f>
        <v>555.4696710391006</v>
      </c>
      <c r="K37" s="37">
        <f>M37-L37-J37</f>
        <v>-33.919581172700646</v>
      </c>
      <c r="L37" s="6">
        <f>SUM(L34:L36)</f>
        <v>816.74714952720001</v>
      </c>
      <c r="M37" s="6">
        <f>H37-N37</f>
        <v>1338.2972393936</v>
      </c>
      <c r="N37" s="13">
        <f>1685.418</f>
        <v>1685.4179999999999</v>
      </c>
    </row>
    <row r="38" spans="1:73" ht="16.5" customHeight="1">
      <c r="A38" s="16" t="s">
        <v>46</v>
      </c>
      <c r="B38" s="106"/>
      <c r="C38" s="106"/>
      <c r="D38" s="106"/>
      <c r="E38" s="38"/>
      <c r="F38" s="118"/>
      <c r="G38" s="6">
        <f>(34752.6*36.744)/1000000</f>
        <v>1.2769495343999999</v>
      </c>
      <c r="H38" s="13"/>
      <c r="I38" s="106"/>
      <c r="J38" s="6">
        <f>((5939012*0.907185)*36.744)/1000000</f>
        <v>197.9686838992277</v>
      </c>
      <c r="K38" s="37"/>
      <c r="L38" s="6">
        <f>(3135729.4*36.744)/1000000</f>
        <v>115.21924107359999</v>
      </c>
      <c r="M38" s="6"/>
      <c r="N38" s="13"/>
    </row>
    <row r="39" spans="1:73" ht="16.5" customHeight="1">
      <c r="A39" s="16" t="s">
        <v>28</v>
      </c>
      <c r="B39" s="106"/>
      <c r="C39" s="106"/>
      <c r="D39" s="106"/>
      <c r="E39" s="38"/>
      <c r="F39" s="118"/>
      <c r="G39" s="6">
        <f>SUM(G33,G37,G38)</f>
        <v>7.5358673783999999</v>
      </c>
      <c r="H39" s="148"/>
      <c r="I39" s="106"/>
      <c r="J39" s="6">
        <f>SUM(J33,J37,J38)</f>
        <v>1307.2788460017739</v>
      </c>
      <c r="K39" s="37"/>
      <c r="L39" s="6">
        <f>SUM(L33,L37,L38)</f>
        <v>1724.5854124824</v>
      </c>
      <c r="M39" s="6"/>
      <c r="N39" s="13"/>
    </row>
    <row r="40" spans="1:73" ht="16.5" customHeight="1">
      <c r="A40" s="101" t="s">
        <v>55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02"/>
      <c r="M40" s="82"/>
      <c r="N40" s="82"/>
    </row>
    <row r="41" spans="1:73" ht="16.5" customHeight="1">
      <c r="A41" s="16" t="s">
        <v>181</v>
      </c>
      <c r="B41" s="16"/>
      <c r="C41" s="16"/>
      <c r="D41" s="16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73" ht="16.5" customHeight="1">
      <c r="A42" s="21" t="s">
        <v>56</v>
      </c>
      <c r="B42" s="43">
        <f>Contents!A16</f>
        <v>45062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06"/>
      <c r="P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</row>
    <row r="43" spans="1:73">
      <c r="O43" s="106"/>
      <c r="P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</row>
    <row r="44" spans="1:73">
      <c r="O44" s="106"/>
      <c r="P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</row>
    <row r="45" spans="1:73">
      <c r="O45" s="106"/>
      <c r="P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</row>
    <row r="46" spans="1:73">
      <c r="O46" s="106"/>
      <c r="P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</row>
    <row r="47" spans="1:73">
      <c r="J47" s="40"/>
      <c r="L47" s="40"/>
      <c r="O47" s="106"/>
      <c r="P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</row>
    <row r="48" spans="1:73">
      <c r="J48" s="40"/>
      <c r="L48" s="40"/>
      <c r="O48" s="106"/>
      <c r="P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</row>
    <row r="49" spans="10:73">
      <c r="J49" s="40"/>
      <c r="L49" s="40"/>
      <c r="O49" s="106"/>
      <c r="P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</row>
    <row r="50" spans="10:73">
      <c r="O50" s="106"/>
      <c r="P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</row>
    <row r="51" spans="10:73">
      <c r="O51" s="106"/>
      <c r="P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</row>
    <row r="52" spans="10:73">
      <c r="O52" s="106"/>
      <c r="P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</row>
    <row r="53" spans="10:73">
      <c r="O53" s="106"/>
      <c r="P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</row>
    <row r="54" spans="10:73">
      <c r="O54" s="106"/>
      <c r="P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</row>
    <row r="55" spans="10:73">
      <c r="O55" s="106"/>
      <c r="P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</row>
    <row r="56" spans="10:73">
      <c r="O56" s="106"/>
      <c r="P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</row>
    <row r="57" spans="10:73">
      <c r="O57" s="106"/>
      <c r="P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</row>
    <row r="58" spans="10:73">
      <c r="O58" s="106"/>
      <c r="P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</row>
    <row r="59" spans="10:73">
      <c r="O59" s="106"/>
      <c r="P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</row>
    <row r="60" spans="10:73">
      <c r="O60" s="106"/>
      <c r="P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</row>
    <row r="61" spans="10:73">
      <c r="O61" s="106"/>
      <c r="P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</row>
    <row r="62" spans="10:73">
      <c r="O62" s="106"/>
      <c r="P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</row>
    <row r="63" spans="10:73">
      <c r="O63" s="106"/>
      <c r="P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</row>
    <row r="64" spans="10:73">
      <c r="O64" s="106"/>
      <c r="P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</row>
    <row r="65" spans="15:73">
      <c r="O65" s="106"/>
      <c r="P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</row>
    <row r="66" spans="15:73">
      <c r="O66" s="106"/>
      <c r="P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</row>
    <row r="67" spans="15:73">
      <c r="O67" s="106"/>
      <c r="P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</row>
    <row r="68" spans="15:73">
      <c r="O68" s="106"/>
      <c r="P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</row>
    <row r="69" spans="15:73">
      <c r="O69" s="106"/>
      <c r="P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</row>
    <row r="70" spans="15:73"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</row>
    <row r="71" spans="15:73"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</row>
    <row r="72" spans="15:73"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</row>
    <row r="73" spans="15:73"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</row>
    <row r="74" spans="15:73"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</row>
    <row r="75" spans="15:73"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</row>
    <row r="76" spans="15:73"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</row>
    <row r="77" spans="15:73"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</row>
    <row r="78" spans="15:73"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</row>
    <row r="79" spans="15:73"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</row>
    <row r="80" spans="15:73"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</row>
    <row r="81" spans="15:73"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</row>
    <row r="82" spans="15:73"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</row>
    <row r="83" spans="15:73"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</row>
    <row r="84" spans="15:73"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</row>
    <row r="85" spans="15:73"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</row>
    <row r="86" spans="15:73"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</row>
    <row r="87" spans="15:73"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</row>
    <row r="88" spans="15:73"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</row>
    <row r="89" spans="15:73"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</row>
    <row r="90" spans="15:73"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</row>
    <row r="91" spans="15:73"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</row>
    <row r="92" spans="15:73"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</row>
    <row r="93" spans="15:73"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</row>
    <row r="94" spans="15:73"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</row>
    <row r="95" spans="15:73"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</row>
    <row r="96" spans="15:73"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</row>
    <row r="97" spans="15:73"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</row>
    <row r="98" spans="15:73"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</row>
    <row r="99" spans="15:73"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</row>
    <row r="100" spans="15:73"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</row>
    <row r="101" spans="15:73"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</row>
    <row r="102" spans="15:73"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</row>
    <row r="103" spans="15:73"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</row>
    <row r="104" spans="15:73"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</row>
    <row r="105" spans="15:73"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</row>
    <row r="106" spans="15:73"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</row>
    <row r="107" spans="15:73"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</row>
    <row r="108" spans="15:73"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</row>
    <row r="109" spans="15:73"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</row>
    <row r="110" spans="15:73"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</row>
    <row r="111" spans="15:73"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</row>
    <row r="112" spans="15:73"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</row>
    <row r="113" spans="15:73"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</row>
    <row r="114" spans="15:73"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</row>
    <row r="115" spans="15:73"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</row>
    <row r="116" spans="15:73"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</row>
    <row r="117" spans="15:73"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</row>
    <row r="118" spans="15:73"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</row>
    <row r="119" spans="15:73"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</row>
    <row r="120" spans="15:73"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</row>
    <row r="121" spans="15:73"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</row>
    <row r="122" spans="15:73"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</row>
    <row r="123" spans="15:73"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</row>
    <row r="124" spans="15:73"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</row>
    <row r="125" spans="15:73"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</row>
    <row r="126" spans="15:73"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</row>
    <row r="127" spans="15:73"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</row>
    <row r="128" spans="15:73"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</row>
    <row r="129" spans="15:73"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</row>
    <row r="130" spans="15:73"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</row>
    <row r="131" spans="15:73"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</row>
    <row r="132" spans="15:73"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</row>
    <row r="133" spans="15:73"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</row>
    <row r="134" spans="15:73"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</row>
    <row r="135" spans="15:73"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</row>
    <row r="136" spans="15:73"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</row>
    <row r="137" spans="15:73"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</row>
    <row r="138" spans="15:73"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</row>
    <row r="139" spans="15:73"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</row>
    <row r="140" spans="15:73"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</row>
    <row r="141" spans="15:73"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</row>
    <row r="142" spans="15:73"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</row>
    <row r="143" spans="15:73"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</row>
    <row r="144" spans="15:73"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</row>
    <row r="145" spans="15:73"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</row>
    <row r="146" spans="15:73"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</row>
    <row r="147" spans="15:73"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</row>
    <row r="148" spans="15:73"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</row>
    <row r="149" spans="15:73"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</row>
    <row r="150" spans="15:73"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</row>
    <row r="151" spans="15:73"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</row>
    <row r="152" spans="15:73"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</row>
    <row r="153" spans="15:73"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</row>
    <row r="154" spans="15:73"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</row>
    <row r="155" spans="15:73"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</row>
    <row r="156" spans="15:73"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</row>
    <row r="157" spans="15:73"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</row>
    <row r="158" spans="15:73"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</row>
    <row r="159" spans="15:73"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</row>
    <row r="160" spans="15:73"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</row>
    <row r="161" spans="15:73"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</row>
    <row r="162" spans="15:73"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</row>
    <row r="163" spans="15:73"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</row>
    <row r="164" spans="15:73"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</row>
    <row r="165" spans="15:73"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</row>
    <row r="166" spans="15:73"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</row>
    <row r="167" spans="15:73"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</row>
    <row r="168" spans="15:73"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</row>
    <row r="169" spans="15:73"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</row>
    <row r="170" spans="15:73"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</row>
    <row r="171" spans="15:73"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</row>
    <row r="172" spans="15:73"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</row>
    <row r="173" spans="15:73"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</row>
    <row r="174" spans="15:73"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</row>
    <row r="175" spans="15:73"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</row>
    <row r="176" spans="15:73"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</row>
    <row r="177" spans="15:73"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</row>
    <row r="178" spans="15:73"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</row>
    <row r="179" spans="15:73"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</row>
    <row r="180" spans="15:73"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</row>
    <row r="181" spans="15:73"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</row>
    <row r="182" spans="15:73"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</row>
    <row r="183" spans="15:73"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</row>
    <row r="184" spans="15:73"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</row>
    <row r="185" spans="15:73"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</row>
    <row r="186" spans="15:73"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</row>
    <row r="187" spans="15:73"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</row>
    <row r="188" spans="15:73"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</row>
    <row r="189" spans="15:73"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</row>
    <row r="190" spans="15:73"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</row>
    <row r="191" spans="15:73"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</row>
    <row r="192" spans="15:73"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</row>
    <row r="193" spans="15:73"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</row>
    <row r="194" spans="15:73"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</row>
    <row r="195" spans="15:73"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</row>
    <row r="196" spans="15:73"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</row>
    <row r="197" spans="15:73"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</row>
    <row r="198" spans="15:73"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</row>
    <row r="199" spans="15:73"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</row>
    <row r="200" spans="15:73"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</row>
    <row r="201" spans="15:73"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</row>
    <row r="202" spans="15:73"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</row>
    <row r="203" spans="15:73"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</row>
    <row r="204" spans="15:73"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</row>
    <row r="205" spans="15:73"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</row>
    <row r="206" spans="15:73"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</row>
    <row r="207" spans="15:73"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</row>
    <row r="208" spans="15:73"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</row>
    <row r="209" spans="15:73"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</row>
    <row r="210" spans="15:73"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</row>
    <row r="211" spans="15:73"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</row>
    <row r="212" spans="15:73"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</row>
    <row r="213" spans="15:73"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</row>
    <row r="214" spans="15:73"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</row>
    <row r="215" spans="15:73"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</row>
    <row r="216" spans="15:73"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</row>
    <row r="217" spans="15:73"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</row>
    <row r="218" spans="15:73"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</row>
    <row r="219" spans="15:73"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</row>
    <row r="220" spans="15:73"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</row>
    <row r="221" spans="15:73"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</row>
    <row r="222" spans="15:73"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</row>
    <row r="223" spans="15:73"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</row>
    <row r="224" spans="15:73"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</row>
    <row r="225" spans="15:73"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</row>
    <row r="226" spans="15:73"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</row>
    <row r="227" spans="15:73"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</row>
    <row r="228" spans="15:73"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</row>
    <row r="229" spans="15:73"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</row>
    <row r="230" spans="15:73"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</row>
    <row r="231" spans="15:73"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</row>
    <row r="232" spans="15:73"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</row>
    <row r="233" spans="15:73"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</row>
    <row r="234" spans="15:73"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</row>
    <row r="235" spans="15:73"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</row>
    <row r="236" spans="15:73"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</row>
    <row r="237" spans="15:73"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</row>
    <row r="238" spans="15:73"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</row>
    <row r="239" spans="15:73"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</row>
    <row r="240" spans="15:73"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</row>
    <row r="241" spans="15:73"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</row>
    <row r="242" spans="15:73"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</row>
    <row r="243" spans="15:73"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</row>
    <row r="244" spans="15:73"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</row>
    <row r="245" spans="15:73"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</row>
    <row r="246" spans="15:73"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</row>
    <row r="247" spans="15:73"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</row>
    <row r="248" spans="15:73"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</row>
    <row r="249" spans="15:73"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</row>
    <row r="250" spans="15:73"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</row>
    <row r="251" spans="15:73"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</row>
    <row r="252" spans="15:73"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</row>
    <row r="253" spans="15:73"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</row>
    <row r="254" spans="15:73"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</row>
    <row r="255" spans="15:73"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</row>
    <row r="256" spans="15:73"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</row>
    <row r="257" spans="15:73"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</row>
    <row r="258" spans="15:73"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</row>
    <row r="259" spans="15:73"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</row>
    <row r="260" spans="15:73"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</row>
    <row r="261" spans="15:73"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</row>
    <row r="262" spans="15:73"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 s="106"/>
      <c r="BQ262" s="106"/>
      <c r="BR262" s="106"/>
      <c r="BS262" s="106"/>
      <c r="BT262" s="106"/>
      <c r="BU262" s="106"/>
    </row>
    <row r="263" spans="15:73"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</row>
    <row r="264" spans="15:73"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</row>
    <row r="265" spans="15:73"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</row>
    <row r="266" spans="15:73"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</row>
    <row r="267" spans="15:73"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</row>
    <row r="268" spans="15:73"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6"/>
      <c r="BQ268" s="106"/>
      <c r="BR268" s="106"/>
      <c r="BS268" s="106"/>
      <c r="BT268" s="106"/>
      <c r="BU268" s="106"/>
    </row>
    <row r="269" spans="15:73"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</row>
    <row r="270" spans="15:73"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</row>
    <row r="271" spans="15:73"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</row>
    <row r="272" spans="15:73"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</row>
    <row r="273" spans="15:73"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</row>
    <row r="274" spans="15:73"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</row>
    <row r="275" spans="15:73"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</row>
    <row r="276" spans="15:73"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</row>
    <row r="277" spans="15:73"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</row>
    <row r="278" spans="15:73"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</row>
    <row r="279" spans="15:73"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</row>
    <row r="280" spans="15:73"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</row>
    <row r="281" spans="15:73"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</row>
    <row r="282" spans="15:73"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</row>
    <row r="283" spans="15:73"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</row>
    <row r="284" spans="15:73"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</row>
    <row r="285" spans="15:73"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</row>
    <row r="286" spans="15:73"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</row>
    <row r="287" spans="15:73"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</row>
    <row r="288" spans="15:73"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</row>
    <row r="289" spans="15:73"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</row>
    <row r="290" spans="15:73"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</row>
    <row r="291" spans="15:73"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</row>
    <row r="292" spans="15:73"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</row>
    <row r="293" spans="15:73"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</row>
    <row r="294" spans="15:73"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</row>
    <row r="295" spans="15:73"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</row>
    <row r="296" spans="15:73"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</row>
    <row r="297" spans="15:73"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</row>
    <row r="298" spans="15:73"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</row>
    <row r="299" spans="15:73"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</row>
    <row r="300" spans="15:73"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</row>
    <row r="301" spans="15:73"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</row>
    <row r="302" spans="15:73"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</row>
    <row r="303" spans="15:73"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</row>
    <row r="304" spans="15:73"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</row>
    <row r="305" spans="15:73"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</row>
    <row r="306" spans="15:73"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</row>
    <row r="307" spans="15:73"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</row>
    <row r="308" spans="15:73"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</row>
    <row r="309" spans="15:73"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</row>
    <row r="310" spans="15:73"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</row>
    <row r="311" spans="15:73"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</row>
    <row r="312" spans="15:73"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</row>
    <row r="313" spans="15:73"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 s="106"/>
      <c r="BQ313" s="106"/>
      <c r="BR313" s="106"/>
      <c r="BS313" s="106"/>
      <c r="BT313" s="106"/>
      <c r="BU313" s="106"/>
    </row>
    <row r="314" spans="15:73"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</row>
    <row r="315" spans="15:73"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</row>
    <row r="316" spans="15:73"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</row>
    <row r="317" spans="15:73"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</row>
    <row r="318" spans="15:73"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</row>
    <row r="319" spans="15:73"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</row>
    <row r="320" spans="15:73"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</row>
    <row r="321" spans="15:73"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</row>
    <row r="322" spans="15:73"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</row>
    <row r="323" spans="15:73"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</row>
    <row r="324" spans="15:73"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</row>
    <row r="325" spans="15:73"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</row>
    <row r="326" spans="15:73"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 s="106"/>
      <c r="BQ326" s="106"/>
      <c r="BR326" s="106"/>
      <c r="BS326" s="106"/>
      <c r="BT326" s="106"/>
      <c r="BU326" s="106"/>
    </row>
    <row r="327" spans="15:73"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</row>
    <row r="328" spans="15:73"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</row>
    <row r="329" spans="15:73"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</row>
    <row r="330" spans="15:73"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</row>
    <row r="331" spans="15:73"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</row>
    <row r="332" spans="15:73"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</row>
    <row r="333" spans="15:73"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 s="106"/>
      <c r="BQ333" s="106"/>
      <c r="BR333" s="106"/>
      <c r="BS333" s="106"/>
      <c r="BT333" s="106"/>
      <c r="BU333" s="106"/>
    </row>
    <row r="334" spans="15:73"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 s="106"/>
      <c r="BQ334" s="106"/>
      <c r="BR334" s="106"/>
      <c r="BS334" s="106"/>
      <c r="BT334" s="106"/>
      <c r="BU334" s="106"/>
    </row>
    <row r="335" spans="15:73"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</row>
    <row r="336" spans="15:73"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</row>
    <row r="337" spans="15:73"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</row>
    <row r="338" spans="15:73"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</row>
    <row r="339" spans="15:73"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 s="106"/>
      <c r="BQ339" s="106"/>
      <c r="BR339" s="106"/>
      <c r="BS339" s="106"/>
      <c r="BT339" s="106"/>
      <c r="BU339" s="106"/>
    </row>
    <row r="340" spans="15:73"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</row>
    <row r="341" spans="15:73"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</row>
    <row r="342" spans="15:73"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 s="106"/>
      <c r="BQ342" s="106"/>
      <c r="BR342" s="106"/>
      <c r="BS342" s="106"/>
      <c r="BT342" s="106"/>
      <c r="BU342" s="106"/>
    </row>
    <row r="343" spans="15:73"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6"/>
      <c r="BQ343" s="106"/>
      <c r="BR343" s="106"/>
      <c r="BS343" s="106"/>
      <c r="BT343" s="106"/>
      <c r="BU343" s="106"/>
    </row>
    <row r="344" spans="15:73"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6"/>
      <c r="BQ344" s="106"/>
      <c r="BR344" s="106"/>
      <c r="BS344" s="106"/>
      <c r="BT344" s="106"/>
      <c r="BU344" s="106"/>
    </row>
    <row r="345" spans="15:73"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6"/>
      <c r="BR345" s="106"/>
      <c r="BS345" s="106"/>
      <c r="BT345" s="106"/>
      <c r="BU345" s="106"/>
    </row>
    <row r="346" spans="15:73"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6"/>
      <c r="BQ346" s="106"/>
      <c r="BR346" s="106"/>
      <c r="BS346" s="106"/>
      <c r="BT346" s="106"/>
      <c r="BU346" s="106"/>
    </row>
    <row r="347" spans="15:73"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</row>
    <row r="348" spans="15:73"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 s="106"/>
      <c r="BQ348" s="106"/>
      <c r="BR348" s="106"/>
      <c r="BS348" s="106"/>
      <c r="BT348" s="106"/>
      <c r="BU348" s="106"/>
    </row>
    <row r="349" spans="15:73"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 s="106"/>
      <c r="BQ349" s="106"/>
      <c r="BR349" s="106"/>
      <c r="BS349" s="106"/>
      <c r="BT349" s="106"/>
      <c r="BU349" s="106"/>
    </row>
    <row r="350" spans="15:73"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 s="106"/>
      <c r="BQ350" s="106"/>
      <c r="BR350" s="106"/>
      <c r="BS350" s="106"/>
      <c r="BT350" s="106"/>
      <c r="BU350" s="106"/>
    </row>
    <row r="351" spans="15:73"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 s="106"/>
      <c r="BQ351" s="106"/>
      <c r="BR351" s="106"/>
      <c r="BS351" s="106"/>
      <c r="BT351" s="106"/>
      <c r="BU351" s="106"/>
    </row>
    <row r="352" spans="15:73"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6"/>
      <c r="BR352" s="106"/>
      <c r="BS352" s="106"/>
      <c r="BT352" s="106"/>
      <c r="BU352" s="106"/>
    </row>
    <row r="353" spans="15:73"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 s="106"/>
      <c r="BQ353" s="106"/>
      <c r="BR353" s="106"/>
      <c r="BS353" s="106"/>
      <c r="BT353" s="106"/>
      <c r="BU353" s="106"/>
    </row>
    <row r="354" spans="15:73"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</row>
    <row r="355" spans="15:73"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 s="106"/>
      <c r="BQ355" s="106"/>
      <c r="BR355" s="106"/>
      <c r="BS355" s="106"/>
      <c r="BT355" s="106"/>
      <c r="BU355" s="106"/>
    </row>
    <row r="356" spans="15:73"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 s="106"/>
      <c r="BQ356" s="106"/>
      <c r="BR356" s="106"/>
      <c r="BS356" s="106"/>
      <c r="BT356" s="106"/>
      <c r="BU356" s="106"/>
    </row>
    <row r="357" spans="15:73"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 s="106"/>
      <c r="BQ357" s="106"/>
      <c r="BR357" s="106"/>
      <c r="BS357" s="106"/>
      <c r="BT357" s="106"/>
      <c r="BU357" s="106"/>
    </row>
    <row r="358" spans="15:73"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 s="106"/>
      <c r="BQ358" s="106"/>
      <c r="BR358" s="106"/>
      <c r="BS358" s="106"/>
      <c r="BT358" s="106"/>
      <c r="BU358" s="106"/>
    </row>
    <row r="359" spans="15:73"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 s="106"/>
      <c r="BQ359" s="106"/>
      <c r="BR359" s="106"/>
      <c r="BS359" s="106"/>
      <c r="BT359" s="106"/>
      <c r="BU359" s="106"/>
    </row>
    <row r="360" spans="15:73"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 s="106"/>
      <c r="BQ360" s="106"/>
      <c r="BR360" s="106"/>
      <c r="BS360" s="106"/>
      <c r="BT360" s="106"/>
      <c r="BU360" s="106"/>
    </row>
    <row r="361" spans="15:73"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</row>
    <row r="362" spans="15:73"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 s="106"/>
      <c r="BQ362" s="106"/>
      <c r="BR362" s="106"/>
      <c r="BS362" s="106"/>
      <c r="BT362" s="106"/>
      <c r="BU362" s="106"/>
    </row>
    <row r="363" spans="15:73"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 s="106"/>
      <c r="BQ363" s="106"/>
      <c r="BR363" s="106"/>
      <c r="BS363" s="106"/>
      <c r="BT363" s="106"/>
      <c r="BU363" s="106"/>
    </row>
    <row r="364" spans="15:73"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 s="106"/>
      <c r="BQ364" s="106"/>
      <c r="BR364" s="106"/>
      <c r="BS364" s="106"/>
      <c r="BT364" s="106"/>
      <c r="BU364" s="106"/>
    </row>
    <row r="365" spans="15:73"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 s="106"/>
      <c r="BQ365" s="106"/>
      <c r="BR365" s="106"/>
      <c r="BS365" s="106"/>
      <c r="BT365" s="106"/>
      <c r="BU365" s="106"/>
    </row>
    <row r="366" spans="15:73"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 s="106"/>
      <c r="BQ366" s="106"/>
      <c r="BR366" s="106"/>
      <c r="BS366" s="106"/>
      <c r="BT366" s="106"/>
      <c r="BU366" s="106"/>
    </row>
    <row r="367" spans="15:73"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 s="106"/>
      <c r="BQ367" s="106"/>
      <c r="BR367" s="106"/>
      <c r="BS367" s="106"/>
      <c r="BT367" s="106"/>
      <c r="BU367" s="106"/>
    </row>
    <row r="368" spans="15:73"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</row>
    <row r="369" spans="15:73"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</row>
    <row r="370" spans="15:73"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</row>
    <row r="371" spans="15:73"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</row>
    <row r="372" spans="15:73"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</row>
    <row r="373" spans="15:73"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</row>
    <row r="374" spans="15:73"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 s="106"/>
      <c r="BQ374" s="106"/>
      <c r="BR374" s="106"/>
      <c r="BS374" s="106"/>
      <c r="BT374" s="106"/>
      <c r="BU374" s="106"/>
    </row>
    <row r="375" spans="15:73"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 s="106"/>
      <c r="BQ375" s="106"/>
      <c r="BR375" s="106"/>
      <c r="BS375" s="106"/>
      <c r="BT375" s="106"/>
      <c r="BU375" s="106"/>
    </row>
    <row r="376" spans="15:73"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 s="106"/>
      <c r="BQ376" s="106"/>
      <c r="BR376" s="106"/>
      <c r="BS376" s="106"/>
      <c r="BT376" s="106"/>
      <c r="BU376" s="106"/>
    </row>
    <row r="377" spans="15:73"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</row>
    <row r="378" spans="15:73"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 s="106"/>
      <c r="BQ378" s="106"/>
      <c r="BR378" s="106"/>
      <c r="BS378" s="106"/>
      <c r="BT378" s="106"/>
      <c r="BU378" s="106"/>
    </row>
    <row r="379" spans="15:73"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 s="106"/>
      <c r="BQ379" s="106"/>
      <c r="BR379" s="106"/>
      <c r="BS379" s="106"/>
      <c r="BT379" s="106"/>
      <c r="BU379" s="106"/>
    </row>
    <row r="380" spans="15:73"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 s="106"/>
      <c r="BQ380" s="106"/>
      <c r="BR380" s="106"/>
      <c r="BS380" s="106"/>
      <c r="BT380" s="106"/>
      <c r="BU380" s="106"/>
    </row>
    <row r="381" spans="15:73"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</row>
    <row r="382" spans="15:73"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 s="106"/>
      <c r="BQ382" s="106"/>
      <c r="BR382" s="106"/>
      <c r="BS382" s="106"/>
      <c r="BT382" s="106"/>
      <c r="BU382" s="106"/>
    </row>
    <row r="383" spans="15:73"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 s="106"/>
      <c r="BQ383" s="106"/>
      <c r="BR383" s="106"/>
      <c r="BS383" s="106"/>
      <c r="BT383" s="106"/>
      <c r="BU383" s="106"/>
    </row>
    <row r="384" spans="15:73"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</row>
    <row r="385" spans="15:73"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</row>
    <row r="386" spans="15:73"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</row>
    <row r="387" spans="15:73"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 s="106"/>
      <c r="BQ387" s="106"/>
      <c r="BR387" s="106"/>
      <c r="BS387" s="106"/>
      <c r="BT387" s="106"/>
      <c r="BU387" s="106"/>
    </row>
    <row r="388" spans="15:73"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</row>
    <row r="389" spans="15:73"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</row>
    <row r="390" spans="15:73"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</row>
    <row r="391" spans="15:73"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</row>
    <row r="392" spans="15:73"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</row>
    <row r="393" spans="15:73"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</row>
    <row r="394" spans="15:73"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</row>
    <row r="395" spans="15:73"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</row>
    <row r="396" spans="15:73"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</row>
    <row r="397" spans="15:73"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 s="106"/>
      <c r="BQ397" s="106"/>
      <c r="BR397" s="106"/>
      <c r="BS397" s="106"/>
      <c r="BT397" s="106"/>
      <c r="BU397" s="106"/>
    </row>
    <row r="398" spans="15:73"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 s="106"/>
      <c r="BQ398" s="106"/>
      <c r="BR398" s="106"/>
      <c r="BS398" s="106"/>
      <c r="BT398" s="106"/>
      <c r="BU398" s="106"/>
    </row>
    <row r="399" spans="15:73"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</row>
    <row r="400" spans="15:73"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</row>
    <row r="401" spans="15:73"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</row>
    <row r="402" spans="15:73"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</row>
    <row r="403" spans="15:73"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</row>
    <row r="404" spans="15:73"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</row>
    <row r="405" spans="15:73"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</row>
    <row r="406" spans="15:73"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</row>
    <row r="407" spans="15:73"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</row>
    <row r="408" spans="15:73"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 s="106"/>
      <c r="BQ408" s="106"/>
      <c r="BR408" s="106"/>
      <c r="BS408" s="106"/>
      <c r="BT408" s="106"/>
      <c r="BU408" s="106"/>
    </row>
    <row r="409" spans="15:73"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 s="106"/>
      <c r="BQ409" s="106"/>
      <c r="BR409" s="106"/>
      <c r="BS409" s="106"/>
      <c r="BT409" s="106"/>
      <c r="BU409" s="106"/>
    </row>
    <row r="410" spans="15:73"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 s="106"/>
      <c r="BQ410" s="106"/>
      <c r="BR410" s="106"/>
      <c r="BS410" s="106"/>
      <c r="BT410" s="106"/>
      <c r="BU410" s="106"/>
    </row>
    <row r="411" spans="15:73"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 s="106"/>
      <c r="BQ411" s="106"/>
      <c r="BR411" s="106"/>
      <c r="BS411" s="106"/>
      <c r="BT411" s="106"/>
      <c r="BU411" s="106"/>
    </row>
    <row r="412" spans="15:73"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 s="106"/>
      <c r="BQ412" s="106"/>
      <c r="BR412" s="106"/>
      <c r="BS412" s="106"/>
      <c r="BT412" s="106"/>
      <c r="BU412" s="106"/>
    </row>
    <row r="413" spans="15:73"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</row>
    <row r="414" spans="15:73"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 s="106"/>
      <c r="BQ414" s="106"/>
      <c r="BR414" s="106"/>
      <c r="BS414" s="106"/>
      <c r="BT414" s="106"/>
      <c r="BU414" s="106"/>
    </row>
    <row r="415" spans="15:73"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 s="106"/>
      <c r="BQ415" s="106"/>
      <c r="BR415" s="106"/>
      <c r="BS415" s="106"/>
      <c r="BT415" s="106"/>
      <c r="BU415" s="106"/>
    </row>
    <row r="416" spans="15:73"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 s="106"/>
      <c r="BQ416" s="106"/>
      <c r="BR416" s="106"/>
      <c r="BS416" s="106"/>
      <c r="BT416" s="106"/>
      <c r="BU416" s="106"/>
    </row>
    <row r="417" spans="15:73"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</row>
    <row r="418" spans="15:73"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</row>
    <row r="419" spans="15:73"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 s="106"/>
      <c r="BQ419" s="106"/>
      <c r="BR419" s="106"/>
      <c r="BS419" s="106"/>
      <c r="BT419" s="106"/>
      <c r="BU419" s="106"/>
    </row>
    <row r="420" spans="15:73"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</row>
    <row r="421" spans="15:73"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 s="106"/>
      <c r="BQ421" s="106"/>
      <c r="BR421" s="106"/>
      <c r="BS421" s="106"/>
      <c r="BT421" s="106"/>
      <c r="BU421" s="106"/>
    </row>
    <row r="422" spans="15:73"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 s="106"/>
      <c r="BQ422" s="106"/>
      <c r="BR422" s="106"/>
      <c r="BS422" s="106"/>
      <c r="BT422" s="106"/>
      <c r="BU422" s="106"/>
    </row>
    <row r="423" spans="15:73"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 s="106"/>
      <c r="BQ423" s="106"/>
      <c r="BR423" s="106"/>
      <c r="BS423" s="106"/>
      <c r="BT423" s="106"/>
      <c r="BU423" s="106"/>
    </row>
    <row r="424" spans="15:73"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 s="106"/>
      <c r="BQ424" s="106"/>
      <c r="BR424" s="106"/>
      <c r="BS424" s="106"/>
      <c r="BT424" s="106"/>
      <c r="BU424" s="106"/>
    </row>
    <row r="425" spans="15:73"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 s="106"/>
      <c r="BQ425" s="106"/>
      <c r="BR425" s="106"/>
      <c r="BS425" s="106"/>
      <c r="BT425" s="106"/>
      <c r="BU425" s="106"/>
    </row>
    <row r="426" spans="15:73"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 s="106"/>
      <c r="BQ426" s="106"/>
      <c r="BR426" s="106"/>
      <c r="BS426" s="106"/>
      <c r="BT426" s="106"/>
      <c r="BU426" s="106"/>
    </row>
    <row r="427" spans="15:73"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  <c r="BS427" s="106"/>
      <c r="BT427" s="106"/>
      <c r="BU427" s="106"/>
    </row>
    <row r="428" spans="15:73"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</row>
    <row r="429" spans="15:73"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</row>
    <row r="430" spans="15:73"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 s="106"/>
      <c r="BQ430" s="106"/>
      <c r="BR430" s="106"/>
      <c r="BS430" s="106"/>
      <c r="BT430" s="106"/>
      <c r="BU430" s="106"/>
    </row>
    <row r="431" spans="15:73"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 s="106"/>
      <c r="BQ431" s="106"/>
      <c r="BR431" s="106"/>
      <c r="BS431" s="106"/>
      <c r="BT431" s="106"/>
      <c r="BU431" s="106"/>
    </row>
    <row r="432" spans="15:73"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</row>
    <row r="433" spans="15:73"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 s="106"/>
      <c r="BQ433" s="106"/>
      <c r="BR433" s="106"/>
      <c r="BS433" s="106"/>
      <c r="BT433" s="106"/>
      <c r="BU433" s="106"/>
    </row>
    <row r="434" spans="15:73"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 s="106"/>
      <c r="BQ434" s="106"/>
      <c r="BR434" s="106"/>
      <c r="BS434" s="106"/>
      <c r="BT434" s="106"/>
      <c r="BU434" s="106"/>
    </row>
    <row r="435" spans="15:73"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 s="106"/>
      <c r="BQ435" s="106"/>
      <c r="BR435" s="106"/>
      <c r="BS435" s="106"/>
      <c r="BT435" s="106"/>
      <c r="BU435" s="106"/>
    </row>
    <row r="436" spans="15:73"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 s="106"/>
      <c r="BQ436" s="106"/>
      <c r="BR436" s="106"/>
      <c r="BS436" s="106"/>
      <c r="BT436" s="106"/>
      <c r="BU436" s="106"/>
    </row>
    <row r="437" spans="15:73"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  <c r="BB437" s="106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 s="106"/>
      <c r="BQ437" s="106"/>
      <c r="BR437" s="106"/>
      <c r="BS437" s="106"/>
      <c r="BT437" s="106"/>
      <c r="BU437" s="106"/>
    </row>
    <row r="438" spans="15:73"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 s="106"/>
      <c r="BQ438" s="106"/>
      <c r="BR438" s="106"/>
      <c r="BS438" s="106"/>
      <c r="BT438" s="106"/>
      <c r="BU438" s="106"/>
    </row>
    <row r="439" spans="15:73"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 s="106"/>
      <c r="BQ439" s="106"/>
      <c r="BR439" s="106"/>
      <c r="BS439" s="106"/>
      <c r="BT439" s="106"/>
      <c r="BU439" s="106"/>
    </row>
    <row r="440" spans="15:73"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  <c r="BB440" s="106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 s="106"/>
      <c r="BQ440" s="106"/>
      <c r="BR440" s="106"/>
      <c r="BS440" s="106"/>
      <c r="BT440" s="106"/>
      <c r="BU440" s="106"/>
    </row>
    <row r="441" spans="15:73"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  <c r="BB441" s="106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 s="106"/>
      <c r="BQ441" s="106"/>
      <c r="BR441" s="106"/>
      <c r="BS441" s="106"/>
      <c r="BT441" s="106"/>
      <c r="BU441" s="106"/>
    </row>
    <row r="442" spans="15:73"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  <c r="BB442" s="106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 s="106"/>
      <c r="BQ442" s="106"/>
      <c r="BR442" s="106"/>
      <c r="BS442" s="106"/>
      <c r="BT442" s="106"/>
      <c r="BU442" s="106"/>
    </row>
    <row r="443" spans="15:73"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</row>
    <row r="444" spans="15:73"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</row>
    <row r="445" spans="15:73"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</row>
    <row r="446" spans="15:73"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  <c r="BB446" s="106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 s="106"/>
      <c r="BQ446" s="106"/>
      <c r="BR446" s="106"/>
      <c r="BS446" s="106"/>
      <c r="BT446" s="106"/>
      <c r="BU446" s="106"/>
    </row>
    <row r="447" spans="15:73"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  <c r="BB447" s="106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 s="106"/>
      <c r="BQ447" s="106"/>
      <c r="BR447" s="106"/>
      <c r="BS447" s="106"/>
      <c r="BT447" s="106"/>
      <c r="BU447" s="106"/>
    </row>
    <row r="448" spans="15:73"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</row>
    <row r="449" spans="15:73"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</row>
    <row r="450" spans="15:73"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</row>
    <row r="451" spans="15:73"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</row>
    <row r="452" spans="15:73"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</row>
    <row r="453" spans="15:73"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</row>
    <row r="454" spans="15:73"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</row>
    <row r="455" spans="15:73"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</row>
    <row r="456" spans="15:73"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</row>
    <row r="457" spans="15:73"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</row>
    <row r="458" spans="15:73"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</row>
    <row r="459" spans="15:73"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</row>
    <row r="460" spans="15:73"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</row>
    <row r="461" spans="15:73"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 s="106"/>
      <c r="BQ461" s="106"/>
      <c r="BR461" s="106"/>
      <c r="BS461" s="106"/>
      <c r="BT461" s="106"/>
      <c r="BU461" s="106"/>
    </row>
    <row r="462" spans="15:73"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</row>
    <row r="463" spans="15:73"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</row>
    <row r="464" spans="15:73"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</row>
    <row r="465" spans="15:73"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</row>
    <row r="466" spans="15:73"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</row>
    <row r="467" spans="15:73"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</row>
    <row r="468" spans="15:73"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</row>
    <row r="469" spans="15:73"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</row>
    <row r="470" spans="15:73"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</row>
    <row r="471" spans="15:73"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</row>
    <row r="472" spans="15:73"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</row>
    <row r="473" spans="15:73"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</row>
    <row r="474" spans="15:73"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</row>
    <row r="475" spans="15:73"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</row>
    <row r="476" spans="15:73"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</row>
    <row r="477" spans="15:73"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</row>
    <row r="478" spans="15:73"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</row>
    <row r="479" spans="15:73"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</row>
    <row r="480" spans="15:73"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</row>
    <row r="481" spans="15:73"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</row>
    <row r="482" spans="15:73"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</row>
    <row r="483" spans="15:73"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</row>
    <row r="484" spans="15:73"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</row>
    <row r="485" spans="15:73"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</row>
    <row r="486" spans="15:73"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</row>
    <row r="487" spans="15:73"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</row>
    <row r="488" spans="15:73"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</row>
    <row r="489" spans="15:73"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</row>
    <row r="490" spans="15:73"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</row>
    <row r="491" spans="15:73"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</row>
    <row r="492" spans="15:73"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</row>
    <row r="493" spans="15:73"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</row>
    <row r="494" spans="15:73"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</row>
    <row r="495" spans="15:73"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</row>
    <row r="496" spans="15:73"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</row>
    <row r="497" spans="15:73"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</row>
    <row r="498" spans="15:73"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</row>
    <row r="499" spans="15:73"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</row>
    <row r="500" spans="15:73"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</row>
    <row r="501" spans="15:73"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</row>
    <row r="502" spans="15:73"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</row>
    <row r="503" spans="15:73"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</row>
    <row r="504" spans="15:73"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</row>
    <row r="505" spans="15:73"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</row>
    <row r="506" spans="15:73"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</row>
    <row r="507" spans="15:73"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</row>
    <row r="508" spans="15:73"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</row>
    <row r="509" spans="15:73"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</row>
    <row r="510" spans="15:73"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</row>
    <row r="511" spans="15:73"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</row>
    <row r="512" spans="15:73"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</row>
    <row r="513" spans="15:73"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</row>
    <row r="514" spans="15:73"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</row>
    <row r="515" spans="15:73"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</row>
    <row r="516" spans="15:73"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</row>
    <row r="517" spans="15:73"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 s="106"/>
      <c r="BQ517" s="106"/>
      <c r="BR517" s="106"/>
      <c r="BS517" s="106"/>
      <c r="BT517" s="106"/>
      <c r="BU517" s="106"/>
    </row>
    <row r="518" spans="15:73"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6"/>
      <c r="BS518" s="106"/>
      <c r="BT518" s="106"/>
      <c r="BU518" s="106"/>
    </row>
    <row r="519" spans="15:73"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 s="106"/>
      <c r="BQ519" s="106"/>
      <c r="BR519" s="106"/>
      <c r="BS519" s="106"/>
      <c r="BT519" s="106"/>
      <c r="BU519" s="106"/>
    </row>
    <row r="520" spans="15:73"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 s="106"/>
      <c r="BQ520" s="106"/>
      <c r="BR520" s="106"/>
      <c r="BS520" s="106"/>
      <c r="BT520" s="106"/>
      <c r="BU520" s="106"/>
    </row>
    <row r="521" spans="15:73"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 s="106"/>
      <c r="BQ521" s="106"/>
      <c r="BR521" s="106"/>
      <c r="BS521" s="106"/>
      <c r="BT521" s="106"/>
      <c r="BU521" s="106"/>
    </row>
    <row r="522" spans="15:73"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 s="106"/>
      <c r="BQ522" s="106"/>
      <c r="BR522" s="106"/>
      <c r="BS522" s="106"/>
      <c r="BT522" s="106"/>
      <c r="BU522" s="106"/>
    </row>
    <row r="523" spans="15:73"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</row>
    <row r="524" spans="15:73"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</row>
    <row r="525" spans="15:73"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</row>
    <row r="526" spans="15:73"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</row>
    <row r="527" spans="15:73"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</row>
    <row r="528" spans="15:73"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</row>
    <row r="529" spans="15:73"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6"/>
      <c r="BU529" s="106"/>
    </row>
    <row r="530" spans="15:73"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 s="106"/>
      <c r="BQ530" s="106"/>
      <c r="BR530" s="106"/>
      <c r="BS530" s="106"/>
      <c r="BT530" s="106"/>
      <c r="BU530" s="106"/>
    </row>
    <row r="531" spans="15:73"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 s="106"/>
      <c r="BQ531" s="106"/>
      <c r="BR531" s="106"/>
      <c r="BS531" s="106"/>
      <c r="BT531" s="106"/>
      <c r="BU531" s="106"/>
    </row>
    <row r="532" spans="15:73"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 s="106"/>
      <c r="BQ532" s="106"/>
      <c r="BR532" s="106"/>
      <c r="BS532" s="106"/>
      <c r="BT532" s="106"/>
      <c r="BU532" s="106"/>
    </row>
    <row r="533" spans="15:73"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 s="106"/>
      <c r="BQ533" s="106"/>
      <c r="BR533" s="106"/>
      <c r="BS533" s="106"/>
      <c r="BT533" s="106"/>
      <c r="BU533" s="106"/>
    </row>
    <row r="534" spans="15:73"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 s="106"/>
      <c r="BQ534" s="106"/>
      <c r="BR534" s="106"/>
      <c r="BS534" s="106"/>
      <c r="BT534" s="106"/>
      <c r="BU534" s="106"/>
    </row>
    <row r="535" spans="15:73"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 s="106"/>
      <c r="BQ535" s="106"/>
      <c r="BR535" s="106"/>
      <c r="BS535" s="106"/>
      <c r="BT535" s="106"/>
      <c r="BU535" s="106"/>
    </row>
    <row r="536" spans="15:73"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 s="106"/>
      <c r="BQ536" s="106"/>
      <c r="BR536" s="106"/>
      <c r="BS536" s="106"/>
      <c r="BT536" s="106"/>
      <c r="BU536" s="106"/>
    </row>
    <row r="537" spans="15:73"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 s="106"/>
      <c r="BQ537" s="106"/>
      <c r="BR537" s="106"/>
      <c r="BS537" s="106"/>
      <c r="BT537" s="106"/>
      <c r="BU537" s="106"/>
    </row>
    <row r="538" spans="15:73"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</row>
    <row r="539" spans="15:73"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6"/>
      <c r="BB539" s="106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  <c r="BO539" s="106"/>
      <c r="BP539" s="106"/>
      <c r="BQ539" s="106"/>
      <c r="BR539" s="106"/>
      <c r="BS539" s="106"/>
      <c r="BT539" s="106"/>
      <c r="BU539" s="106"/>
    </row>
  </sheetData>
  <dataConsolidate link="1"/>
  <phoneticPr fontId="28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6"/>
  <sheetViews>
    <sheetView showGridLines="0" zoomScale="85" zoomScaleNormal="85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" bestFit="1" customWidth="1"/>
    <col min="4" max="4" width="8.6640625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6"/>
      <c r="B2" s="161" t="s">
        <v>57</v>
      </c>
      <c r="C2" s="161"/>
      <c r="D2" s="161"/>
      <c r="E2" s="161"/>
      <c r="F2" s="16"/>
      <c r="G2" s="161" t="s">
        <v>58</v>
      </c>
      <c r="H2" s="161"/>
      <c r="I2" s="161"/>
      <c r="J2" s="16"/>
    </row>
    <row r="3" spans="1:12" ht="13.8">
      <c r="A3" s="16" t="s">
        <v>17</v>
      </c>
      <c r="B3" s="18" t="s">
        <v>20</v>
      </c>
      <c r="C3" s="21"/>
      <c r="D3" s="21"/>
      <c r="E3" s="21"/>
      <c r="F3" s="21"/>
      <c r="G3" s="21"/>
      <c r="H3" s="21"/>
      <c r="I3" s="21"/>
      <c r="J3" s="18" t="s">
        <v>59</v>
      </c>
    </row>
    <row r="4" spans="1:12" ht="13.8">
      <c r="A4" s="22" t="s">
        <v>60</v>
      </c>
      <c r="B4" s="24" t="s">
        <v>61</v>
      </c>
      <c r="C4" s="24" t="s">
        <v>26</v>
      </c>
      <c r="D4" s="24" t="s">
        <v>27</v>
      </c>
      <c r="E4" s="26" t="s">
        <v>62</v>
      </c>
      <c r="F4" s="25"/>
      <c r="G4" s="24" t="s">
        <v>63</v>
      </c>
      <c r="H4" s="24" t="s">
        <v>64</v>
      </c>
      <c r="I4" s="24" t="s">
        <v>62</v>
      </c>
      <c r="J4" s="24" t="s">
        <v>65</v>
      </c>
    </row>
    <row r="5" spans="1:12" ht="14.4">
      <c r="A5" s="16"/>
      <c r="B5" s="162" t="s">
        <v>66</v>
      </c>
      <c r="C5" s="162"/>
      <c r="D5" s="162"/>
      <c r="E5" s="162"/>
      <c r="F5" s="162"/>
      <c r="G5" s="162"/>
      <c r="H5" s="162"/>
      <c r="I5" s="162"/>
      <c r="J5" s="162"/>
    </row>
    <row r="6" spans="1:12" ht="13.8">
      <c r="A6" s="16" t="s">
        <v>37</v>
      </c>
      <c r="B6" s="44">
        <v>340.786</v>
      </c>
      <c r="C6" s="45">
        <f>C23</f>
        <v>51814.455000000002</v>
      </c>
      <c r="D6" s="45">
        <f>D23</f>
        <v>649.11497484899996</v>
      </c>
      <c r="E6" s="33">
        <f>E23</f>
        <v>52804.355974849001</v>
      </c>
      <c r="F6" s="45"/>
      <c r="G6" s="45">
        <f>G23</f>
        <v>38969.617926673003</v>
      </c>
      <c r="H6" s="45">
        <f>H23</f>
        <v>13523.811048175998</v>
      </c>
      <c r="I6" s="45">
        <f>I23</f>
        <v>52493.428974849005</v>
      </c>
      <c r="J6" s="45">
        <f>J22</f>
        <v>310.92700000000002</v>
      </c>
    </row>
    <row r="7" spans="1:12" ht="16.2">
      <c r="A7" s="16" t="s">
        <v>188</v>
      </c>
      <c r="B7" s="44">
        <f>J6</f>
        <v>310.92700000000002</v>
      </c>
      <c r="C7" s="45">
        <v>52464.072999999997</v>
      </c>
      <c r="D7" s="45">
        <v>675</v>
      </c>
      <c r="E7" s="33">
        <f>SUM(B7:D7)</f>
        <v>53450</v>
      </c>
      <c r="F7" s="45"/>
      <c r="G7" s="45">
        <v>39300</v>
      </c>
      <c r="H7" s="45">
        <v>13800</v>
      </c>
      <c r="I7" s="45">
        <f>E7-J7</f>
        <v>53100</v>
      </c>
      <c r="J7" s="45">
        <v>350</v>
      </c>
    </row>
    <row r="8" spans="1:12" ht="16.2">
      <c r="A8" s="16" t="s">
        <v>187</v>
      </c>
      <c r="B8" s="44">
        <f>J7</f>
        <v>350</v>
      </c>
      <c r="C8" s="45">
        <v>54375</v>
      </c>
      <c r="D8" s="45">
        <v>650</v>
      </c>
      <c r="E8" s="33">
        <f>SUM(B8:D8)</f>
        <v>55375</v>
      </c>
      <c r="F8" s="45"/>
      <c r="G8" s="45">
        <v>40175</v>
      </c>
      <c r="H8" s="45">
        <v>14800</v>
      </c>
      <c r="I8" s="45">
        <f>E8-J8</f>
        <v>54975</v>
      </c>
      <c r="J8" s="45">
        <v>400</v>
      </c>
    </row>
    <row r="9" spans="1:12" ht="13.8">
      <c r="A9" s="16"/>
      <c r="B9" s="46"/>
      <c r="C9" s="46"/>
      <c r="D9" s="46"/>
      <c r="E9" s="46"/>
      <c r="F9" s="46"/>
      <c r="G9" s="45"/>
      <c r="H9" s="46"/>
      <c r="I9" s="46"/>
      <c r="J9" s="46"/>
    </row>
    <row r="10" spans="1:12" ht="13.8">
      <c r="A10" s="36" t="s">
        <v>37</v>
      </c>
      <c r="B10" s="47"/>
      <c r="C10" s="6"/>
      <c r="D10" s="6"/>
      <c r="E10" s="6"/>
      <c r="F10" s="6"/>
      <c r="G10" s="6"/>
      <c r="H10" s="6"/>
      <c r="I10" s="6"/>
      <c r="J10" s="6"/>
    </row>
    <row r="11" spans="1:12" ht="14.4">
      <c r="A11" s="16" t="s">
        <v>39</v>
      </c>
      <c r="B11" s="47">
        <f>B6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07"/>
      <c r="L11" s="111"/>
    </row>
    <row r="12" spans="1:12" ht="14.4">
      <c r="A12" s="16" t="s">
        <v>40</v>
      </c>
      <c r="B12" s="47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07"/>
      <c r="L12" s="111"/>
    </row>
    <row r="13" spans="1:12" ht="14.4">
      <c r="A13" s="16" t="s">
        <v>42</v>
      </c>
      <c r="B13" s="47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07"/>
      <c r="L13" s="111"/>
    </row>
    <row r="14" spans="1:12" ht="14.4">
      <c r="A14" s="16" t="s">
        <v>43</v>
      </c>
      <c r="B14" s="47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07"/>
      <c r="L14" s="111"/>
    </row>
    <row r="15" spans="1:12" ht="14.4">
      <c r="A15" s="16" t="s">
        <v>44</v>
      </c>
      <c r="B15" s="47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385.87600000000003</v>
      </c>
      <c r="K15" s="107"/>
      <c r="L15" s="111"/>
    </row>
    <row r="16" spans="1:12" ht="14.4">
      <c r="A16" s="16" t="s">
        <v>46</v>
      </c>
      <c r="B16" s="47">
        <f t="shared" si="3"/>
        <v>385.87600000000003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380.96799999999996</v>
      </c>
      <c r="K16" s="107"/>
      <c r="L16" s="111"/>
    </row>
    <row r="17" spans="1:12" ht="14.4">
      <c r="A17" s="16" t="s">
        <v>47</v>
      </c>
      <c r="B17" s="47">
        <f t="shared" si="3"/>
        <v>380.96799999999996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07"/>
      <c r="L17" s="111"/>
    </row>
    <row r="18" spans="1:12" ht="14.4">
      <c r="A18" s="16" t="s">
        <v>48</v>
      </c>
      <c r="B18" s="47">
        <f t="shared" si="3"/>
        <v>445.01600000000002</v>
      </c>
      <c r="C18" s="6">
        <v>4260.0889999999999</v>
      </c>
      <c r="D18" s="112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12">
        <f>(1036354.3*1.10231)/1000</f>
        <v>1142.3837084329998</v>
      </c>
      <c r="I18" s="5">
        <f t="shared" si="2"/>
        <v>4314.3215992279993</v>
      </c>
      <c r="J18" s="6">
        <v>463.755</v>
      </c>
      <c r="K18" s="107"/>
      <c r="L18" s="111"/>
    </row>
    <row r="19" spans="1:12" ht="14.4">
      <c r="A19" s="16" t="s">
        <v>50</v>
      </c>
      <c r="B19" s="47">
        <f t="shared" si="3"/>
        <v>463.755</v>
      </c>
      <c r="C19" s="6">
        <v>4106.5650000000005</v>
      </c>
      <c r="D19" s="112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12">
        <f>(1039142.8*1.10231)/1000</f>
        <v>1145.457499868</v>
      </c>
      <c r="I19" s="5">
        <f t="shared" si="2"/>
        <v>4274.8033415060008</v>
      </c>
      <c r="J19" s="6">
        <v>357.30399999999997</v>
      </c>
      <c r="K19" s="107"/>
    </row>
    <row r="20" spans="1:12" ht="14.4">
      <c r="A20" s="16" t="s">
        <v>51</v>
      </c>
      <c r="B20" s="47">
        <f>J19</f>
        <v>357.30399999999997</v>
      </c>
      <c r="C20" s="6">
        <v>4270.28</v>
      </c>
      <c r="D20" s="112">
        <f>(67390*1.10231)/1000</f>
        <v>74.284670899999995</v>
      </c>
      <c r="E20" s="6">
        <f t="shared" si="0"/>
        <v>4701.8686708999994</v>
      </c>
      <c r="F20" s="6"/>
      <c r="G20" s="6">
        <f t="shared" si="1"/>
        <v>3260.6808691549995</v>
      </c>
      <c r="H20" s="112">
        <f>(829589.5*1.10231)/1000</f>
        <v>914.46480174499993</v>
      </c>
      <c r="I20" s="5">
        <f t="shared" si="2"/>
        <v>4175.1456708999995</v>
      </c>
      <c r="J20" s="6">
        <v>526.72299999999996</v>
      </c>
      <c r="K20" s="107"/>
    </row>
    <row r="21" spans="1:12" ht="14.4">
      <c r="A21" s="16" t="s">
        <v>52</v>
      </c>
      <c r="B21" s="47">
        <f>J20</f>
        <v>526.72299999999996</v>
      </c>
      <c r="C21" s="6">
        <v>4147.2370000000001</v>
      </c>
      <c r="D21" s="112">
        <f>(45618.3*1.10231)/1000</f>
        <v>50.285508272999998</v>
      </c>
      <c r="E21" s="6">
        <f t="shared" si="0"/>
        <v>4724.2455082730003</v>
      </c>
      <c r="F21" s="6"/>
      <c r="G21" s="6">
        <f t="shared" si="1"/>
        <v>3463.4597325930004</v>
      </c>
      <c r="H21" s="112">
        <f>(828128*1.10231)/1000</f>
        <v>912.85377568000001</v>
      </c>
      <c r="I21" s="5">
        <f t="shared" si="2"/>
        <v>4376.3135082730005</v>
      </c>
      <c r="J21" s="6">
        <v>347.93200000000002</v>
      </c>
      <c r="K21" s="107"/>
    </row>
    <row r="22" spans="1:12" ht="14.4">
      <c r="A22" s="16" t="s">
        <v>38</v>
      </c>
      <c r="B22" s="47">
        <f>J21</f>
        <v>347.93200000000002</v>
      </c>
      <c r="C22" s="6">
        <v>3925.0389999999998</v>
      </c>
      <c r="D22" s="112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12">
        <f>(817307.4*1.10231)/1000</f>
        <v>900.92612009399988</v>
      </c>
      <c r="I22" s="5">
        <f t="shared" si="2"/>
        <v>4018.408637691999</v>
      </c>
      <c r="J22" s="6">
        <v>310.92700000000002</v>
      </c>
      <c r="K22" s="115"/>
    </row>
    <row r="23" spans="1:12" ht="14.4">
      <c r="A23" s="16" t="s">
        <v>28</v>
      </c>
      <c r="B23" s="47"/>
      <c r="C23" s="6">
        <f>SUM(C11:C22)</f>
        <v>51814.455000000002</v>
      </c>
      <c r="D23" s="6">
        <f>(588867.9*1.10231)/1000</f>
        <v>649.11497484899996</v>
      </c>
      <c r="E23" s="6">
        <f>B11+C23+D23</f>
        <v>52804.355974849001</v>
      </c>
      <c r="F23" s="6"/>
      <c r="G23" s="6">
        <f>SUM(G11:G22)</f>
        <v>38969.617926673003</v>
      </c>
      <c r="H23" s="6">
        <f>(12268609.6*1.10231)/1000</f>
        <v>13523.811048175998</v>
      </c>
      <c r="I23" s="6">
        <f>SUM(I11:I22)</f>
        <v>52493.428974849005</v>
      </c>
      <c r="J23" s="6"/>
      <c r="K23" s="107"/>
    </row>
    <row r="24" spans="1:12" ht="14.4">
      <c r="A24" s="16"/>
      <c r="B24" s="47"/>
      <c r="C24" s="6"/>
      <c r="D24" s="6"/>
      <c r="E24" s="6"/>
      <c r="F24" s="6"/>
      <c r="G24" s="6"/>
      <c r="H24" s="6"/>
      <c r="I24" s="6"/>
      <c r="J24" s="6"/>
      <c r="K24" s="107"/>
    </row>
    <row r="25" spans="1:12" ht="14.4">
      <c r="A25" s="36" t="s">
        <v>54</v>
      </c>
      <c r="B25" s="47"/>
      <c r="C25" s="6"/>
      <c r="D25" s="6"/>
      <c r="E25" s="6"/>
      <c r="F25" s="6"/>
      <c r="G25" s="6"/>
      <c r="H25" s="6"/>
      <c r="I25" s="6"/>
      <c r="J25" s="6"/>
      <c r="K25" s="107"/>
    </row>
    <row r="26" spans="1:12" ht="14.4">
      <c r="A26" s="16" t="s">
        <v>39</v>
      </c>
      <c r="B26" s="47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31" si="4">SUM(B26:D26)</f>
        <v>4978.4093192419996</v>
      </c>
      <c r="F26" s="6"/>
      <c r="G26" s="6">
        <f t="shared" ref="G26:G31" si="5">I26-H26</f>
        <v>3640.5241230109996</v>
      </c>
      <c r="H26" s="6">
        <f>(870600.1*1.10231)/1000</f>
        <v>959.67119623099984</v>
      </c>
      <c r="I26" s="5">
        <f t="shared" ref="I26:I31" si="6">E26-J26</f>
        <v>4600.1953192419996</v>
      </c>
      <c r="J26" s="6">
        <v>378.214</v>
      </c>
      <c r="K26" s="107"/>
    </row>
    <row r="27" spans="1:12" ht="14.4">
      <c r="A27" s="16" t="s">
        <v>40</v>
      </c>
      <c r="B27" s="47">
        <f>J26</f>
        <v>378.214</v>
      </c>
      <c r="C27" s="6">
        <v>4469.9660000000003</v>
      </c>
      <c r="D27" s="6">
        <f>(53339.9*1.10231)/1000</f>
        <v>58.797105168999998</v>
      </c>
      <c r="E27" s="6">
        <f t="shared" si="4"/>
        <v>4906.9771051690004</v>
      </c>
      <c r="F27" s="6"/>
      <c r="G27" s="6">
        <f t="shared" si="5"/>
        <v>3305.9972672080012</v>
      </c>
      <c r="H27" s="6">
        <f>(1135683.1*1.10231)/1000</f>
        <v>1251.8748379609999</v>
      </c>
      <c r="I27" s="5">
        <f t="shared" si="6"/>
        <v>4557.8721051690009</v>
      </c>
      <c r="J27" s="6">
        <v>349.10500000000002</v>
      </c>
      <c r="K27" s="107"/>
    </row>
    <row r="28" spans="1:12" ht="14.4">
      <c r="A28" s="16" t="s">
        <v>42</v>
      </c>
      <c r="B28" s="47">
        <f>J27</f>
        <v>349.10500000000002</v>
      </c>
      <c r="C28" s="6">
        <v>4437.4089999999997</v>
      </c>
      <c r="D28" s="6">
        <f>(32195.5*1.10231)/1000</f>
        <v>35.489421604999997</v>
      </c>
      <c r="E28" s="6">
        <f t="shared" si="4"/>
        <v>4822.0034216049989</v>
      </c>
      <c r="F28" s="6"/>
      <c r="G28" s="6">
        <f t="shared" si="5"/>
        <v>3048.1806654779984</v>
      </c>
      <c r="H28" s="6">
        <f>(1195621.7*1.10231)/1000</f>
        <v>1317.9457561269999</v>
      </c>
      <c r="I28" s="5">
        <f t="shared" si="6"/>
        <v>4366.1264216049985</v>
      </c>
      <c r="J28" s="6">
        <v>455.87700000000001</v>
      </c>
      <c r="K28" s="107"/>
    </row>
    <row r="29" spans="1:12" ht="14.4">
      <c r="A29" s="16" t="s">
        <v>43</v>
      </c>
      <c r="B29" s="47">
        <f>J28</f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107"/>
    </row>
    <row r="30" spans="1:12" ht="13.8">
      <c r="A30" s="16" t="s">
        <v>44</v>
      </c>
      <c r="B30" s="47">
        <f>J29</f>
        <v>442.86599999999999</v>
      </c>
      <c r="C30" s="6">
        <v>4197.5839999999998</v>
      </c>
      <c r="D30" s="6">
        <f>(40187.2*1.10231)/1000</f>
        <v>44.298752431999993</v>
      </c>
      <c r="E30" s="6">
        <f t="shared" si="4"/>
        <v>4684.7487524319995</v>
      </c>
      <c r="F30" s="6"/>
      <c r="G30" s="6">
        <f t="shared" si="5"/>
        <v>3189.261751647</v>
      </c>
      <c r="H30" s="6">
        <f>(925173.5*1.10231)/1000</f>
        <v>1019.828000785</v>
      </c>
      <c r="I30" s="5">
        <f t="shared" si="6"/>
        <v>4209.0897524319998</v>
      </c>
      <c r="J30" s="6">
        <v>475.65899999999999</v>
      </c>
      <c r="K30" s="152"/>
    </row>
    <row r="31" spans="1:12" ht="14.4">
      <c r="A31" s="15" t="s">
        <v>46</v>
      </c>
      <c r="B31" s="48">
        <f>J30</f>
        <v>475.65899999999999</v>
      </c>
      <c r="C31" s="41">
        <v>4698.1610000000001</v>
      </c>
      <c r="D31" s="41">
        <f>(43410.1*1.10231)/1000</f>
        <v>47.851387330999991</v>
      </c>
      <c r="E31" s="41">
        <f t="shared" si="4"/>
        <v>5221.671387331</v>
      </c>
      <c r="F31" s="41"/>
      <c r="G31" s="41">
        <f t="shared" si="5"/>
        <v>3369.7769356149997</v>
      </c>
      <c r="H31" s="41">
        <f>(1336143.6*1.10231)/1000</f>
        <v>1472.8444517160001</v>
      </c>
      <c r="I31" s="53">
        <f t="shared" si="6"/>
        <v>4842.6213873309998</v>
      </c>
      <c r="J31" s="41">
        <v>379.04999999999995</v>
      </c>
      <c r="K31" s="153"/>
    </row>
    <row r="32" spans="1:12" ht="16.2">
      <c r="A32" s="49" t="s">
        <v>67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4.4">
      <c r="A33" s="16" t="s">
        <v>68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3.8">
      <c r="A34" s="21" t="s">
        <v>56</v>
      </c>
      <c r="B34" s="43">
        <f>Contents!A16</f>
        <v>45062</v>
      </c>
      <c r="C34" s="39"/>
      <c r="D34" s="34"/>
      <c r="E34" s="34"/>
      <c r="F34" s="34"/>
      <c r="G34" s="34"/>
      <c r="H34" s="34"/>
      <c r="I34" s="34"/>
      <c r="J34" s="34"/>
    </row>
    <row r="35" spans="1:10">
      <c r="B35" s="50"/>
      <c r="C35" s="51"/>
      <c r="D35" s="50"/>
      <c r="E35" s="104"/>
      <c r="F35" s="50"/>
      <c r="G35" s="50"/>
      <c r="H35" s="52"/>
      <c r="I35" s="104"/>
      <c r="J35" s="50"/>
    </row>
    <row r="36" spans="1:10">
      <c r="B36" s="50"/>
      <c r="C36" s="50"/>
      <c r="D36" s="50"/>
      <c r="E36" s="50"/>
      <c r="F36" s="50"/>
      <c r="G36" s="50"/>
      <c r="H36" s="50"/>
      <c r="I36" s="50"/>
      <c r="J36" s="50"/>
    </row>
  </sheetData>
  <mergeCells count="3">
    <mergeCell ref="G2:I2"/>
    <mergeCell ref="B5:J5"/>
    <mergeCell ref="B2:E2"/>
  </mergeCells>
  <phoneticPr fontId="28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5"/>
  <sheetViews>
    <sheetView showGridLines="0" zoomScale="85" zoomScaleNormal="85" workbookViewId="0"/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0.66406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6"/>
      <c r="B2" s="161" t="s">
        <v>57</v>
      </c>
      <c r="C2" s="161"/>
      <c r="D2" s="161"/>
      <c r="E2" s="161"/>
      <c r="F2" s="16"/>
      <c r="G2" s="161" t="s">
        <v>58</v>
      </c>
      <c r="H2" s="161"/>
      <c r="I2" s="161"/>
      <c r="J2" s="124"/>
      <c r="K2" s="124"/>
      <c r="L2" s="16"/>
    </row>
    <row r="3" spans="1:14" ht="13.8">
      <c r="A3" s="16" t="s">
        <v>17</v>
      </c>
      <c r="B3" s="18" t="s">
        <v>69</v>
      </c>
      <c r="C3" s="18" t="s">
        <v>26</v>
      </c>
      <c r="D3" s="18" t="s">
        <v>70</v>
      </c>
      <c r="E3" s="18" t="s">
        <v>62</v>
      </c>
      <c r="F3" s="18"/>
      <c r="G3" s="124" t="s">
        <v>63</v>
      </c>
      <c r="H3" s="124"/>
      <c r="I3" s="124"/>
      <c r="J3" s="18" t="s">
        <v>71</v>
      </c>
      <c r="K3" s="18" t="s">
        <v>62</v>
      </c>
      <c r="L3" s="18" t="s">
        <v>59</v>
      </c>
    </row>
    <row r="4" spans="1:14" ht="16.2">
      <c r="A4" s="22" t="s">
        <v>60</v>
      </c>
      <c r="B4" s="24" t="s">
        <v>61</v>
      </c>
      <c r="C4" s="25"/>
      <c r="D4" s="25"/>
      <c r="E4" s="25"/>
      <c r="F4" s="25"/>
      <c r="G4" s="24" t="s">
        <v>28</v>
      </c>
      <c r="H4" s="24" t="s">
        <v>72</v>
      </c>
      <c r="I4" s="24" t="s">
        <v>73</v>
      </c>
      <c r="J4" s="25"/>
      <c r="K4" s="25"/>
      <c r="L4" s="18" t="s">
        <v>65</v>
      </c>
    </row>
    <row r="5" spans="1:14" ht="14.4">
      <c r="A5" s="16"/>
      <c r="B5" s="163" t="s">
        <v>74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4" ht="16.2">
      <c r="A6" s="16" t="s">
        <v>35</v>
      </c>
      <c r="B6" s="46">
        <v>2131.2330000000002</v>
      </c>
      <c r="C6" s="46">
        <f>C23</f>
        <v>26155.173000000003</v>
      </c>
      <c r="D6" s="46">
        <f>D23</f>
        <v>303.28830530459993</v>
      </c>
      <c r="E6" s="46">
        <f>E23</f>
        <v>28589.694305304602</v>
      </c>
      <c r="F6" s="46"/>
      <c r="G6" s="46">
        <f>K6-J6</f>
        <v>24825.1031737536</v>
      </c>
      <c r="H6" s="46">
        <v>10348.19</v>
      </c>
      <c r="I6" s="33">
        <f>G6-H6</f>
        <v>14476.913173753599</v>
      </c>
      <c r="J6" s="46">
        <f>J23</f>
        <v>1773.4431315509999</v>
      </c>
      <c r="K6" s="46">
        <f>E6-L6</f>
        <v>26598.546305304601</v>
      </c>
      <c r="L6" s="46">
        <f>L22</f>
        <v>1991.1480000000001</v>
      </c>
    </row>
    <row r="7" spans="1:14" ht="16.2">
      <c r="A7" s="16" t="s">
        <v>36</v>
      </c>
      <c r="B7" s="46">
        <f>L6</f>
        <v>1991.1480000000001</v>
      </c>
      <c r="C7" s="46">
        <v>26195</v>
      </c>
      <c r="D7" s="46">
        <v>325</v>
      </c>
      <c r="E7" s="46">
        <f>SUM(B7:D7)</f>
        <v>28511.148000000001</v>
      </c>
      <c r="F7" s="46"/>
      <c r="G7" s="46">
        <f>K7-J7</f>
        <v>26125</v>
      </c>
      <c r="H7" s="46">
        <v>11600</v>
      </c>
      <c r="I7" s="33">
        <f>G7-H7</f>
        <v>14525</v>
      </c>
      <c r="J7" s="46">
        <v>450</v>
      </c>
      <c r="K7" s="46">
        <f>E7-L7</f>
        <v>26575</v>
      </c>
      <c r="L7" s="46">
        <v>1936.148000000001</v>
      </c>
    </row>
    <row r="8" spans="1:14" ht="16.2">
      <c r="A8" s="16" t="s">
        <v>187</v>
      </c>
      <c r="B8" s="46">
        <f>L7</f>
        <v>1936.148000000001</v>
      </c>
      <c r="C8" s="46">
        <v>27145</v>
      </c>
      <c r="D8" s="46">
        <v>350</v>
      </c>
      <c r="E8" s="46">
        <f>SUM(B8:D8)</f>
        <v>29431.148000000001</v>
      </c>
      <c r="F8" s="46"/>
      <c r="G8" s="46">
        <f>K8-J8</f>
        <v>27000</v>
      </c>
      <c r="H8" s="46">
        <v>12500</v>
      </c>
      <c r="I8" s="33">
        <f>G8-H8</f>
        <v>14500</v>
      </c>
      <c r="J8" s="46">
        <v>600</v>
      </c>
      <c r="K8" s="46">
        <f>E8-L8</f>
        <v>27600</v>
      </c>
      <c r="L8" s="46">
        <v>1831.148000000001</v>
      </c>
    </row>
    <row r="9" spans="1:14" ht="13.8">
      <c r="A9" s="16"/>
      <c r="B9" s="46"/>
      <c r="C9" s="46"/>
      <c r="D9" s="46"/>
      <c r="E9" s="46"/>
      <c r="F9" s="46"/>
      <c r="G9" s="46"/>
      <c r="H9" s="46"/>
      <c r="I9" s="100"/>
      <c r="J9" s="46"/>
      <c r="K9" s="46"/>
      <c r="L9" s="46"/>
    </row>
    <row r="10" spans="1:14" ht="13.8">
      <c r="A10" s="36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6" t="s">
        <v>39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11"/>
    </row>
    <row r="12" spans="1:14" ht="13.8">
      <c r="A12" s="16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11"/>
    </row>
    <row r="13" spans="1:14" ht="13.8">
      <c r="A13" s="16" t="s">
        <v>42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57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11"/>
    </row>
    <row r="14" spans="1:14" ht="13.8">
      <c r="A14" s="16" t="s">
        <v>43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57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11"/>
    </row>
    <row r="15" spans="1:14" ht="13.8">
      <c r="A15" s="16" t="s">
        <v>44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57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11"/>
    </row>
    <row r="16" spans="1:14" ht="13.8">
      <c r="A16" s="16" t="s">
        <v>46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57"/>
      <c r="G16" s="5">
        <f t="shared" si="1"/>
        <v>2165.6971246715998</v>
      </c>
      <c r="H16" s="6">
        <v>908.29</v>
      </c>
      <c r="I16" s="6">
        <f t="shared" si="2"/>
        <v>1257.4071246715998</v>
      </c>
      <c r="J16" s="6">
        <f>(120845.9*2204.622)/1000000</f>
        <v>266.41952974979995</v>
      </c>
      <c r="K16" s="6">
        <f t="shared" si="3"/>
        <v>2432.1166544213997</v>
      </c>
      <c r="L16" s="5">
        <v>2433.7180000000003</v>
      </c>
      <c r="N16" s="111"/>
    </row>
    <row r="17" spans="1:14" ht="13.8">
      <c r="A17" s="16" t="s">
        <v>47</v>
      </c>
      <c r="B17" s="5">
        <f t="shared" si="4"/>
        <v>2433.7180000000003</v>
      </c>
      <c r="C17" s="6">
        <v>2143.1179999999999</v>
      </c>
      <c r="D17" s="6">
        <f>(10668.4*2204.622)/1000000</f>
        <v>23.519789344799999</v>
      </c>
      <c r="E17" s="6">
        <f t="shared" si="5"/>
        <v>4600.3557893448005</v>
      </c>
      <c r="F17" s="57"/>
      <c r="G17" s="5">
        <f t="shared" si="1"/>
        <v>2008.0906443672006</v>
      </c>
      <c r="H17" s="6">
        <v>838.9</v>
      </c>
      <c r="I17" s="6">
        <f t="shared" si="2"/>
        <v>1169.1906443672005</v>
      </c>
      <c r="J17" s="6">
        <f>(76240.8*2204.622)/1000000</f>
        <v>168.0821449776</v>
      </c>
      <c r="K17" s="6">
        <f t="shared" si="3"/>
        <v>2176.1727893448005</v>
      </c>
      <c r="L17" s="5">
        <v>2424.183</v>
      </c>
      <c r="N17" s="111"/>
    </row>
    <row r="18" spans="1:14" ht="13.8">
      <c r="A18" s="16" t="s">
        <v>48</v>
      </c>
      <c r="B18" s="5">
        <f t="shared" si="4"/>
        <v>2424.183</v>
      </c>
      <c r="C18" s="6">
        <v>2158.7739999999999</v>
      </c>
      <c r="D18" s="112">
        <f>(11311.9*2204.622)/1000000</f>
        <v>24.938463601799999</v>
      </c>
      <c r="E18" s="6">
        <f t="shared" si="5"/>
        <v>4607.8954636018007</v>
      </c>
      <c r="F18" s="57"/>
      <c r="G18" s="5">
        <f t="shared" si="1"/>
        <v>2149.6321321876007</v>
      </c>
      <c r="H18" s="6">
        <v>855.57100000000003</v>
      </c>
      <c r="I18" s="6">
        <f t="shared" si="2"/>
        <v>1294.0611321876008</v>
      </c>
      <c r="J18" s="112">
        <f>(33516.1*2204.622)/1000000</f>
        <v>73.890331414199991</v>
      </c>
      <c r="K18" s="6">
        <f t="shared" si="3"/>
        <v>2223.5224636018006</v>
      </c>
      <c r="L18" s="5">
        <v>2384.373</v>
      </c>
      <c r="N18" s="111"/>
    </row>
    <row r="19" spans="1:14" ht="13.8">
      <c r="A19" s="16" t="s">
        <v>50</v>
      </c>
      <c r="B19" s="5">
        <f t="shared" si="4"/>
        <v>2384.373</v>
      </c>
      <c r="C19" s="6">
        <v>2068.578</v>
      </c>
      <c r="D19" s="112">
        <f>(10963.3*2204.622)/1000000</f>
        <v>24.169932372599998</v>
      </c>
      <c r="E19" s="6">
        <f t="shared" si="5"/>
        <v>4477.1209323725998</v>
      </c>
      <c r="F19" s="57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12">
        <f>(33184.7*2204.622)/1000000</f>
        <v>73.159719683399985</v>
      </c>
      <c r="K19" s="6">
        <f t="shared" si="3"/>
        <v>2161.6169323725999</v>
      </c>
      <c r="L19" s="5">
        <v>2315.5039999999999</v>
      </c>
    </row>
    <row r="20" spans="1:14" ht="13.8">
      <c r="A20" s="16" t="s">
        <v>51</v>
      </c>
      <c r="B20" s="5">
        <f t="shared" si="4"/>
        <v>2315.5039999999999</v>
      </c>
      <c r="C20" s="6">
        <v>2169.9299999999998</v>
      </c>
      <c r="D20" s="112">
        <f>(11391.7*2204.622)/1000000</f>
        <v>25.114392437399999</v>
      </c>
      <c r="E20" s="6">
        <f t="shared" si="5"/>
        <v>4510.5483924373993</v>
      </c>
      <c r="F20" s="57"/>
      <c r="G20" s="5">
        <f t="shared" si="1"/>
        <v>2125.6014242047995</v>
      </c>
      <c r="H20" s="6">
        <v>956.48800000000006</v>
      </c>
      <c r="I20" s="6">
        <f t="shared" si="2"/>
        <v>1169.1134242047995</v>
      </c>
      <c r="J20" s="112">
        <f>(53593.3*2204.622)/1000000</f>
        <v>118.1529682326</v>
      </c>
      <c r="K20" s="6">
        <f t="shared" si="3"/>
        <v>2243.7543924373995</v>
      </c>
      <c r="L20" s="5">
        <v>2266.7939999999999</v>
      </c>
    </row>
    <row r="21" spans="1:14" ht="13.8">
      <c r="A21" s="16" t="s">
        <v>52</v>
      </c>
      <c r="B21" s="5">
        <f t="shared" si="4"/>
        <v>2266.7939999999999</v>
      </c>
      <c r="C21" s="6">
        <v>2095.5810000000001</v>
      </c>
      <c r="D21" s="112">
        <f>(9641.3*2204.622)/1000000</f>
        <v>21.2554220886</v>
      </c>
      <c r="E21" s="6">
        <f t="shared" si="5"/>
        <v>4383.6304220886004</v>
      </c>
      <c r="F21" s="57"/>
      <c r="G21" s="5">
        <f t="shared" si="1"/>
        <v>2222.8252080034008</v>
      </c>
      <c r="H21" s="6">
        <v>924.71799999999996</v>
      </c>
      <c r="I21" s="6">
        <f t="shared" si="2"/>
        <v>1298.107208003401</v>
      </c>
      <c r="J21" s="112">
        <f>(25896.6*2204.622)/1000000</f>
        <v>57.092214085199991</v>
      </c>
      <c r="K21" s="6">
        <f t="shared" si="3"/>
        <v>2279.9174220886007</v>
      </c>
      <c r="L21" s="5">
        <v>2103.7129999999997</v>
      </c>
    </row>
    <row r="22" spans="1:14" ht="13.8">
      <c r="A22" s="16" t="s">
        <v>38</v>
      </c>
      <c r="B22" s="5">
        <f t="shared" si="4"/>
        <v>2103.7129999999997</v>
      </c>
      <c r="C22" s="6">
        <v>1992.9639999999999</v>
      </c>
      <c r="D22" s="112">
        <f>(10329.4*2204.622)/1000000</f>
        <v>22.772422486799996</v>
      </c>
      <c r="E22" s="6">
        <f t="shared" si="5"/>
        <v>4119.4494224867994</v>
      </c>
      <c r="F22" s="57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12">
        <f>(20446.3*2204.622)/1000000</f>
        <v>45.076362798599995</v>
      </c>
      <c r="K22" s="6">
        <f t="shared" si="3"/>
        <v>2128.3014224867993</v>
      </c>
      <c r="L22" s="5">
        <v>1991.1480000000001</v>
      </c>
    </row>
    <row r="23" spans="1:14" ht="13.8">
      <c r="A23" s="16" t="s">
        <v>28</v>
      </c>
      <c r="B23" s="5"/>
      <c r="C23" s="6">
        <f>SUM(C11:C22)</f>
        <v>26155.173000000003</v>
      </c>
      <c r="D23" s="6">
        <f>(137569.3*2204.622)/1000000</f>
        <v>303.28830530459993</v>
      </c>
      <c r="E23" s="6">
        <f>B11+C23+D23</f>
        <v>28589.694305304602</v>
      </c>
      <c r="F23" s="5"/>
      <c r="G23" s="5">
        <f>SUM(G11:G22)</f>
        <v>24825.102953291404</v>
      </c>
      <c r="H23" s="6">
        <f>SUM(H11:H22)</f>
        <v>10348.1917128</v>
      </c>
      <c r="I23" s="6">
        <f>SUM(I11:I22)</f>
        <v>14476.911240491401</v>
      </c>
      <c r="J23" s="6">
        <f>(804420.5*2204.622)/1000000</f>
        <v>1773.4431315509999</v>
      </c>
      <c r="K23" s="5">
        <f>SUM(K11:K22)</f>
        <v>26598.546305304601</v>
      </c>
      <c r="L23" s="5"/>
    </row>
    <row r="24" spans="1:14" ht="13.8">
      <c r="A24" s="16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6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6" t="s">
        <v>39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31" si="6">SUM(B26:D26)</f>
        <v>4358.9793032593998</v>
      </c>
      <c r="F26" s="5"/>
      <c r="G26" s="5">
        <f t="shared" ref="G26:G31" si="7">K26-J26</f>
        <v>2242.2710449107999</v>
      </c>
      <c r="H26" s="6">
        <v>906.40899999999999</v>
      </c>
      <c r="I26" s="6">
        <f t="shared" ref="I26:I30" si="8">G26-H26</f>
        <v>1335.8620449107998</v>
      </c>
      <c r="J26" s="6">
        <f>(10471.3*2204.622)/1000000</f>
        <v>23.085258348599996</v>
      </c>
      <c r="K26" s="6">
        <f t="shared" ref="K26:K31" si="9">E26-L26</f>
        <v>2265.3563032593997</v>
      </c>
      <c r="L26" s="5">
        <v>2093.623</v>
      </c>
    </row>
    <row r="27" spans="1:14" ht="13.8">
      <c r="A27" s="16" t="s">
        <v>40</v>
      </c>
      <c r="B27" s="5">
        <f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2183.7515713444004</v>
      </c>
      <c r="H27" s="6">
        <v>943.34199999999998</v>
      </c>
      <c r="I27" s="6">
        <f t="shared" si="8"/>
        <v>1240.4095713444003</v>
      </c>
      <c r="J27" s="6">
        <f>(10634.4*2204.622)/1000000</f>
        <v>23.444832196799997</v>
      </c>
      <c r="K27" s="6">
        <f t="shared" si="9"/>
        <v>2207.1964035412002</v>
      </c>
      <c r="L27" s="5">
        <v>2112.2809999999999</v>
      </c>
    </row>
    <row r="28" spans="1:14" ht="13.8">
      <c r="A28" s="16" t="s">
        <v>42</v>
      </c>
      <c r="B28" s="5">
        <f>L27</f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1989.4369064418004</v>
      </c>
      <c r="H28" s="6">
        <v>885.44299999999998</v>
      </c>
      <c r="I28" s="6">
        <f t="shared" si="8"/>
        <v>1103.9939064418004</v>
      </c>
      <c r="J28" s="6">
        <f>(15720.5*2204.622)/1000000</f>
        <v>34.657760150999998</v>
      </c>
      <c r="K28" s="6">
        <f t="shared" si="9"/>
        <v>2024.0946665928004</v>
      </c>
      <c r="L28" s="5">
        <v>2306.1469999999999</v>
      </c>
    </row>
    <row r="29" spans="1:14" ht="13.8">
      <c r="A29" s="16" t="s">
        <v>43</v>
      </c>
      <c r="B29" s="5">
        <f>L28</f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6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>
      <c r="A30" s="16" t="s">
        <v>44</v>
      </c>
      <c r="B30" s="5">
        <f>L29</f>
        <v>2356.4009999999998</v>
      </c>
      <c r="C30" s="6">
        <v>2091.2179999999998</v>
      </c>
      <c r="D30" s="6">
        <f>(15213.2*2204.622)/1000000</f>
        <v>33.539355410399999</v>
      </c>
      <c r="E30" s="6">
        <f t="shared" si="6"/>
        <v>4481.1583554104</v>
      </c>
      <c r="F30" s="5"/>
      <c r="G30" s="5">
        <f t="shared" si="7"/>
        <v>2091.4034745958002</v>
      </c>
      <c r="H30" s="6">
        <v>909.98699999999997</v>
      </c>
      <c r="I30" s="6">
        <f t="shared" si="8"/>
        <v>1181.4164745958001</v>
      </c>
      <c r="J30" s="6">
        <f>(11774.3*2204.622)/1000000</f>
        <v>25.957880814599999</v>
      </c>
      <c r="K30" s="6">
        <f t="shared" si="9"/>
        <v>2117.3613554103999</v>
      </c>
      <c r="L30" s="5">
        <v>2363.797</v>
      </c>
    </row>
    <row r="31" spans="1:14" ht="13.8">
      <c r="A31" s="15" t="s">
        <v>46</v>
      </c>
      <c r="B31" s="53">
        <f>L30</f>
        <v>2363.797</v>
      </c>
      <c r="C31" s="41">
        <v>2339.5810000000001</v>
      </c>
      <c r="D31" s="41">
        <f>(15180.8*2204.622)/1000000</f>
        <v>33.467925657599999</v>
      </c>
      <c r="E31" s="41">
        <f t="shared" si="6"/>
        <v>4736.8459256576007</v>
      </c>
      <c r="F31" s="53"/>
      <c r="G31" s="53">
        <f t="shared" si="7"/>
        <v>2336.5298038548008</v>
      </c>
      <c r="H31" s="41" t="s">
        <v>75</v>
      </c>
      <c r="I31" s="41" t="s">
        <v>75</v>
      </c>
      <c r="J31" s="41">
        <f>(5807.4*2204.622)/1000000</f>
        <v>12.803121802799998</v>
      </c>
      <c r="K31" s="41">
        <f t="shared" si="9"/>
        <v>2349.3329256576008</v>
      </c>
      <c r="L31" s="53">
        <v>2387.5129999999999</v>
      </c>
    </row>
    <row r="32" spans="1:14" ht="16.2">
      <c r="A32" s="49" t="s">
        <v>76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4">
      <c r="A33" s="16" t="s">
        <v>68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3.8">
      <c r="A34" s="21" t="s">
        <v>56</v>
      </c>
      <c r="B34" s="43">
        <f>Contents!A16</f>
        <v>45062</v>
      </c>
      <c r="K34" s="40"/>
    </row>
    <row r="35" spans="1:12">
      <c r="E35" s="40"/>
    </row>
  </sheetData>
  <mergeCells count="3">
    <mergeCell ref="B5:L5"/>
    <mergeCell ref="G2:I2"/>
    <mergeCell ref="B2:E2"/>
  </mergeCells>
  <phoneticPr fontId="28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5" width="7.5546875" customWidth="1"/>
    <col min="19" max="19" width="17.44140625" bestFit="1" customWidth="1"/>
    <col min="21" max="21" width="28.33203125" bestFit="1" customWidth="1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15" ht="13.8">
      <c r="A2" s="16"/>
      <c r="B2" s="161" t="s">
        <v>57</v>
      </c>
      <c r="C2" s="161"/>
      <c r="D2" s="161"/>
      <c r="E2" s="161"/>
      <c r="F2" s="82"/>
      <c r="G2" s="161" t="s">
        <v>58</v>
      </c>
      <c r="H2" s="161"/>
      <c r="I2" s="161"/>
      <c r="J2" s="161"/>
      <c r="K2" s="82"/>
      <c r="L2" s="16"/>
      <c r="M2" s="16"/>
      <c r="N2" s="16"/>
      <c r="O2" s="16"/>
    </row>
    <row r="3" spans="1:15" ht="13.8">
      <c r="A3" s="16" t="s">
        <v>17</v>
      </c>
      <c r="B3" s="21" t="s">
        <v>69</v>
      </c>
      <c r="C3" s="21"/>
      <c r="D3" s="21"/>
      <c r="E3" s="21"/>
      <c r="F3" s="21"/>
      <c r="G3" s="21"/>
      <c r="H3" s="21"/>
      <c r="I3" s="21"/>
      <c r="J3" s="21"/>
      <c r="K3" s="18" t="s">
        <v>59</v>
      </c>
      <c r="L3" s="16"/>
      <c r="M3" s="16"/>
      <c r="N3" s="16"/>
      <c r="O3" s="16"/>
    </row>
    <row r="4" spans="1:15" ht="13.8">
      <c r="A4" s="22" t="s">
        <v>77</v>
      </c>
      <c r="B4" s="24" t="s">
        <v>78</v>
      </c>
      <c r="C4" s="66" t="s">
        <v>26</v>
      </c>
      <c r="D4" s="26" t="s">
        <v>70</v>
      </c>
      <c r="E4" s="24" t="s">
        <v>79</v>
      </c>
      <c r="F4" s="25"/>
      <c r="G4" s="24" t="s">
        <v>80</v>
      </c>
      <c r="H4" s="24" t="s">
        <v>30</v>
      </c>
      <c r="I4" s="24" t="s">
        <v>81</v>
      </c>
      <c r="J4" s="24" t="s">
        <v>82</v>
      </c>
      <c r="K4" s="24" t="s">
        <v>61</v>
      </c>
      <c r="L4" s="16"/>
      <c r="M4" s="16"/>
      <c r="N4" s="16"/>
      <c r="O4" s="16"/>
    </row>
    <row r="5" spans="1:15" ht="14.4">
      <c r="A5" s="16"/>
      <c r="B5" s="166" t="s">
        <v>83</v>
      </c>
      <c r="C5" s="166"/>
      <c r="D5" s="166"/>
      <c r="E5" s="166"/>
      <c r="F5" s="166"/>
      <c r="G5" s="166"/>
      <c r="H5" s="166"/>
      <c r="I5" s="166"/>
      <c r="J5" s="166"/>
      <c r="K5" s="166"/>
      <c r="L5" s="16"/>
      <c r="M5" s="16"/>
      <c r="N5" s="16"/>
      <c r="O5" s="16"/>
    </row>
    <row r="6" spans="1:15" ht="13.8">
      <c r="A6" s="16" t="s">
        <v>37</v>
      </c>
      <c r="B6" s="84">
        <v>395.64255294480427</v>
      </c>
      <c r="C6" s="84">
        <v>5323</v>
      </c>
      <c r="D6" s="85">
        <v>24.765738432900992</v>
      </c>
      <c r="E6" s="84">
        <f>B6+C6+D6</f>
        <v>5743.4082913777056</v>
      </c>
      <c r="F6" s="86"/>
      <c r="G6" s="84">
        <v>1556.9839999999999</v>
      </c>
      <c r="H6" s="87">
        <v>297.69790855776995</v>
      </c>
      <c r="I6" s="84">
        <f>J6-G6-H6</f>
        <v>3493.8003828199353</v>
      </c>
      <c r="J6" s="84">
        <f>E6-K6</f>
        <v>5348.4822913777052</v>
      </c>
      <c r="K6" s="84">
        <v>394.92599999999999</v>
      </c>
      <c r="L6" s="16"/>
      <c r="M6" s="16"/>
      <c r="N6" s="16"/>
      <c r="O6" s="16"/>
    </row>
    <row r="7" spans="1:15" ht="16.2">
      <c r="A7" s="16" t="s">
        <v>188</v>
      </c>
      <c r="B7" s="84">
        <f>K6</f>
        <v>394.92599999999999</v>
      </c>
      <c r="C7" s="84">
        <v>4455</v>
      </c>
      <c r="D7" s="85">
        <v>100</v>
      </c>
      <c r="E7" s="84">
        <f>B7+C7+D7</f>
        <v>4949.9260000000004</v>
      </c>
      <c r="F7" s="86"/>
      <c r="G7" s="84">
        <v>1500</v>
      </c>
      <c r="H7" s="87">
        <v>170</v>
      </c>
      <c r="I7" s="84">
        <f>J7-G7-H7</f>
        <v>2852</v>
      </c>
      <c r="J7" s="84">
        <f>E7-K7</f>
        <v>4522</v>
      </c>
      <c r="K7" s="84">
        <v>427.92599999999999</v>
      </c>
      <c r="L7" s="16"/>
      <c r="M7" s="16"/>
      <c r="N7" s="16"/>
      <c r="O7" s="16"/>
    </row>
    <row r="8" spans="1:15" ht="16.2">
      <c r="A8" s="15" t="s">
        <v>187</v>
      </c>
      <c r="B8" s="88">
        <f>K7</f>
        <v>427.92599999999999</v>
      </c>
      <c r="C8" s="88">
        <v>4835</v>
      </c>
      <c r="D8" s="89">
        <v>25</v>
      </c>
      <c r="E8" s="88">
        <f>B8+C8+D8</f>
        <v>5287.9260000000004</v>
      </c>
      <c r="F8" s="90"/>
      <c r="G8" s="88">
        <v>1550</v>
      </c>
      <c r="H8" s="91">
        <v>300</v>
      </c>
      <c r="I8" s="88">
        <f>J8-G8-H8</f>
        <v>3000</v>
      </c>
      <c r="J8" s="88">
        <f>E8-K8</f>
        <v>4850</v>
      </c>
      <c r="K8" s="88">
        <v>437.92599999999999</v>
      </c>
      <c r="L8" s="16"/>
      <c r="M8" s="16"/>
      <c r="N8" s="16"/>
      <c r="O8" s="16"/>
    </row>
    <row r="9" spans="1:15" ht="16.2">
      <c r="A9" s="49" t="s">
        <v>84</v>
      </c>
      <c r="B9" s="16"/>
      <c r="C9" s="83"/>
      <c r="D9" s="83"/>
      <c r="E9" s="83"/>
      <c r="F9" s="83"/>
      <c r="G9" s="92"/>
      <c r="H9" s="83"/>
      <c r="I9" s="83"/>
      <c r="J9" s="83"/>
      <c r="K9" s="16"/>
      <c r="L9" s="16"/>
      <c r="M9" s="16"/>
      <c r="N9" s="16"/>
      <c r="O9" s="16"/>
    </row>
    <row r="10" spans="1:15" ht="14.4">
      <c r="A10" s="16" t="s">
        <v>182</v>
      </c>
      <c r="B10" s="34"/>
      <c r="C10" s="39"/>
      <c r="D10" s="16"/>
      <c r="E10" s="34"/>
      <c r="F10" s="34"/>
      <c r="G10" s="34"/>
      <c r="H10" s="34"/>
      <c r="I10" s="34"/>
      <c r="J10" s="34"/>
      <c r="K10" s="16"/>
      <c r="L10" s="16"/>
      <c r="M10" s="16"/>
      <c r="N10" s="16"/>
      <c r="O10" s="16"/>
    </row>
    <row r="11" spans="1:15" ht="14.4">
      <c r="A11" s="16" t="s">
        <v>85</v>
      </c>
      <c r="B11" s="34"/>
      <c r="C11" s="39"/>
      <c r="D11" s="16"/>
      <c r="E11" s="34"/>
      <c r="F11" s="34"/>
      <c r="G11" s="34"/>
      <c r="H11" s="34"/>
      <c r="I11" s="34"/>
      <c r="J11" s="34"/>
      <c r="K11" s="16"/>
      <c r="L11" s="16"/>
      <c r="M11" s="16"/>
      <c r="N11" s="16"/>
      <c r="O11" s="16"/>
    </row>
    <row r="12" spans="1:15" ht="13.8">
      <c r="A12" s="16"/>
      <c r="B12" s="34"/>
      <c r="C12" s="39"/>
      <c r="D12" s="16"/>
      <c r="E12" s="34"/>
      <c r="F12" s="34"/>
      <c r="G12" s="34"/>
      <c r="H12" s="34"/>
      <c r="I12" s="34"/>
      <c r="J12" s="34"/>
      <c r="K12" s="16"/>
      <c r="L12" s="16"/>
      <c r="M12" s="16"/>
      <c r="N12" s="16"/>
      <c r="O12" s="16"/>
    </row>
    <row r="13" spans="1:15" ht="13.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  <c r="L14" s="16"/>
      <c r="M14" s="16"/>
      <c r="N14" s="16"/>
      <c r="O14" s="16"/>
    </row>
    <row r="15" spans="1:15" ht="13.8">
      <c r="A15" s="16"/>
      <c r="B15" s="161" t="s">
        <v>57</v>
      </c>
      <c r="C15" s="161"/>
      <c r="D15" s="161"/>
      <c r="E15" s="161"/>
      <c r="F15" s="16"/>
      <c r="G15" s="161" t="s">
        <v>58</v>
      </c>
      <c r="H15" s="161"/>
      <c r="I15" s="161"/>
      <c r="J15" s="16"/>
      <c r="K15" s="16"/>
      <c r="L15" s="16"/>
      <c r="M15" s="16"/>
      <c r="N15" s="16"/>
      <c r="O15" s="16"/>
    </row>
    <row r="16" spans="1:15" ht="13.8">
      <c r="A16" s="16" t="s">
        <v>17</v>
      </c>
      <c r="B16" s="18" t="s">
        <v>69</v>
      </c>
      <c r="C16" s="21"/>
      <c r="D16" s="21"/>
      <c r="E16" s="21"/>
      <c r="F16" s="21"/>
      <c r="G16" s="21"/>
      <c r="H16" s="21"/>
      <c r="I16" s="21"/>
      <c r="J16" s="18" t="s">
        <v>59</v>
      </c>
      <c r="K16" s="16"/>
      <c r="L16" s="16"/>
      <c r="M16" s="16"/>
      <c r="N16" s="16"/>
      <c r="O16" s="16"/>
    </row>
    <row r="17" spans="1:15" ht="13.8">
      <c r="A17" s="22" t="s">
        <v>60</v>
      </c>
      <c r="B17" s="24" t="s">
        <v>61</v>
      </c>
      <c r="C17" s="66" t="s">
        <v>26</v>
      </c>
      <c r="D17" s="26" t="s">
        <v>70</v>
      </c>
      <c r="E17" s="24" t="s">
        <v>82</v>
      </c>
      <c r="F17" s="25"/>
      <c r="G17" s="84" t="s">
        <v>86</v>
      </c>
      <c r="H17" s="24" t="s">
        <v>30</v>
      </c>
      <c r="I17" s="26" t="s">
        <v>62</v>
      </c>
      <c r="J17" s="24" t="s">
        <v>61</v>
      </c>
      <c r="K17" s="16"/>
      <c r="L17" s="16"/>
      <c r="M17" s="16"/>
      <c r="N17" s="16"/>
      <c r="O17" s="16"/>
    </row>
    <row r="18" spans="1:15" ht="14.4">
      <c r="A18" s="16"/>
      <c r="B18" s="166" t="s">
        <v>87</v>
      </c>
      <c r="C18" s="166"/>
      <c r="D18" s="166"/>
      <c r="E18" s="166"/>
      <c r="F18" s="166"/>
      <c r="G18" s="166"/>
      <c r="H18" s="166"/>
      <c r="I18" s="166"/>
      <c r="J18" s="166"/>
      <c r="K18" s="16"/>
      <c r="L18" s="16"/>
      <c r="M18" s="16"/>
      <c r="N18" s="16"/>
      <c r="O18" s="16"/>
    </row>
    <row r="19" spans="1:15" ht="13.8">
      <c r="A19" s="16" t="s">
        <v>37</v>
      </c>
      <c r="B19" s="84">
        <v>39.305999999999997</v>
      </c>
      <c r="C19" s="87">
        <v>695</v>
      </c>
      <c r="D19" s="116">
        <v>0.10141264051999997</v>
      </c>
      <c r="E19" s="87">
        <f>B19+C19+D19</f>
        <v>734.40741264052008</v>
      </c>
      <c r="F19" s="86"/>
      <c r="G19" s="87">
        <f>E19-J19-H19</f>
        <v>658.743182863843</v>
      </c>
      <c r="H19" s="87">
        <v>53.348229776676988</v>
      </c>
      <c r="I19" s="87">
        <f>SUM(G19:H19)</f>
        <v>712.09141264052005</v>
      </c>
      <c r="J19" s="84">
        <v>22.315999999999999</v>
      </c>
      <c r="K19" s="16"/>
      <c r="L19" s="16"/>
      <c r="M19" s="16"/>
      <c r="N19" s="16"/>
      <c r="O19" s="16"/>
    </row>
    <row r="20" spans="1:15" ht="16.2">
      <c r="A20" s="16" t="s">
        <v>188</v>
      </c>
      <c r="B20" s="84">
        <f>J19</f>
        <v>22.315999999999999</v>
      </c>
      <c r="C20" s="87">
        <v>630</v>
      </c>
      <c r="D20" s="85">
        <v>0</v>
      </c>
      <c r="E20" s="87">
        <f>B20+C20+D20</f>
        <v>652.31600000000003</v>
      </c>
      <c r="F20" s="86"/>
      <c r="G20" s="87">
        <f>E20-J20-H20</f>
        <v>552.31600000000003</v>
      </c>
      <c r="H20" s="87">
        <v>60</v>
      </c>
      <c r="I20" s="87">
        <f>SUM(G20:H20)</f>
        <v>612.31600000000003</v>
      </c>
      <c r="J20" s="84">
        <v>40</v>
      </c>
      <c r="K20" s="16"/>
      <c r="L20" s="16"/>
      <c r="M20" s="16"/>
      <c r="N20" s="16"/>
      <c r="O20" s="16"/>
    </row>
    <row r="21" spans="1:15" ht="16.2">
      <c r="A21" s="15" t="s">
        <v>187</v>
      </c>
      <c r="B21" s="88">
        <f>J20</f>
        <v>40</v>
      </c>
      <c r="C21" s="91">
        <v>700</v>
      </c>
      <c r="D21" s="89">
        <v>0</v>
      </c>
      <c r="E21" s="91">
        <f>B21+C21+D21</f>
        <v>740</v>
      </c>
      <c r="F21" s="90"/>
      <c r="G21" s="91">
        <f>E21-J21-H21</f>
        <v>620</v>
      </c>
      <c r="H21" s="91">
        <v>80</v>
      </c>
      <c r="I21" s="91">
        <f>SUM(G21:H21)</f>
        <v>700</v>
      </c>
      <c r="J21" s="88">
        <v>40</v>
      </c>
      <c r="K21" s="16"/>
      <c r="L21" s="16"/>
      <c r="M21" s="16"/>
      <c r="N21" s="16"/>
      <c r="O21" s="16"/>
    </row>
    <row r="22" spans="1:15" ht="16.2">
      <c r="A22" s="49" t="s">
        <v>84</v>
      </c>
      <c r="B22" s="16"/>
      <c r="C22" s="83"/>
      <c r="D22" s="83"/>
      <c r="E22" s="83"/>
      <c r="F22" s="83"/>
      <c r="G22" s="83"/>
      <c r="H22" s="83"/>
      <c r="I22" s="16"/>
      <c r="J22" s="16"/>
      <c r="K22" s="16"/>
      <c r="L22" s="16"/>
      <c r="M22" s="16"/>
      <c r="N22" s="16"/>
      <c r="O22" s="16"/>
    </row>
    <row r="23" spans="1:15" ht="14.4">
      <c r="A23" s="16" t="s">
        <v>88</v>
      </c>
      <c r="B23" s="86"/>
      <c r="C23" s="86"/>
      <c r="D23" s="86"/>
      <c r="E23" s="86"/>
      <c r="F23" s="86"/>
      <c r="G23" s="86"/>
      <c r="H23" s="86"/>
      <c r="I23" s="16"/>
      <c r="J23" s="16"/>
      <c r="K23" s="16"/>
      <c r="L23" s="16"/>
      <c r="M23" s="16"/>
      <c r="N23" s="16"/>
      <c r="O23" s="16"/>
    </row>
    <row r="24" spans="1:15" ht="13.8">
      <c r="A24" s="16"/>
      <c r="B24" s="34"/>
      <c r="C24" s="34"/>
      <c r="D24" s="34"/>
      <c r="E24" s="34"/>
      <c r="F24" s="34"/>
      <c r="G24" s="34"/>
      <c r="H24" s="34"/>
      <c r="I24" s="16"/>
      <c r="J24" s="16"/>
      <c r="K24" s="16"/>
      <c r="L24" s="16"/>
      <c r="M24" s="16"/>
      <c r="N24" s="16"/>
      <c r="O24" s="16"/>
    </row>
    <row r="25" spans="1:15" ht="13.8">
      <c r="A25" s="16"/>
      <c r="B25" s="34"/>
      <c r="C25" s="39"/>
      <c r="D25" s="34"/>
      <c r="E25" s="34"/>
      <c r="F25" s="34"/>
      <c r="G25" s="34"/>
      <c r="H25" s="34"/>
      <c r="I25" s="16"/>
      <c r="J25" s="16"/>
      <c r="K25" s="16"/>
      <c r="L25" s="16"/>
      <c r="M25" s="16"/>
      <c r="N25" s="16"/>
      <c r="O25" s="16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6"/>
      <c r="J26" s="15"/>
      <c r="K26" s="16"/>
      <c r="L26" s="16"/>
      <c r="M26" s="16"/>
      <c r="N26" s="16"/>
      <c r="O26" s="16"/>
    </row>
    <row r="27" spans="1:15" ht="13.8">
      <c r="A27" s="16"/>
      <c r="B27" s="161" t="s">
        <v>57</v>
      </c>
      <c r="C27" s="161"/>
      <c r="D27" s="161"/>
      <c r="E27" s="161"/>
      <c r="F27" s="16"/>
      <c r="G27" s="161" t="s">
        <v>58</v>
      </c>
      <c r="H27" s="161"/>
      <c r="I27" s="161"/>
      <c r="J27" s="16"/>
      <c r="K27" s="16"/>
      <c r="L27" s="16"/>
      <c r="M27" s="16"/>
      <c r="N27" s="16"/>
      <c r="O27" s="16"/>
    </row>
    <row r="28" spans="1:15" ht="13.8">
      <c r="A28" s="16" t="s">
        <v>17</v>
      </c>
      <c r="B28" s="18" t="s">
        <v>69</v>
      </c>
      <c r="C28" s="21"/>
      <c r="D28" s="21"/>
      <c r="E28" s="21"/>
      <c r="F28" s="21"/>
      <c r="G28" s="21"/>
      <c r="H28" s="21"/>
      <c r="I28" s="21"/>
      <c r="J28" s="18" t="s">
        <v>59</v>
      </c>
      <c r="K28" s="16"/>
      <c r="L28" s="16"/>
      <c r="M28" s="16"/>
      <c r="N28" s="16"/>
      <c r="O28" s="16"/>
    </row>
    <row r="29" spans="1:15" ht="13.8">
      <c r="A29" s="22" t="s">
        <v>60</v>
      </c>
      <c r="B29" s="24" t="s">
        <v>61</v>
      </c>
      <c r="C29" s="24" t="s">
        <v>26</v>
      </c>
      <c r="D29" s="26" t="s">
        <v>70</v>
      </c>
      <c r="E29" s="24" t="s">
        <v>82</v>
      </c>
      <c r="F29" s="25"/>
      <c r="G29" s="24" t="s">
        <v>63</v>
      </c>
      <c r="H29" s="24" t="s">
        <v>30</v>
      </c>
      <c r="I29" s="24" t="s">
        <v>62</v>
      </c>
      <c r="J29" s="24" t="s">
        <v>65</v>
      </c>
      <c r="K29" s="16"/>
      <c r="L29" s="16"/>
      <c r="M29" s="16"/>
      <c r="N29" s="16"/>
      <c r="O29" s="16"/>
    </row>
    <row r="30" spans="1:15" ht="14.4">
      <c r="A30" s="16"/>
      <c r="B30" s="166" t="s">
        <v>74</v>
      </c>
      <c r="C30" s="166"/>
      <c r="D30" s="166"/>
      <c r="E30" s="166"/>
      <c r="F30" s="166"/>
      <c r="G30" s="166"/>
      <c r="H30" s="166"/>
      <c r="I30" s="166"/>
      <c r="J30" s="166"/>
      <c r="K30" s="16"/>
      <c r="L30" s="16"/>
      <c r="M30" s="16"/>
      <c r="N30" s="16"/>
      <c r="O30" s="16"/>
    </row>
    <row r="31" spans="1:15" ht="13.8">
      <c r="A31" s="16" t="s">
        <v>37</v>
      </c>
      <c r="B31" s="85">
        <v>48.207999999999998</v>
      </c>
      <c r="C31" s="87">
        <v>430</v>
      </c>
      <c r="D31" s="85">
        <v>24.878284417651997</v>
      </c>
      <c r="E31" s="93">
        <f>B31+C31+D31</f>
        <v>503.086284417652</v>
      </c>
      <c r="F31" s="86"/>
      <c r="G31" s="87">
        <f>I31-H31</f>
        <v>325.59072038149202</v>
      </c>
      <c r="H31" s="87">
        <v>127.79756403616</v>
      </c>
      <c r="I31" s="87">
        <f>E31-J31</f>
        <v>453.38828441765202</v>
      </c>
      <c r="J31" s="87">
        <v>49.698</v>
      </c>
      <c r="K31" s="16"/>
      <c r="L31" s="16"/>
      <c r="M31" s="16"/>
      <c r="N31" s="16"/>
      <c r="O31" s="16"/>
    </row>
    <row r="32" spans="1:15" ht="16.2">
      <c r="A32" s="16" t="s">
        <v>188</v>
      </c>
      <c r="B32" s="85">
        <f>J31</f>
        <v>49.698</v>
      </c>
      <c r="C32" s="87">
        <v>400</v>
      </c>
      <c r="D32" s="85">
        <v>20</v>
      </c>
      <c r="E32" s="93">
        <f>B32+C32+D32</f>
        <v>469.69799999999998</v>
      </c>
      <c r="F32" s="86"/>
      <c r="G32" s="87">
        <f>I32-H32</f>
        <v>339.69799999999998</v>
      </c>
      <c r="H32" s="87">
        <v>80</v>
      </c>
      <c r="I32" s="87">
        <f>E32-J32</f>
        <v>419.69799999999998</v>
      </c>
      <c r="J32" s="87">
        <v>50</v>
      </c>
      <c r="K32" s="16"/>
      <c r="L32" s="16"/>
      <c r="M32" s="16"/>
      <c r="N32" s="16"/>
      <c r="O32" s="16"/>
    </row>
    <row r="33" spans="1:17" ht="16.2">
      <c r="A33" s="15" t="s">
        <v>187</v>
      </c>
      <c r="B33" s="89">
        <f>J32</f>
        <v>50</v>
      </c>
      <c r="C33" s="91">
        <v>420</v>
      </c>
      <c r="D33" s="89">
        <v>20</v>
      </c>
      <c r="E33" s="94">
        <f>B33+C33+D33</f>
        <v>490</v>
      </c>
      <c r="F33" s="90"/>
      <c r="G33" s="91">
        <f>I33-H33</f>
        <v>360.30200000000002</v>
      </c>
      <c r="H33" s="91">
        <v>80</v>
      </c>
      <c r="I33" s="91">
        <f>E33-J33</f>
        <v>440.30200000000002</v>
      </c>
      <c r="J33" s="91">
        <v>49.698</v>
      </c>
      <c r="K33" s="16"/>
      <c r="L33" s="16"/>
      <c r="M33" s="16"/>
      <c r="N33" s="16"/>
      <c r="O33" s="16"/>
    </row>
    <row r="34" spans="1:17" ht="16.2">
      <c r="A34" s="49" t="s">
        <v>84</v>
      </c>
      <c r="B34" s="16"/>
      <c r="C34" s="83"/>
      <c r="D34" s="83"/>
      <c r="E34" s="83"/>
      <c r="F34" s="83"/>
      <c r="G34" s="83"/>
      <c r="H34" s="83"/>
      <c r="I34" s="16"/>
      <c r="J34" s="16"/>
      <c r="K34" s="16"/>
      <c r="L34" s="16"/>
      <c r="M34" s="16"/>
      <c r="N34" s="16"/>
      <c r="O34" s="16"/>
    </row>
    <row r="35" spans="1:17" ht="14.4">
      <c r="A35" s="16" t="s">
        <v>88</v>
      </c>
      <c r="B35" s="34"/>
      <c r="C35" s="39"/>
      <c r="D35" s="34"/>
      <c r="E35" s="34"/>
      <c r="F35" s="34"/>
      <c r="G35" s="34"/>
      <c r="H35" s="34"/>
      <c r="I35" s="16"/>
      <c r="J35" s="16"/>
      <c r="K35" s="16"/>
      <c r="L35" s="16"/>
      <c r="M35" s="16"/>
      <c r="N35" s="16"/>
      <c r="O35" s="16"/>
    </row>
    <row r="36" spans="1:17" ht="13.8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7" ht="13.8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</row>
    <row r="39" spans="1:17" ht="13.8">
      <c r="A39" s="16"/>
      <c r="B39" s="161" t="s">
        <v>13</v>
      </c>
      <c r="C39" s="161"/>
      <c r="D39" s="18" t="s">
        <v>14</v>
      </c>
      <c r="E39" s="161" t="s">
        <v>15</v>
      </c>
      <c r="F39" s="161"/>
      <c r="G39" s="161"/>
      <c r="H39" s="161"/>
      <c r="I39" s="16"/>
      <c r="J39" s="161" t="s">
        <v>58</v>
      </c>
      <c r="K39" s="161"/>
      <c r="L39" s="161"/>
      <c r="M39" s="161"/>
      <c r="N39" s="161"/>
      <c r="O39" s="82"/>
    </row>
    <row r="40" spans="1:17" ht="13.8">
      <c r="A40" s="16" t="s">
        <v>17</v>
      </c>
      <c r="B40" s="18" t="s">
        <v>18</v>
      </c>
      <c r="C40" s="18" t="s">
        <v>19</v>
      </c>
      <c r="D40" s="16"/>
      <c r="E40" s="18" t="s">
        <v>69</v>
      </c>
      <c r="F40" s="18"/>
      <c r="G40" s="18"/>
      <c r="H40" s="18"/>
      <c r="I40" s="16"/>
      <c r="J40" s="63" t="s">
        <v>86</v>
      </c>
      <c r="K40" s="18"/>
      <c r="L40" s="18" t="s">
        <v>22</v>
      </c>
      <c r="M40" s="18"/>
      <c r="N40" s="18"/>
      <c r="O40" s="18" t="s">
        <v>59</v>
      </c>
    </row>
    <row r="41" spans="1:17" ht="13.8">
      <c r="A41" s="22" t="s">
        <v>77</v>
      </c>
      <c r="B41" s="23"/>
      <c r="C41" s="23"/>
      <c r="D41" s="23"/>
      <c r="E41" s="24" t="s">
        <v>61</v>
      </c>
      <c r="F41" s="24" t="s">
        <v>26</v>
      </c>
      <c r="G41" s="24" t="s">
        <v>70</v>
      </c>
      <c r="H41" s="24" t="s">
        <v>82</v>
      </c>
      <c r="I41" s="24"/>
      <c r="J41" s="24" t="s">
        <v>89</v>
      </c>
      <c r="K41" s="24" t="s">
        <v>80</v>
      </c>
      <c r="L41" s="24" t="s">
        <v>29</v>
      </c>
      <c r="M41" s="26" t="s">
        <v>30</v>
      </c>
      <c r="N41" s="24" t="s">
        <v>62</v>
      </c>
      <c r="O41" s="24" t="s">
        <v>65</v>
      </c>
    </row>
    <row r="42" spans="1:17" ht="14.4">
      <c r="A42" s="16"/>
      <c r="B42" s="164" t="s">
        <v>90</v>
      </c>
      <c r="C42" s="165"/>
      <c r="D42" s="95" t="s">
        <v>91</v>
      </c>
      <c r="E42" s="167" t="s">
        <v>92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5"/>
    </row>
    <row r="43" spans="1:17" ht="13.8">
      <c r="A43" s="16"/>
      <c r="B43" s="18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7" ht="13.8">
      <c r="A44" s="16" t="s">
        <v>37</v>
      </c>
      <c r="B44" s="84">
        <v>1580.2</v>
      </c>
      <c r="C44" s="84">
        <v>1540.1</v>
      </c>
      <c r="D44" s="84">
        <f>F44*1000/C44</f>
        <v>4130.4662034932799</v>
      </c>
      <c r="E44" s="84">
        <v>1968.162</v>
      </c>
      <c r="F44" s="84">
        <v>6361.3310000000001</v>
      </c>
      <c r="G44" s="87">
        <v>107.105</v>
      </c>
      <c r="H44" s="84">
        <f>SUM(E44:G44)</f>
        <v>8436.598</v>
      </c>
      <c r="I44" s="84"/>
      <c r="J44" s="84">
        <v>3313.1</v>
      </c>
      <c r="K44" s="84">
        <v>842.43200000000002</v>
      </c>
      <c r="L44" s="87">
        <f t="shared" ref="L44:L46" si="0">N44-J44-K44-M44</f>
        <v>738.31830540849705</v>
      </c>
      <c r="M44" s="87">
        <v>1182.4906945915034</v>
      </c>
      <c r="N44" s="84">
        <f>H44-O44</f>
        <v>6076.3410000000003</v>
      </c>
      <c r="O44" s="84">
        <v>2360.2570000000001</v>
      </c>
      <c r="P44" s="114"/>
    </row>
    <row r="45" spans="1:17" ht="16.2">
      <c r="A45" s="16" t="s">
        <v>188</v>
      </c>
      <c r="B45" s="84">
        <v>1450.3</v>
      </c>
      <c r="C45" s="84">
        <v>1385.4</v>
      </c>
      <c r="D45" s="84">
        <f>F45*1000/C45</f>
        <v>4019.1641403204849</v>
      </c>
      <c r="E45" s="84">
        <f>O44</f>
        <v>2360.2570000000001</v>
      </c>
      <c r="F45" s="84">
        <v>5568.15</v>
      </c>
      <c r="G45" s="87">
        <v>110</v>
      </c>
      <c r="H45" s="84">
        <f>SUM(E45:G45)</f>
        <v>8038.4069999999992</v>
      </c>
      <c r="I45" s="84"/>
      <c r="J45" s="84">
        <v>3287.3134918856595</v>
      </c>
      <c r="K45" s="84">
        <v>800</v>
      </c>
      <c r="L45" s="87">
        <f t="shared" si="0"/>
        <v>650.19000000000051</v>
      </c>
      <c r="M45" s="87">
        <v>1100</v>
      </c>
      <c r="N45" s="84">
        <f>H45-O45</f>
        <v>5837.50349188566</v>
      </c>
      <c r="O45" s="84">
        <v>2200.9035081143393</v>
      </c>
      <c r="P45" s="114"/>
      <c r="Q45" s="114"/>
    </row>
    <row r="46" spans="1:17" ht="16.2">
      <c r="A46" s="15" t="s">
        <v>187</v>
      </c>
      <c r="B46" s="88">
        <v>1547</v>
      </c>
      <c r="C46" s="88">
        <v>1485.12</v>
      </c>
      <c r="D46" s="88">
        <f>F46*1000/C46</f>
        <v>4228.6145227321704</v>
      </c>
      <c r="E46" s="88">
        <f>O45</f>
        <v>2200.9035081143393</v>
      </c>
      <c r="F46" s="88">
        <v>6280</v>
      </c>
      <c r="G46" s="91">
        <v>115</v>
      </c>
      <c r="H46" s="88">
        <f>SUM(E46:G46)</f>
        <v>8595.9035081143393</v>
      </c>
      <c r="I46" s="88"/>
      <c r="J46" s="88">
        <v>3329.5072105342301</v>
      </c>
      <c r="K46" s="88">
        <v>850</v>
      </c>
      <c r="L46" s="91">
        <f t="shared" si="0"/>
        <v>754.62499999999955</v>
      </c>
      <c r="M46" s="91">
        <v>1300</v>
      </c>
      <c r="N46" s="88">
        <f>H46-O46</f>
        <v>6234.1322105342297</v>
      </c>
      <c r="O46" s="88">
        <v>2361.7712975801096</v>
      </c>
      <c r="P46" s="114"/>
      <c r="Q46" s="114"/>
    </row>
    <row r="47" spans="1:17" ht="16.2">
      <c r="A47" s="49" t="s">
        <v>84</v>
      </c>
      <c r="B47" s="16"/>
      <c r="C47" s="83"/>
      <c r="D47" s="83"/>
      <c r="E47" s="83"/>
      <c r="F47" s="83"/>
      <c r="G47" s="83"/>
      <c r="H47" s="83"/>
      <c r="I47" s="16"/>
      <c r="J47" s="16"/>
      <c r="K47" s="16"/>
      <c r="L47" s="16"/>
      <c r="M47" s="16"/>
      <c r="N47" s="16"/>
      <c r="O47" s="16"/>
    </row>
    <row r="48" spans="1:17" ht="14.4">
      <c r="A48" s="16" t="s">
        <v>183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4.4">
      <c r="A49" s="16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3.8">
      <c r="A50" s="21" t="s">
        <v>56</v>
      </c>
      <c r="B50" s="96">
        <f>Contents!A16</f>
        <v>45062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44.4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ht="15.6">
      <c r="G52" s="72"/>
      <c r="H52" s="72"/>
    </row>
    <row r="53" spans="1:15" ht="15.6">
      <c r="G53" s="72"/>
      <c r="H53" s="72"/>
    </row>
    <row r="54" spans="1:15" ht="15.6">
      <c r="G54" s="72"/>
      <c r="H54" s="72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28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5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7" ht="15.6" customHeight="1">
      <c r="A1" s="15" t="s">
        <v>8</v>
      </c>
      <c r="B1" s="15"/>
      <c r="C1" s="15"/>
      <c r="D1" s="15"/>
      <c r="E1" s="15"/>
      <c r="F1" s="15"/>
      <c r="G1" s="15"/>
    </row>
    <row r="2" spans="1:7" ht="15.6" customHeight="1">
      <c r="A2" s="16" t="s">
        <v>93</v>
      </c>
      <c r="B2" s="18" t="s">
        <v>94</v>
      </c>
      <c r="C2" s="18" t="s">
        <v>95</v>
      </c>
      <c r="D2" s="18" t="s">
        <v>96</v>
      </c>
      <c r="E2" s="18" t="s">
        <v>97</v>
      </c>
      <c r="F2" s="18" t="s">
        <v>98</v>
      </c>
      <c r="G2" s="18" t="s">
        <v>99</v>
      </c>
    </row>
    <row r="3" spans="1:7" ht="15.6" customHeight="1">
      <c r="A3" s="15" t="s">
        <v>100</v>
      </c>
      <c r="B3" s="25"/>
      <c r="C3" s="54"/>
      <c r="D3" s="54"/>
      <c r="E3" s="54"/>
      <c r="F3" s="54"/>
      <c r="G3" s="54"/>
    </row>
    <row r="4" spans="1:7" ht="14.4">
      <c r="A4" s="55"/>
      <c r="B4" s="56" t="s">
        <v>101</v>
      </c>
      <c r="C4" s="56" t="s">
        <v>102</v>
      </c>
      <c r="D4" s="56" t="s">
        <v>103</v>
      </c>
      <c r="E4" s="56" t="s">
        <v>103</v>
      </c>
      <c r="F4" s="56" t="s">
        <v>104</v>
      </c>
      <c r="G4" s="56" t="s">
        <v>101</v>
      </c>
    </row>
    <row r="5" spans="1:7" ht="13.8">
      <c r="A5" s="16"/>
      <c r="B5" s="16"/>
      <c r="C5" s="16"/>
      <c r="D5" s="18"/>
      <c r="E5" s="16"/>
      <c r="F5" s="16"/>
      <c r="G5" s="16"/>
    </row>
    <row r="6" spans="1:7" ht="13.8">
      <c r="A6" s="16" t="s">
        <v>105</v>
      </c>
      <c r="B6" s="57">
        <v>11.3</v>
      </c>
      <c r="C6" s="57">
        <v>161</v>
      </c>
      <c r="D6" s="57">
        <v>23.3</v>
      </c>
      <c r="E6" s="57">
        <v>19.3</v>
      </c>
      <c r="F6" s="57">
        <v>22.5</v>
      </c>
      <c r="G6" s="57">
        <v>12.2</v>
      </c>
    </row>
    <row r="7" spans="1:7" ht="13.8">
      <c r="A7" s="16" t="s">
        <v>106</v>
      </c>
      <c r="B7" s="57">
        <v>12.5</v>
      </c>
      <c r="C7" s="57">
        <v>260</v>
      </c>
      <c r="D7" s="57">
        <v>29.1</v>
      </c>
      <c r="E7" s="57">
        <v>24</v>
      </c>
      <c r="F7" s="57">
        <v>31.8</v>
      </c>
      <c r="G7" s="57">
        <v>13.9</v>
      </c>
    </row>
    <row r="8" spans="1:7" ht="13.8">
      <c r="A8" s="16" t="s">
        <v>107</v>
      </c>
      <c r="B8" s="57">
        <v>14.4</v>
      </c>
      <c r="C8" s="57">
        <v>252</v>
      </c>
      <c r="D8" s="57">
        <v>25.4</v>
      </c>
      <c r="E8" s="57">
        <v>26.5</v>
      </c>
      <c r="F8" s="57">
        <v>30.1</v>
      </c>
      <c r="G8" s="57">
        <v>13.8</v>
      </c>
    </row>
    <row r="9" spans="1:7" ht="13.8">
      <c r="A9" s="16" t="s">
        <v>108</v>
      </c>
      <c r="B9" s="57">
        <v>13</v>
      </c>
      <c r="C9" s="57">
        <v>246</v>
      </c>
      <c r="D9" s="57">
        <v>21.4</v>
      </c>
      <c r="E9" s="57">
        <v>20.6</v>
      </c>
      <c r="F9" s="57">
        <v>24.9</v>
      </c>
      <c r="G9" s="57">
        <v>13.8</v>
      </c>
    </row>
    <row r="10" spans="1:7" ht="13.8">
      <c r="A10" s="16" t="s">
        <v>109</v>
      </c>
      <c r="B10" s="57">
        <v>10.1</v>
      </c>
      <c r="C10" s="57">
        <v>194</v>
      </c>
      <c r="D10" s="57">
        <v>21.7</v>
      </c>
      <c r="E10" s="57">
        <v>16.899999999999999</v>
      </c>
      <c r="F10" s="57">
        <v>22</v>
      </c>
      <c r="G10" s="57">
        <v>11.8</v>
      </c>
    </row>
    <row r="11" spans="1:7" ht="13.8">
      <c r="A11" s="16" t="s">
        <v>110</v>
      </c>
      <c r="B11" s="57">
        <v>8.9499999999999993</v>
      </c>
      <c r="C11" s="57">
        <v>227</v>
      </c>
      <c r="D11" s="57">
        <v>19.600000000000001</v>
      </c>
      <c r="E11" s="57">
        <v>15.6</v>
      </c>
      <c r="F11" s="57">
        <v>19.3</v>
      </c>
      <c r="G11" s="57">
        <v>8.9499999999999993</v>
      </c>
    </row>
    <row r="12" spans="1:7" ht="13.8">
      <c r="A12" s="16" t="s">
        <v>111</v>
      </c>
      <c r="B12" s="57">
        <v>9.4700000000000006</v>
      </c>
      <c r="C12" s="57">
        <v>195</v>
      </c>
      <c r="D12" s="57">
        <v>17.399999999999999</v>
      </c>
      <c r="E12" s="57">
        <v>16.600000000000001</v>
      </c>
      <c r="F12" s="57">
        <v>19.7</v>
      </c>
      <c r="G12" s="57">
        <v>8</v>
      </c>
    </row>
    <row r="13" spans="1:7" ht="13.8">
      <c r="A13" s="16" t="s">
        <v>112</v>
      </c>
      <c r="B13" s="57">
        <v>9.33</v>
      </c>
      <c r="C13" s="57">
        <v>142</v>
      </c>
      <c r="D13" s="57">
        <v>17.2</v>
      </c>
      <c r="E13" s="57">
        <v>17.5</v>
      </c>
      <c r="F13" s="57">
        <v>22.9</v>
      </c>
      <c r="G13" s="57">
        <v>9.5299999999999994</v>
      </c>
    </row>
    <row r="14" spans="1:7" ht="13.8">
      <c r="A14" s="16" t="s">
        <v>113</v>
      </c>
      <c r="B14" s="57">
        <v>8.48</v>
      </c>
      <c r="C14" s="57">
        <v>155</v>
      </c>
      <c r="D14" s="57">
        <v>17.399999999999999</v>
      </c>
      <c r="E14" s="57">
        <v>15.8</v>
      </c>
      <c r="F14" s="57">
        <v>21.5</v>
      </c>
      <c r="G14" s="57">
        <v>9.89</v>
      </c>
    </row>
    <row r="15" spans="1:7" ht="13.8">
      <c r="A15" s="16" t="s">
        <v>114</v>
      </c>
      <c r="B15" s="57">
        <v>8.57</v>
      </c>
      <c r="C15" s="57">
        <v>161</v>
      </c>
      <c r="D15" s="57">
        <v>19.5</v>
      </c>
      <c r="E15" s="57">
        <v>14.8</v>
      </c>
      <c r="F15" s="57">
        <v>20.5</v>
      </c>
      <c r="G15" s="57">
        <v>9.15</v>
      </c>
    </row>
    <row r="16" spans="1:7" ht="13.8">
      <c r="A16" s="16" t="s">
        <v>34</v>
      </c>
      <c r="B16" s="57">
        <v>10.8</v>
      </c>
      <c r="C16" s="57">
        <v>194</v>
      </c>
      <c r="D16" s="57">
        <v>21.3</v>
      </c>
      <c r="E16" s="57">
        <v>18.400000000000002</v>
      </c>
      <c r="F16" s="57">
        <v>21</v>
      </c>
      <c r="G16" s="57">
        <v>11.1</v>
      </c>
    </row>
    <row r="17" spans="1:8" ht="13.8">
      <c r="A17" s="16" t="s">
        <v>37</v>
      </c>
      <c r="B17" s="57">
        <v>13.3</v>
      </c>
      <c r="C17" s="57">
        <v>243</v>
      </c>
      <c r="D17" s="57">
        <v>32.9</v>
      </c>
      <c r="E17" s="57">
        <v>32.9</v>
      </c>
      <c r="F17" s="57">
        <v>24.3</v>
      </c>
      <c r="G17" s="57">
        <v>25.9</v>
      </c>
    </row>
    <row r="18" spans="1:8" ht="16.2">
      <c r="A18" s="16" t="s">
        <v>115</v>
      </c>
      <c r="B18" s="57">
        <v>14.2</v>
      </c>
      <c r="C18" s="57">
        <v>332</v>
      </c>
      <c r="D18" s="57">
        <v>27.2</v>
      </c>
      <c r="E18" s="57">
        <v>30</v>
      </c>
      <c r="F18" s="57">
        <v>27</v>
      </c>
      <c r="G18" s="131">
        <v>17.149999999999999</v>
      </c>
      <c r="H18" s="129"/>
    </row>
    <row r="19" spans="1:8" ht="16.2">
      <c r="A19" s="16" t="s">
        <v>189</v>
      </c>
      <c r="B19" s="57">
        <v>12.1</v>
      </c>
      <c r="C19" s="57">
        <v>279</v>
      </c>
      <c r="D19" s="57">
        <v>25.55</v>
      </c>
      <c r="E19" s="57">
        <v>25</v>
      </c>
      <c r="F19" s="57">
        <v>26.5</v>
      </c>
      <c r="G19" s="131">
        <v>12.5</v>
      </c>
      <c r="H19" s="129"/>
    </row>
    <row r="20" spans="1:8" ht="13.8">
      <c r="A20" s="16"/>
      <c r="B20" s="58"/>
      <c r="C20" s="59"/>
      <c r="D20" s="60"/>
      <c r="E20" s="60"/>
      <c r="F20" s="59"/>
      <c r="G20" s="61"/>
      <c r="H20" s="50"/>
    </row>
    <row r="21" spans="1:8" ht="13.8">
      <c r="A21" s="62" t="s">
        <v>37</v>
      </c>
      <c r="B21" s="57"/>
      <c r="C21" s="57"/>
      <c r="D21" s="57"/>
      <c r="E21" s="57"/>
      <c r="F21" s="57"/>
      <c r="G21" s="57"/>
    </row>
    <row r="22" spans="1:8" ht="13.8">
      <c r="A22" s="16" t="s">
        <v>38</v>
      </c>
      <c r="B22" s="57">
        <v>12.2</v>
      </c>
      <c r="C22" s="57">
        <v>235</v>
      </c>
      <c r="D22" s="57">
        <v>30.7</v>
      </c>
      <c r="E22" s="57">
        <v>28.7</v>
      </c>
      <c r="F22" s="57">
        <v>22.2</v>
      </c>
      <c r="G22" s="57">
        <v>19.8</v>
      </c>
    </row>
    <row r="23" spans="1:8" ht="13.8">
      <c r="A23" s="16" t="s">
        <v>39</v>
      </c>
      <c r="B23" s="57">
        <v>11.9</v>
      </c>
      <c r="C23" s="57">
        <v>244</v>
      </c>
      <c r="D23" s="57">
        <v>30.5</v>
      </c>
      <c r="E23" s="57">
        <v>29.6</v>
      </c>
      <c r="F23" s="57">
        <v>23.9</v>
      </c>
      <c r="G23" s="57">
        <v>26.2</v>
      </c>
    </row>
    <row r="24" spans="1:8" ht="13.8">
      <c r="A24" s="16" t="s">
        <v>40</v>
      </c>
      <c r="B24" s="57">
        <v>12.1</v>
      </c>
      <c r="C24" s="57">
        <v>244</v>
      </c>
      <c r="D24" s="57">
        <v>30.3</v>
      </c>
      <c r="E24" s="57">
        <v>31.7</v>
      </c>
      <c r="F24" s="57">
        <v>25.4</v>
      </c>
      <c r="G24" s="57">
        <v>26.1</v>
      </c>
    </row>
    <row r="25" spans="1:8" ht="13.8">
      <c r="A25" s="16" t="s">
        <v>42</v>
      </c>
      <c r="B25" s="57">
        <v>12.5</v>
      </c>
      <c r="C25" s="57">
        <v>239</v>
      </c>
      <c r="D25" s="57">
        <v>31.6</v>
      </c>
      <c r="E25" s="57">
        <v>32.5</v>
      </c>
      <c r="F25" s="57">
        <v>24.1</v>
      </c>
      <c r="G25" s="57">
        <v>31.3</v>
      </c>
    </row>
    <row r="26" spans="1:8" ht="13.8">
      <c r="A26" s="16" t="s">
        <v>43</v>
      </c>
      <c r="B26" s="57">
        <v>12.9</v>
      </c>
      <c r="C26" s="57">
        <v>241</v>
      </c>
      <c r="D26" s="57">
        <v>31</v>
      </c>
      <c r="E26" s="57">
        <v>33.700000000000003</v>
      </c>
      <c r="F26" s="57">
        <v>25.9</v>
      </c>
      <c r="G26" s="57">
        <v>31</v>
      </c>
    </row>
    <row r="27" spans="1:8" ht="13.8">
      <c r="A27" s="16" t="s">
        <v>44</v>
      </c>
      <c r="B27" s="57">
        <v>14.7</v>
      </c>
      <c r="C27" s="57">
        <v>256</v>
      </c>
      <c r="D27" s="57">
        <v>32.200000000000003</v>
      </c>
      <c r="E27" s="57">
        <v>37.5</v>
      </c>
      <c r="F27" s="57">
        <v>24.8</v>
      </c>
      <c r="G27" s="57">
        <v>27.5</v>
      </c>
    </row>
    <row r="28" spans="1:8" ht="13.8">
      <c r="A28" s="16" t="s">
        <v>46</v>
      </c>
      <c r="B28" s="57">
        <v>15.4</v>
      </c>
      <c r="C28" s="57" t="s">
        <v>75</v>
      </c>
      <c r="D28" s="57">
        <v>33.9</v>
      </c>
      <c r="E28" s="57">
        <v>39.200000000000003</v>
      </c>
      <c r="F28" s="57">
        <v>25</v>
      </c>
      <c r="G28" s="57">
        <v>28.9</v>
      </c>
    </row>
    <row r="29" spans="1:8" ht="13.8">
      <c r="A29" s="16" t="s">
        <v>47</v>
      </c>
      <c r="B29" s="57">
        <v>15.8</v>
      </c>
      <c r="C29" s="57" t="s">
        <v>75</v>
      </c>
      <c r="D29" s="57">
        <v>37.1</v>
      </c>
      <c r="E29" s="57">
        <v>41.3</v>
      </c>
      <c r="F29" s="57">
        <v>24.8</v>
      </c>
      <c r="G29" s="57">
        <v>30.2</v>
      </c>
    </row>
    <row r="30" spans="1:8" ht="13.8">
      <c r="A30" s="16" t="s">
        <v>48</v>
      </c>
      <c r="B30" s="57">
        <v>16.100000000000001</v>
      </c>
      <c r="C30" s="57" t="s">
        <v>75</v>
      </c>
      <c r="D30" s="57">
        <v>40.1</v>
      </c>
      <c r="E30" s="57">
        <v>42.9</v>
      </c>
      <c r="F30" s="57">
        <v>25.3</v>
      </c>
      <c r="G30" s="57">
        <v>29.7</v>
      </c>
    </row>
    <row r="31" spans="1:8" ht="13.8">
      <c r="A31" s="16" t="s">
        <v>50</v>
      </c>
      <c r="B31" s="57">
        <v>16.399999999999999</v>
      </c>
      <c r="C31" s="57" t="s">
        <v>75</v>
      </c>
      <c r="D31" s="57">
        <v>40.200000000000003</v>
      </c>
      <c r="E31" s="57">
        <v>45.6</v>
      </c>
      <c r="F31" s="57">
        <v>25.2</v>
      </c>
      <c r="G31" s="57">
        <v>23.9</v>
      </c>
    </row>
    <row r="32" spans="1:8" ht="13.8">
      <c r="A32" s="16" t="s">
        <v>51</v>
      </c>
      <c r="B32" s="57">
        <v>15.5</v>
      </c>
      <c r="C32" s="57">
        <v>360</v>
      </c>
      <c r="D32" s="57">
        <v>36.200000000000003</v>
      </c>
      <c r="E32" s="57">
        <v>42.7</v>
      </c>
      <c r="F32" s="57">
        <v>25.3</v>
      </c>
      <c r="G32" s="57">
        <v>24.2</v>
      </c>
    </row>
    <row r="33" spans="1:7" ht="13.8">
      <c r="A33" s="16" t="s">
        <v>52</v>
      </c>
      <c r="B33" s="57">
        <f>15.3</f>
        <v>15.3</v>
      </c>
      <c r="C33" s="57">
        <f>343</f>
        <v>343</v>
      </c>
      <c r="D33" s="57">
        <f>37.8</f>
        <v>37.799999999999997</v>
      </c>
      <c r="E33" s="57">
        <f>40</f>
        <v>40</v>
      </c>
      <c r="F33" s="57">
        <f>25</f>
        <v>25</v>
      </c>
      <c r="G33" s="57">
        <f>20.8</f>
        <v>20.8</v>
      </c>
    </row>
    <row r="34" spans="1:7" ht="13.8">
      <c r="A34" s="16"/>
      <c r="B34" s="57"/>
      <c r="C34" s="57"/>
      <c r="D34" s="57"/>
      <c r="E34" s="57"/>
      <c r="F34" s="57"/>
      <c r="G34" s="57"/>
    </row>
    <row r="35" spans="1:7" ht="13.8">
      <c r="A35" s="62" t="s">
        <v>54</v>
      </c>
      <c r="B35" s="57"/>
      <c r="C35" s="57"/>
      <c r="D35" s="57"/>
      <c r="E35" s="57"/>
      <c r="F35" s="57"/>
      <c r="G35" s="57"/>
    </row>
    <row r="36" spans="1:7" ht="13.8">
      <c r="A36" s="16" t="s">
        <v>38</v>
      </c>
      <c r="B36" s="57">
        <v>14.1</v>
      </c>
      <c r="C36" s="57">
        <v>361</v>
      </c>
      <c r="D36" s="57">
        <v>32.9</v>
      </c>
      <c r="E36" s="57">
        <v>28.1</v>
      </c>
      <c r="F36" s="57">
        <v>25.7</v>
      </c>
      <c r="G36" s="57">
        <v>18.899999999999999</v>
      </c>
    </row>
    <row r="37" spans="1:7" ht="13.8">
      <c r="A37" s="16" t="s">
        <v>39</v>
      </c>
      <c r="B37" s="57">
        <v>13.5</v>
      </c>
      <c r="C37" s="57">
        <v>338</v>
      </c>
      <c r="D37" s="57">
        <v>29.3</v>
      </c>
      <c r="E37" s="57">
        <v>28.1</v>
      </c>
      <c r="F37" s="57">
        <v>26.6</v>
      </c>
      <c r="G37" s="57">
        <v>18.600000000000001</v>
      </c>
    </row>
    <row r="38" spans="1:7" ht="13.8">
      <c r="A38" s="16" t="s">
        <v>40</v>
      </c>
      <c r="B38" s="57">
        <v>14</v>
      </c>
      <c r="C38" s="57">
        <v>323</v>
      </c>
      <c r="D38" s="57">
        <v>28.4</v>
      </c>
      <c r="E38" s="57">
        <v>29.2</v>
      </c>
      <c r="F38" s="57">
        <v>29.9</v>
      </c>
      <c r="G38" s="57">
        <v>19.5</v>
      </c>
    </row>
    <row r="39" spans="1:7" ht="13.8">
      <c r="A39" s="16" t="s">
        <v>42</v>
      </c>
      <c r="B39" s="57">
        <v>14.4</v>
      </c>
      <c r="C39" s="57">
        <v>329</v>
      </c>
      <c r="D39" s="57">
        <v>29.5</v>
      </c>
      <c r="E39" s="57">
        <v>29.2</v>
      </c>
      <c r="F39" s="57">
        <v>24.1</v>
      </c>
      <c r="G39" s="57">
        <v>18.399999999999999</v>
      </c>
    </row>
    <row r="40" spans="1:7" ht="13.8">
      <c r="A40" s="16" t="s">
        <v>43</v>
      </c>
      <c r="B40" s="57">
        <v>14.5</v>
      </c>
      <c r="C40" s="57">
        <v>316</v>
      </c>
      <c r="D40" s="57">
        <v>28.5</v>
      </c>
      <c r="E40" s="57">
        <v>30.1</v>
      </c>
      <c r="F40" s="57">
        <v>27.9</v>
      </c>
      <c r="G40" s="57">
        <v>17.7</v>
      </c>
    </row>
    <row r="41" spans="1:7" ht="13.8">
      <c r="A41" s="16" t="s">
        <v>44</v>
      </c>
      <c r="B41" s="57">
        <v>15.1</v>
      </c>
      <c r="C41" s="57">
        <v>332</v>
      </c>
      <c r="D41" s="57">
        <v>30.8</v>
      </c>
      <c r="E41" s="57">
        <v>30.7</v>
      </c>
      <c r="F41" s="57">
        <v>27.2</v>
      </c>
      <c r="G41" s="57">
        <v>16.2</v>
      </c>
    </row>
    <row r="42" spans="1:7" ht="13.8">
      <c r="A42" s="15" t="s">
        <v>46</v>
      </c>
      <c r="B42" s="14">
        <v>14.9</v>
      </c>
      <c r="C42" s="14" t="s">
        <v>75</v>
      </c>
      <c r="D42" s="14">
        <v>26.9</v>
      </c>
      <c r="E42" s="14">
        <v>30.9</v>
      </c>
      <c r="F42" s="14">
        <v>26.9</v>
      </c>
      <c r="G42" s="14">
        <v>14.8</v>
      </c>
    </row>
    <row r="43" spans="1:7" ht="16.2">
      <c r="A43" s="16" t="s">
        <v>116</v>
      </c>
      <c r="B43" s="16"/>
      <c r="C43" s="16"/>
      <c r="D43" s="16"/>
      <c r="E43" s="16"/>
      <c r="F43" s="16"/>
      <c r="G43" s="16"/>
    </row>
    <row r="44" spans="1:7" ht="14.4">
      <c r="A44" s="16" t="s">
        <v>117</v>
      </c>
      <c r="B44" s="16"/>
      <c r="C44" s="16"/>
      <c r="D44" s="16"/>
      <c r="E44" s="16"/>
      <c r="F44" s="16"/>
      <c r="G44" s="16"/>
    </row>
    <row r="45" spans="1:7" ht="13.8">
      <c r="A45" s="21" t="s">
        <v>56</v>
      </c>
      <c r="B45" s="43">
        <f>Contents!A16</f>
        <v>45062</v>
      </c>
      <c r="C45" s="16"/>
      <c r="D45" s="16"/>
      <c r="E45" s="16"/>
      <c r="F45" s="16"/>
      <c r="G45" s="16"/>
    </row>
  </sheetData>
  <phoneticPr fontId="28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6"/>
  <sheetViews>
    <sheetView showGridLines="0" zoomScale="70" zoomScaleNormal="70" workbookViewId="0"/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6"/>
    </row>
    <row r="2" spans="1:12" ht="15.6" customHeight="1">
      <c r="A2" s="63" t="s">
        <v>93</v>
      </c>
      <c r="B2" s="18" t="s">
        <v>118</v>
      </c>
      <c r="C2" s="18" t="s">
        <v>119</v>
      </c>
      <c r="D2" s="18" t="s">
        <v>120</v>
      </c>
      <c r="E2" s="64" t="s">
        <v>121</v>
      </c>
      <c r="F2" s="64" t="s">
        <v>122</v>
      </c>
      <c r="G2" s="18" t="s">
        <v>123</v>
      </c>
      <c r="H2" s="18" t="s">
        <v>124</v>
      </c>
      <c r="I2" s="65" t="s">
        <v>125</v>
      </c>
    </row>
    <row r="3" spans="1:12" ht="15.6" customHeight="1">
      <c r="A3" s="66" t="s">
        <v>100</v>
      </c>
      <c r="B3" s="24" t="s">
        <v>126</v>
      </c>
      <c r="C3" s="24" t="s">
        <v>127</v>
      </c>
      <c r="D3" s="24" t="s">
        <v>128</v>
      </c>
      <c r="E3" s="24" t="s">
        <v>128</v>
      </c>
      <c r="F3" s="24" t="s">
        <v>129</v>
      </c>
      <c r="G3" s="24" t="s">
        <v>130</v>
      </c>
      <c r="H3" s="24"/>
      <c r="I3" s="24" t="s">
        <v>131</v>
      </c>
    </row>
    <row r="4" spans="1:12" ht="14.4">
      <c r="A4" s="67" t="s">
        <v>132</v>
      </c>
      <c r="C4" s="68"/>
      <c r="D4" s="68"/>
      <c r="E4" s="68"/>
      <c r="F4" s="68"/>
      <c r="G4" s="68"/>
      <c r="H4" s="68"/>
      <c r="I4" s="68"/>
    </row>
    <row r="5" spans="1:12" ht="13.8">
      <c r="A5" s="16"/>
      <c r="B5" s="16"/>
      <c r="C5" s="16"/>
      <c r="D5" s="16"/>
      <c r="E5" s="16"/>
      <c r="F5" s="16"/>
      <c r="G5" s="16"/>
      <c r="H5" s="16"/>
      <c r="I5" s="16"/>
    </row>
    <row r="6" spans="1:12" ht="13.8">
      <c r="A6" s="16" t="s">
        <v>105</v>
      </c>
      <c r="B6" s="57">
        <v>53.2</v>
      </c>
      <c r="C6" s="57">
        <v>54.5</v>
      </c>
      <c r="D6" s="57">
        <v>86.12</v>
      </c>
      <c r="E6" s="57">
        <v>58.68</v>
      </c>
      <c r="F6" s="57">
        <v>77.239999999999995</v>
      </c>
      <c r="G6" s="57">
        <v>60.76</v>
      </c>
      <c r="H6" s="57">
        <v>51.52</v>
      </c>
      <c r="I6" s="57">
        <v>51.34</v>
      </c>
      <c r="K6" s="73"/>
      <c r="L6" s="73"/>
    </row>
    <row r="7" spans="1:12" ht="13.8">
      <c r="A7" s="16" t="s">
        <v>106</v>
      </c>
      <c r="B7" s="57">
        <v>51.9</v>
      </c>
      <c r="C7" s="57">
        <v>53.22</v>
      </c>
      <c r="D7" s="57">
        <v>83.2</v>
      </c>
      <c r="E7" s="57">
        <v>57.19</v>
      </c>
      <c r="F7" s="57">
        <v>100.15</v>
      </c>
      <c r="G7" s="57">
        <v>56.09</v>
      </c>
      <c r="H7" s="57">
        <v>48.11</v>
      </c>
      <c r="I7" s="57">
        <v>50.33</v>
      </c>
      <c r="K7" s="73"/>
      <c r="L7" s="73"/>
    </row>
    <row r="8" spans="1:12" ht="13.8">
      <c r="A8" s="16" t="s">
        <v>107</v>
      </c>
      <c r="B8" s="57">
        <v>47.13</v>
      </c>
      <c r="C8" s="57">
        <v>48.6</v>
      </c>
      <c r="D8" s="57">
        <v>65.87</v>
      </c>
      <c r="E8" s="57">
        <v>56.17</v>
      </c>
      <c r="F8" s="57">
        <v>91.83</v>
      </c>
      <c r="G8" s="57">
        <v>46.66</v>
      </c>
      <c r="H8" s="57">
        <v>51.8</v>
      </c>
      <c r="I8" s="57">
        <v>43.24</v>
      </c>
      <c r="K8" s="73"/>
      <c r="L8" s="73"/>
    </row>
    <row r="9" spans="1:12" ht="13.8">
      <c r="A9" s="16" t="s">
        <v>108</v>
      </c>
      <c r="B9" s="57">
        <v>38.229999999999997</v>
      </c>
      <c r="C9" s="57">
        <v>60.66</v>
      </c>
      <c r="D9" s="57">
        <v>59.12</v>
      </c>
      <c r="E9" s="57">
        <v>43.7</v>
      </c>
      <c r="F9" s="57">
        <v>68.23</v>
      </c>
      <c r="G9" s="57">
        <v>39.43</v>
      </c>
      <c r="H9" s="57">
        <v>43.93</v>
      </c>
      <c r="I9" s="57">
        <v>39.76</v>
      </c>
      <c r="K9" s="73"/>
      <c r="L9" s="73"/>
    </row>
    <row r="10" spans="1:12" ht="13.8">
      <c r="A10" s="16" t="s">
        <v>109</v>
      </c>
      <c r="B10" s="57">
        <v>31.6</v>
      </c>
      <c r="C10" s="57">
        <v>45.74</v>
      </c>
      <c r="D10" s="57">
        <v>66.72</v>
      </c>
      <c r="E10" s="57">
        <v>37.81</v>
      </c>
      <c r="F10" s="57">
        <v>57.96</v>
      </c>
      <c r="G10" s="57">
        <v>37.479999999999997</v>
      </c>
      <c r="H10" s="57">
        <v>33.43</v>
      </c>
      <c r="I10" s="57">
        <v>31.36</v>
      </c>
      <c r="K10" s="73"/>
      <c r="L10" s="73"/>
    </row>
    <row r="11" spans="1:12" ht="13.8">
      <c r="A11" s="16" t="s">
        <v>110</v>
      </c>
      <c r="B11" s="57">
        <v>29.86</v>
      </c>
      <c r="C11" s="57">
        <v>45.87</v>
      </c>
      <c r="D11" s="57">
        <v>57.81</v>
      </c>
      <c r="E11" s="57">
        <v>35.270000000000003</v>
      </c>
      <c r="F11" s="57">
        <v>58.26</v>
      </c>
      <c r="G11" s="57">
        <v>39.25</v>
      </c>
      <c r="H11" s="57">
        <v>32.229999999999997</v>
      </c>
      <c r="I11" s="57">
        <v>30.07</v>
      </c>
      <c r="K11" s="73"/>
      <c r="L11" s="73"/>
    </row>
    <row r="12" spans="1:12" ht="13.8">
      <c r="A12" s="16" t="s">
        <v>111</v>
      </c>
      <c r="B12" s="57">
        <v>32.549999999999997</v>
      </c>
      <c r="C12" s="57">
        <v>40.92</v>
      </c>
      <c r="D12" s="57">
        <v>53.54</v>
      </c>
      <c r="E12" s="57">
        <v>38.729999999999997</v>
      </c>
      <c r="F12" s="57">
        <v>66.73</v>
      </c>
      <c r="G12" s="57">
        <v>37.43</v>
      </c>
      <c r="H12" s="57">
        <v>33.07</v>
      </c>
      <c r="I12" s="57">
        <v>34.75</v>
      </c>
      <c r="K12" s="73"/>
      <c r="L12" s="73"/>
    </row>
    <row r="13" spans="1:12" ht="13.8">
      <c r="A13" s="16" t="s">
        <v>112</v>
      </c>
      <c r="B13" s="57">
        <v>30.04</v>
      </c>
      <c r="C13" s="57">
        <v>31.87</v>
      </c>
      <c r="D13" s="57">
        <v>54.57</v>
      </c>
      <c r="E13" s="57">
        <v>38.270000000000003</v>
      </c>
      <c r="F13" s="57">
        <v>66.72</v>
      </c>
      <c r="G13" s="57">
        <v>30.35</v>
      </c>
      <c r="H13" s="57">
        <v>34.159999999999997</v>
      </c>
      <c r="I13" s="57">
        <v>31.21</v>
      </c>
      <c r="K13" s="73"/>
      <c r="L13" s="73"/>
    </row>
    <row r="14" spans="1:12" ht="13.8">
      <c r="A14" s="16" t="s">
        <v>113</v>
      </c>
      <c r="B14" s="57">
        <v>28.26</v>
      </c>
      <c r="C14" s="57">
        <v>35.14</v>
      </c>
      <c r="D14" s="57">
        <v>53.28</v>
      </c>
      <c r="E14" s="57">
        <v>36.090000000000003</v>
      </c>
      <c r="F14" s="57">
        <v>64.72</v>
      </c>
      <c r="G14" s="57">
        <v>26.93</v>
      </c>
      <c r="H14" s="57">
        <v>31.65</v>
      </c>
      <c r="I14" s="57">
        <v>33.11</v>
      </c>
      <c r="K14" s="73"/>
      <c r="L14" s="73"/>
    </row>
    <row r="15" spans="1:12" ht="13.8">
      <c r="A15" s="16" t="s">
        <v>114</v>
      </c>
      <c r="B15" s="57">
        <v>29.65</v>
      </c>
      <c r="C15" s="57">
        <v>40.18</v>
      </c>
      <c r="D15" s="57">
        <v>65.03</v>
      </c>
      <c r="E15" s="57">
        <v>37.869999999999997</v>
      </c>
      <c r="F15" s="57">
        <v>62</v>
      </c>
      <c r="G15" s="57">
        <v>39.47</v>
      </c>
      <c r="H15" s="57">
        <v>35.75</v>
      </c>
      <c r="I15" s="57">
        <v>38.369999999999997</v>
      </c>
      <c r="K15" s="73"/>
      <c r="L15" s="73"/>
    </row>
    <row r="16" spans="1:12" ht="13.8">
      <c r="A16" s="16" t="s">
        <v>34</v>
      </c>
      <c r="B16" s="57">
        <v>56.87</v>
      </c>
      <c r="C16" s="57">
        <v>80.94</v>
      </c>
      <c r="D16" s="57">
        <v>79</v>
      </c>
      <c r="E16" s="57">
        <v>70.459999999999994</v>
      </c>
      <c r="F16" s="57">
        <v>101.4</v>
      </c>
      <c r="G16" s="57">
        <v>53.88</v>
      </c>
      <c r="H16" s="57">
        <v>55.89</v>
      </c>
      <c r="I16" s="57">
        <v>54.98</v>
      </c>
      <c r="K16" s="73"/>
      <c r="L16" s="73"/>
    </row>
    <row r="17" spans="1:12" ht="13.8">
      <c r="A17" s="16" t="s">
        <v>37</v>
      </c>
      <c r="B17" s="57">
        <v>72.98</v>
      </c>
      <c r="C17" s="57">
        <v>107.15</v>
      </c>
      <c r="D17" s="57">
        <v>111.39</v>
      </c>
      <c r="E17" s="57">
        <v>90.52</v>
      </c>
      <c r="F17" s="57">
        <v>106.98</v>
      </c>
      <c r="G17" s="57">
        <v>64.28</v>
      </c>
      <c r="H17" s="57">
        <v>82</v>
      </c>
      <c r="I17" s="57">
        <v>81.84</v>
      </c>
      <c r="J17" s="106"/>
      <c r="K17" s="73"/>
      <c r="L17" s="73"/>
    </row>
    <row r="18" spans="1:12" ht="16.2">
      <c r="A18" s="16" t="s">
        <v>133</v>
      </c>
      <c r="B18" s="57">
        <v>64</v>
      </c>
      <c r="C18" s="57">
        <v>99.2</v>
      </c>
      <c r="D18" s="57">
        <v>80</v>
      </c>
      <c r="E18" s="57">
        <v>68</v>
      </c>
      <c r="F18" s="57">
        <v>99</v>
      </c>
      <c r="G18" s="57">
        <v>60</v>
      </c>
      <c r="H18" s="57">
        <v>82</v>
      </c>
      <c r="I18" s="57">
        <v>77</v>
      </c>
      <c r="J18" s="106"/>
      <c r="K18" s="73"/>
      <c r="L18" s="73"/>
    </row>
    <row r="19" spans="1:12" ht="16.2">
      <c r="A19" s="16" t="s">
        <v>190</v>
      </c>
      <c r="B19" s="57">
        <v>58</v>
      </c>
      <c r="C19" s="57">
        <v>75</v>
      </c>
      <c r="D19" s="57">
        <v>80</v>
      </c>
      <c r="E19" s="57">
        <v>61</v>
      </c>
      <c r="F19" s="57">
        <v>93</v>
      </c>
      <c r="G19" s="57">
        <v>58</v>
      </c>
      <c r="H19" s="57">
        <v>80</v>
      </c>
      <c r="I19" s="57">
        <v>75</v>
      </c>
      <c r="J19" s="106"/>
      <c r="K19" s="73"/>
      <c r="L19" s="73"/>
    </row>
    <row r="20" spans="1:12" ht="13.8">
      <c r="A20" s="16"/>
      <c r="B20" s="69"/>
      <c r="C20" s="69"/>
      <c r="D20" s="69"/>
      <c r="E20" s="69"/>
      <c r="F20" s="69"/>
      <c r="G20" s="69"/>
      <c r="H20" s="69"/>
      <c r="I20" s="69"/>
    </row>
    <row r="21" spans="1:12" ht="13.8">
      <c r="A21" s="36" t="s">
        <v>37</v>
      </c>
      <c r="B21" s="57"/>
      <c r="C21" s="57"/>
      <c r="D21" s="57"/>
      <c r="E21" s="57"/>
      <c r="F21" s="57"/>
      <c r="G21" s="57"/>
      <c r="H21" s="57"/>
      <c r="I21" s="57"/>
      <c r="L21" s="106"/>
    </row>
    <row r="22" spans="1:12" ht="13.8">
      <c r="A22" s="16" t="s">
        <v>39</v>
      </c>
      <c r="B22" s="57">
        <v>70.42</v>
      </c>
      <c r="C22" s="57">
        <v>98.5</v>
      </c>
      <c r="D22" s="57">
        <v>129</v>
      </c>
      <c r="E22" s="57">
        <v>82.3</v>
      </c>
      <c r="F22" s="57">
        <v>101.5</v>
      </c>
      <c r="G22" s="57">
        <v>57.069999999999993</v>
      </c>
      <c r="H22" s="57" t="s">
        <v>75</v>
      </c>
      <c r="I22" s="57" t="s">
        <v>75</v>
      </c>
      <c r="K22" s="109"/>
      <c r="L22" s="108"/>
    </row>
    <row r="23" spans="1:12" ht="13.8">
      <c r="A23" s="16" t="s">
        <v>40</v>
      </c>
      <c r="B23" s="57">
        <v>66.459999999999994</v>
      </c>
      <c r="C23" s="57">
        <v>96.75</v>
      </c>
      <c r="D23" s="57">
        <v>125</v>
      </c>
      <c r="E23" s="57">
        <v>84.375</v>
      </c>
      <c r="F23" s="57">
        <v>100</v>
      </c>
      <c r="G23" s="57">
        <v>57.918000000000006</v>
      </c>
      <c r="H23" s="57" t="s">
        <v>75</v>
      </c>
      <c r="I23" s="57">
        <v>80.06</v>
      </c>
      <c r="K23" s="109"/>
      <c r="L23" s="109"/>
    </row>
    <row r="24" spans="1:12" ht="13.8">
      <c r="A24" s="16" t="s">
        <v>42</v>
      </c>
      <c r="B24" s="57">
        <v>63.69</v>
      </c>
      <c r="C24" s="57">
        <v>93.3</v>
      </c>
      <c r="D24" s="57">
        <v>125</v>
      </c>
      <c r="E24" s="57">
        <v>82.95</v>
      </c>
      <c r="F24" s="57">
        <v>100</v>
      </c>
      <c r="G24" s="57">
        <v>56.093333333333334</v>
      </c>
      <c r="H24" s="57" t="s">
        <v>75</v>
      </c>
      <c r="I24" s="57">
        <v>73</v>
      </c>
      <c r="K24" s="109"/>
      <c r="L24" s="109"/>
    </row>
    <row r="25" spans="1:12" ht="13.8">
      <c r="A25" s="16" t="s">
        <v>43</v>
      </c>
      <c r="B25" s="57">
        <v>65.7</v>
      </c>
      <c r="C25" s="57">
        <v>97.9375</v>
      </c>
      <c r="D25" s="57">
        <v>123.125</v>
      </c>
      <c r="E25" s="57">
        <v>88.5625</v>
      </c>
      <c r="F25" s="57">
        <v>103.125</v>
      </c>
      <c r="G25" s="57">
        <v>54.09</v>
      </c>
      <c r="H25" s="57" t="s">
        <v>75</v>
      </c>
      <c r="I25" s="57">
        <v>76.5</v>
      </c>
      <c r="K25" s="109"/>
    </row>
    <row r="26" spans="1:12" ht="13.8">
      <c r="A26" s="16" t="s">
        <v>44</v>
      </c>
      <c r="B26" s="57">
        <v>70.91</v>
      </c>
      <c r="C26" s="57">
        <v>101.375</v>
      </c>
      <c r="D26" s="57">
        <v>115.33333333333333</v>
      </c>
      <c r="E26" s="57">
        <v>85.875</v>
      </c>
      <c r="F26" s="57">
        <v>105</v>
      </c>
      <c r="G26" s="57">
        <v>59.29</v>
      </c>
      <c r="H26" s="57">
        <v>82</v>
      </c>
      <c r="I26" s="57">
        <v>80</v>
      </c>
    </row>
    <row r="27" spans="1:12" ht="13.8">
      <c r="A27" s="16" t="s">
        <v>46</v>
      </c>
      <c r="B27" s="57">
        <v>76.405000000000001</v>
      </c>
      <c r="C27" s="57">
        <v>114.875</v>
      </c>
      <c r="D27" s="57">
        <v>129</v>
      </c>
      <c r="E27" s="57">
        <v>92</v>
      </c>
      <c r="F27" s="57">
        <v>107.5</v>
      </c>
      <c r="G27" s="57">
        <v>67.1875</v>
      </c>
      <c r="H27" s="57" t="s">
        <v>75</v>
      </c>
      <c r="I27" s="57">
        <v>81.5</v>
      </c>
    </row>
    <row r="28" spans="1:12" ht="13.8">
      <c r="A28" s="16" t="s">
        <v>47</v>
      </c>
      <c r="B28" s="57">
        <v>83.846000000000004</v>
      </c>
      <c r="C28" s="57">
        <v>120.05</v>
      </c>
      <c r="D28" s="57">
        <v>120.4</v>
      </c>
      <c r="E28" s="57">
        <v>103.15</v>
      </c>
      <c r="F28" s="57">
        <v>115</v>
      </c>
      <c r="G28" s="57">
        <v>71.55</v>
      </c>
      <c r="H28" s="57" t="s">
        <v>75</v>
      </c>
      <c r="I28" s="57">
        <v>83.125</v>
      </c>
    </row>
    <row r="29" spans="1:12" ht="13.8">
      <c r="A29" s="16" t="s">
        <v>48</v>
      </c>
      <c r="B29" s="57">
        <v>87.385000000000005</v>
      </c>
      <c r="C29" s="57">
        <v>119.5625</v>
      </c>
      <c r="D29" s="57">
        <v>113.5</v>
      </c>
      <c r="E29" s="57">
        <v>108.6875</v>
      </c>
      <c r="F29" s="57">
        <v>116.25</v>
      </c>
      <c r="G29" s="57">
        <v>77.802499999999995</v>
      </c>
      <c r="H29" s="57" t="s">
        <v>75</v>
      </c>
      <c r="I29" s="57">
        <v>84.25</v>
      </c>
    </row>
    <row r="30" spans="1:12" ht="13.8">
      <c r="A30" s="16" t="s">
        <v>50</v>
      </c>
      <c r="B30" s="57">
        <v>80.297499999999999</v>
      </c>
      <c r="C30" s="57">
        <v>115.75</v>
      </c>
      <c r="D30" s="57">
        <v>97.75</v>
      </c>
      <c r="E30" s="57">
        <v>102.25</v>
      </c>
      <c r="F30" s="57">
        <v>116.25</v>
      </c>
      <c r="G30" s="57">
        <v>76.375</v>
      </c>
      <c r="H30" s="57" t="s">
        <v>75</v>
      </c>
      <c r="I30" s="57">
        <v>86.5</v>
      </c>
    </row>
    <row r="31" spans="1:12" ht="13.8">
      <c r="A31" s="16" t="s">
        <v>51</v>
      </c>
      <c r="B31" s="57">
        <v>67.74799999999999</v>
      </c>
      <c r="C31" s="57">
        <v>100.8</v>
      </c>
      <c r="D31" s="57">
        <v>78.2</v>
      </c>
      <c r="E31" s="57">
        <v>87.9</v>
      </c>
      <c r="F31" s="57">
        <v>103.2</v>
      </c>
      <c r="G31" s="57">
        <v>62.25</v>
      </c>
      <c r="H31" s="57" t="s">
        <v>75</v>
      </c>
      <c r="I31" s="57">
        <v>81.5</v>
      </c>
    </row>
    <row r="32" spans="1:12" ht="13.8">
      <c r="A32" s="16" t="s">
        <v>52</v>
      </c>
      <c r="B32" s="57">
        <v>72.334999999999994</v>
      </c>
      <c r="C32" s="57">
        <v>113.75</v>
      </c>
      <c r="D32" s="57">
        <v>92</v>
      </c>
      <c r="E32" s="57">
        <v>91.3125</v>
      </c>
      <c r="F32" s="57">
        <v>107.25</v>
      </c>
      <c r="G32" s="57">
        <v>65.4375</v>
      </c>
      <c r="H32" s="57" t="s">
        <v>75</v>
      </c>
      <c r="I32" s="57" t="s">
        <v>75</v>
      </c>
    </row>
    <row r="33" spans="1:12" ht="13.8">
      <c r="A33" s="16" t="s">
        <v>38</v>
      </c>
      <c r="B33" s="57">
        <v>70.626000000000005</v>
      </c>
      <c r="C33" s="57">
        <v>113.2</v>
      </c>
      <c r="D33" s="57">
        <v>88.4</v>
      </c>
      <c r="E33" s="57">
        <v>76.849999999999994</v>
      </c>
      <c r="F33" s="57">
        <v>111.6</v>
      </c>
      <c r="G33" s="57">
        <v>66.263999999999996</v>
      </c>
      <c r="H33" s="57" t="s">
        <v>75</v>
      </c>
      <c r="I33" s="57">
        <v>92</v>
      </c>
      <c r="K33" s="73"/>
      <c r="L33" s="73"/>
    </row>
    <row r="34" spans="1:12" ht="13.8">
      <c r="A34" s="16"/>
      <c r="B34" s="57"/>
      <c r="C34" s="57"/>
      <c r="D34" s="57"/>
      <c r="E34" s="57"/>
      <c r="F34" s="57"/>
      <c r="G34" s="57"/>
      <c r="H34" s="57"/>
      <c r="I34" s="57"/>
      <c r="K34" s="73"/>
      <c r="L34" s="73"/>
    </row>
    <row r="35" spans="1:12" ht="13.8">
      <c r="A35" s="36" t="s">
        <v>54</v>
      </c>
      <c r="B35" s="57"/>
      <c r="C35" s="57"/>
      <c r="D35" s="57"/>
      <c r="E35" s="57"/>
      <c r="F35" s="57"/>
      <c r="G35" s="57"/>
      <c r="H35" s="57"/>
      <c r="I35" s="57"/>
      <c r="K35" s="73"/>
      <c r="L35" s="73"/>
    </row>
    <row r="36" spans="1:12" ht="13.8">
      <c r="A36" s="16" t="s">
        <v>39</v>
      </c>
      <c r="B36" s="57">
        <v>72.67</v>
      </c>
      <c r="C36" s="57">
        <v>110.1875</v>
      </c>
      <c r="D36" s="57">
        <v>93.75</v>
      </c>
      <c r="E36" s="57">
        <v>80.125</v>
      </c>
      <c r="F36" s="57">
        <v>107.75</v>
      </c>
      <c r="G36" s="57">
        <v>65.412499999999994</v>
      </c>
      <c r="H36" s="57">
        <v>88</v>
      </c>
      <c r="I36" s="57">
        <v>88.5</v>
      </c>
      <c r="K36" s="73"/>
      <c r="L36" s="73"/>
    </row>
    <row r="37" spans="1:12" ht="13.8">
      <c r="A37" s="16" t="s">
        <v>40</v>
      </c>
      <c r="B37" s="57">
        <v>79.180000000000007</v>
      </c>
      <c r="C37" s="57">
        <v>116.6875</v>
      </c>
      <c r="D37" s="57">
        <v>106</v>
      </c>
      <c r="E37" s="57">
        <v>84.375</v>
      </c>
      <c r="F37" s="57">
        <v>111</v>
      </c>
      <c r="G37" s="57">
        <v>69.67</v>
      </c>
      <c r="H37" s="57" t="s">
        <v>75</v>
      </c>
      <c r="I37" s="57">
        <v>88.5</v>
      </c>
      <c r="K37" s="73"/>
      <c r="L37" s="73"/>
    </row>
    <row r="38" spans="1:12" ht="13.8">
      <c r="A38" s="16" t="s">
        <v>42</v>
      </c>
      <c r="B38" s="57">
        <v>68.14</v>
      </c>
      <c r="C38" s="57">
        <v>105.1</v>
      </c>
      <c r="D38" s="57">
        <v>92.3</v>
      </c>
      <c r="E38" s="57">
        <v>74.05</v>
      </c>
      <c r="F38" s="57">
        <v>101</v>
      </c>
      <c r="G38" s="57">
        <v>60</v>
      </c>
      <c r="H38" s="57" t="s">
        <v>75</v>
      </c>
      <c r="I38" s="57">
        <v>84</v>
      </c>
      <c r="K38" s="73"/>
      <c r="L38" s="73"/>
    </row>
    <row r="39" spans="1:12" ht="13.8">
      <c r="A39" s="16" t="s">
        <v>43</v>
      </c>
      <c r="B39" s="57">
        <v>66</v>
      </c>
      <c r="C39" s="57">
        <v>102.1875</v>
      </c>
      <c r="D39" s="57">
        <v>85.75</v>
      </c>
      <c r="E39" s="57">
        <v>71.1875</v>
      </c>
      <c r="F39" s="57">
        <v>95.375</v>
      </c>
      <c r="G39" s="57">
        <v>61</v>
      </c>
      <c r="H39" s="57">
        <v>87</v>
      </c>
      <c r="I39" s="57">
        <v>76.125</v>
      </c>
      <c r="K39" s="73"/>
      <c r="L39" s="73"/>
    </row>
    <row r="40" spans="1:12" ht="13.8">
      <c r="A40" s="16" t="s">
        <v>44</v>
      </c>
      <c r="B40" s="57">
        <v>63.242500000000007</v>
      </c>
      <c r="C40" s="57">
        <v>100</v>
      </c>
      <c r="D40" s="57">
        <v>81.25</v>
      </c>
      <c r="E40" s="57">
        <v>68.25</v>
      </c>
      <c r="F40" s="57">
        <v>88</v>
      </c>
      <c r="G40" s="57" t="s">
        <v>75</v>
      </c>
      <c r="H40" s="57" t="s">
        <v>75</v>
      </c>
      <c r="I40" s="57">
        <v>63.95</v>
      </c>
      <c r="K40" s="73"/>
      <c r="L40" s="73"/>
    </row>
    <row r="41" spans="1:12" ht="13.8">
      <c r="A41" s="16" t="s">
        <v>46</v>
      </c>
      <c r="B41" s="57">
        <v>58.83</v>
      </c>
      <c r="C41" s="57">
        <v>96.55</v>
      </c>
      <c r="D41" s="57">
        <v>76.599999999999994</v>
      </c>
      <c r="E41" s="57">
        <v>64.599999999999994</v>
      </c>
      <c r="F41" s="57">
        <v>84.4</v>
      </c>
      <c r="G41" s="57" t="s">
        <v>75</v>
      </c>
      <c r="H41" s="57" t="s">
        <v>75</v>
      </c>
      <c r="I41" s="57">
        <v>66.25</v>
      </c>
      <c r="K41" s="73"/>
      <c r="L41" s="73"/>
    </row>
    <row r="42" spans="1:12" ht="13.8">
      <c r="A42" s="15" t="s">
        <v>47</v>
      </c>
      <c r="B42" s="14">
        <v>55.474999999999994</v>
      </c>
      <c r="C42" s="14">
        <v>92.5625</v>
      </c>
      <c r="D42" s="14">
        <v>73</v>
      </c>
      <c r="E42" s="14">
        <v>62.625</v>
      </c>
      <c r="F42" s="14">
        <v>81.75</v>
      </c>
      <c r="G42" s="14" t="s">
        <v>75</v>
      </c>
      <c r="H42" s="14">
        <v>82</v>
      </c>
      <c r="I42" s="14" t="s">
        <v>75</v>
      </c>
      <c r="K42" s="73"/>
      <c r="L42" s="73"/>
    </row>
    <row r="43" spans="1:12" ht="16.2">
      <c r="A43" s="49" t="s">
        <v>134</v>
      </c>
      <c r="B43" s="71"/>
      <c r="C43" s="71"/>
      <c r="D43" s="71"/>
      <c r="E43" s="71"/>
      <c r="F43" s="71"/>
      <c r="G43" s="71"/>
      <c r="H43" s="71"/>
      <c r="I43" s="71"/>
    </row>
    <row r="44" spans="1:12" ht="16.2">
      <c r="A44" s="16" t="s">
        <v>135</v>
      </c>
      <c r="B44" s="71"/>
      <c r="C44" s="71"/>
      <c r="D44" s="71"/>
      <c r="E44" s="71"/>
      <c r="F44" s="71"/>
      <c r="G44" s="71"/>
      <c r="H44" s="71"/>
      <c r="I44" s="71"/>
    </row>
    <row r="45" spans="1:12" ht="14.4">
      <c r="A45" s="16" t="s">
        <v>184</v>
      </c>
      <c r="B45" s="16"/>
      <c r="C45" s="16"/>
      <c r="D45" s="16"/>
      <c r="E45" s="16"/>
      <c r="F45" s="71"/>
      <c r="G45" s="16"/>
      <c r="H45" s="16"/>
      <c r="I45" s="16"/>
    </row>
    <row r="46" spans="1:12" ht="13.8">
      <c r="A46" s="21" t="s">
        <v>56</v>
      </c>
      <c r="B46" s="43">
        <f>Contents!A16</f>
        <v>45062</v>
      </c>
      <c r="C46" s="16"/>
      <c r="D46" s="16"/>
      <c r="E46" s="16"/>
      <c r="F46" s="16"/>
      <c r="G46" s="16"/>
      <c r="H46" s="16"/>
      <c r="I46" s="16"/>
    </row>
    <row r="47" spans="1:12" ht="15.6">
      <c r="C47" s="72"/>
      <c r="G47" s="72"/>
      <c r="H47" s="72"/>
      <c r="I47" s="72"/>
    </row>
    <row r="48" spans="1:12" ht="15.6">
      <c r="B48" s="73"/>
      <c r="C48" s="73"/>
      <c r="D48" s="73"/>
      <c r="E48" s="73"/>
      <c r="F48" s="73"/>
      <c r="G48" s="73"/>
      <c r="H48" s="72"/>
      <c r="I48" s="72"/>
    </row>
    <row r="49" spans="2:9" ht="15.6">
      <c r="B49" s="110"/>
      <c r="C49" s="110"/>
      <c r="D49" s="110"/>
      <c r="E49" s="110"/>
      <c r="F49" s="110"/>
      <c r="G49" s="110"/>
      <c r="H49" s="72"/>
      <c r="I49" s="72"/>
    </row>
    <row r="50" spans="2:9" ht="15.6">
      <c r="C50" s="72"/>
      <c r="G50" s="72"/>
      <c r="H50" s="72"/>
      <c r="I50" s="72"/>
    </row>
    <row r="51" spans="2:9" ht="15.6">
      <c r="C51" s="72"/>
      <c r="G51" s="72"/>
      <c r="H51" s="72"/>
      <c r="I51" s="72"/>
    </row>
    <row r="52" spans="2:9" ht="15.6">
      <c r="C52" s="72"/>
      <c r="G52" s="72"/>
      <c r="H52" s="72"/>
      <c r="I52" s="72"/>
    </row>
    <row r="53" spans="2:9" ht="15.6">
      <c r="C53" s="72"/>
      <c r="G53" s="72"/>
      <c r="H53" s="72"/>
      <c r="I53" s="72"/>
    </row>
    <row r="54" spans="2:9" ht="15.6">
      <c r="C54" s="72"/>
      <c r="G54" s="72"/>
      <c r="H54" s="72"/>
      <c r="I54" s="72"/>
    </row>
    <row r="55" spans="2:9" ht="15.6">
      <c r="C55" s="72"/>
      <c r="G55" s="72"/>
      <c r="H55" s="72"/>
      <c r="I55" s="72"/>
    </row>
    <row r="56" spans="2:9" ht="15.6">
      <c r="C56" s="72"/>
      <c r="G56" s="72"/>
      <c r="H56" s="72"/>
      <c r="I56" s="72"/>
    </row>
    <row r="57" spans="2:9" ht="15.6">
      <c r="C57" s="72"/>
      <c r="G57" s="72"/>
      <c r="H57" s="72"/>
      <c r="I57" s="72"/>
    </row>
    <row r="58" spans="2:9" ht="15.6">
      <c r="C58" s="72"/>
      <c r="G58" s="72"/>
      <c r="H58" s="72"/>
      <c r="I58" s="72"/>
    </row>
    <row r="59" spans="2:9" ht="15.6">
      <c r="C59" s="72"/>
      <c r="G59" s="72"/>
      <c r="H59" s="72"/>
      <c r="I59" s="72"/>
    </row>
    <row r="60" spans="2:9" ht="15.6">
      <c r="C60" s="72"/>
      <c r="G60" s="72"/>
      <c r="H60" s="72"/>
      <c r="I60" s="72"/>
    </row>
    <row r="61" spans="2:9" ht="15.6">
      <c r="C61" s="72"/>
      <c r="G61" s="72"/>
      <c r="H61" s="72"/>
      <c r="I61" s="72"/>
    </row>
    <row r="62" spans="2:9" ht="15.6">
      <c r="C62" s="72"/>
      <c r="G62" s="72"/>
      <c r="H62" s="72"/>
      <c r="I62" s="72"/>
    </row>
    <row r="63" spans="2:9" ht="15.6">
      <c r="C63" s="72"/>
      <c r="H63" s="72"/>
      <c r="I63" s="72"/>
    </row>
    <row r="64" spans="2:9" ht="15.6">
      <c r="C64" s="72"/>
      <c r="H64" s="72"/>
      <c r="I64" s="72"/>
    </row>
    <row r="65" spans="3:9" ht="15.6">
      <c r="C65" s="72"/>
      <c r="F65" s="73"/>
      <c r="H65" s="72"/>
      <c r="I65" s="72"/>
    </row>
    <row r="66" spans="3:9" ht="15.6">
      <c r="F66" s="73"/>
      <c r="H66" s="72"/>
      <c r="I66" s="72"/>
    </row>
  </sheetData>
  <phoneticPr fontId="28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6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16" t="s">
        <v>93</v>
      </c>
      <c r="B2" s="18" t="s">
        <v>118</v>
      </c>
      <c r="C2" s="74" t="s">
        <v>119</v>
      </c>
      <c r="D2" s="74" t="s">
        <v>120</v>
      </c>
      <c r="E2" s="74" t="s">
        <v>122</v>
      </c>
      <c r="F2" s="18" t="s">
        <v>136</v>
      </c>
      <c r="G2" s="18" t="s">
        <v>137</v>
      </c>
      <c r="AB2" s="75"/>
    </row>
    <row r="3" spans="1:28" ht="15.6" customHeight="1">
      <c r="A3" s="15" t="s">
        <v>100</v>
      </c>
      <c r="B3" s="24" t="s">
        <v>138</v>
      </c>
      <c r="C3" s="24" t="s">
        <v>139</v>
      </c>
      <c r="D3" s="24" t="s">
        <v>140</v>
      </c>
      <c r="E3" s="24" t="s">
        <v>141</v>
      </c>
      <c r="F3" s="24" t="s">
        <v>142</v>
      </c>
      <c r="G3" s="24" t="s">
        <v>143</v>
      </c>
      <c r="AB3" s="75"/>
    </row>
    <row r="4" spans="1:28" ht="14.4">
      <c r="A4" s="67" t="s">
        <v>144</v>
      </c>
      <c r="C4" s="68"/>
      <c r="D4" s="68"/>
      <c r="E4" s="68"/>
      <c r="F4" s="68"/>
      <c r="G4" s="68"/>
      <c r="AB4" s="75"/>
    </row>
    <row r="5" spans="1:28" ht="13.8">
      <c r="A5" s="16"/>
      <c r="B5" s="16"/>
      <c r="C5" s="16"/>
      <c r="D5" s="16"/>
      <c r="E5" s="16"/>
      <c r="F5" s="16"/>
      <c r="G5" s="16"/>
      <c r="AB5" s="75"/>
    </row>
    <row r="6" spans="1:28" ht="13.8">
      <c r="A6" s="16" t="s">
        <v>105</v>
      </c>
      <c r="B6" s="70">
        <v>345.52</v>
      </c>
      <c r="C6" s="70">
        <v>273.83999999999997</v>
      </c>
      <c r="D6" s="70">
        <v>219.72</v>
      </c>
      <c r="E6" s="61" t="s">
        <v>75</v>
      </c>
      <c r="F6" s="70">
        <v>263.63</v>
      </c>
      <c r="G6" s="70">
        <v>240.65</v>
      </c>
      <c r="AB6" s="75"/>
    </row>
    <row r="7" spans="1:28" ht="13.8">
      <c r="A7" s="16" t="s">
        <v>106</v>
      </c>
      <c r="B7" s="70">
        <v>393.53</v>
      </c>
      <c r="C7" s="70">
        <v>275.13</v>
      </c>
      <c r="D7" s="70">
        <v>246.75</v>
      </c>
      <c r="E7" s="61" t="s">
        <v>75</v>
      </c>
      <c r="F7" s="70">
        <v>307.58999999999997</v>
      </c>
      <c r="G7" s="70">
        <v>265.68</v>
      </c>
      <c r="AB7" s="75"/>
    </row>
    <row r="8" spans="1:28" ht="13.8">
      <c r="A8" s="16" t="s">
        <v>107</v>
      </c>
      <c r="B8" s="70">
        <v>468.11</v>
      </c>
      <c r="C8" s="70">
        <v>331.52</v>
      </c>
      <c r="D8" s="70">
        <v>241.57</v>
      </c>
      <c r="E8" s="61" t="s">
        <v>75</v>
      </c>
      <c r="F8" s="70">
        <v>354.22</v>
      </c>
      <c r="G8" s="70">
        <v>329.31</v>
      </c>
      <c r="AB8" s="75"/>
    </row>
    <row r="9" spans="1:28" ht="13.8">
      <c r="A9" s="16" t="s">
        <v>108</v>
      </c>
      <c r="B9" s="70">
        <v>489.94</v>
      </c>
      <c r="C9" s="70">
        <v>377.71</v>
      </c>
      <c r="D9" s="70">
        <v>238.87</v>
      </c>
      <c r="E9" s="61" t="s">
        <v>75</v>
      </c>
      <c r="F9" s="70">
        <v>359.7</v>
      </c>
      <c r="G9" s="70">
        <v>337.23</v>
      </c>
      <c r="AB9" s="75"/>
    </row>
    <row r="10" spans="1:28" ht="13.8">
      <c r="A10" s="16" t="s">
        <v>109</v>
      </c>
      <c r="B10" s="70">
        <v>368.49</v>
      </c>
      <c r="C10" s="70">
        <v>304.27</v>
      </c>
      <c r="D10" s="70">
        <v>209.97</v>
      </c>
      <c r="E10" s="61" t="s">
        <v>75</v>
      </c>
      <c r="F10" s="70">
        <v>301.2</v>
      </c>
      <c r="G10" s="70">
        <v>256.58</v>
      </c>
      <c r="AB10" s="75"/>
    </row>
    <row r="11" spans="1:28" ht="13.8">
      <c r="A11" s="16" t="s">
        <v>110</v>
      </c>
      <c r="B11" s="70">
        <v>324.56</v>
      </c>
      <c r="C11" s="70">
        <v>261.19</v>
      </c>
      <c r="D11" s="70">
        <v>153.16999999999999</v>
      </c>
      <c r="E11" s="61" t="s">
        <v>75</v>
      </c>
      <c r="F11" s="70">
        <v>262.2</v>
      </c>
      <c r="G11" s="70">
        <v>260.23</v>
      </c>
      <c r="AB11" s="75"/>
    </row>
    <row r="12" spans="1:28" ht="13.8">
      <c r="A12" s="16" t="s">
        <v>111</v>
      </c>
      <c r="B12" s="70">
        <v>316.88</v>
      </c>
      <c r="C12" s="70">
        <v>208.61</v>
      </c>
      <c r="D12" s="70">
        <v>145.1</v>
      </c>
      <c r="E12" s="61" t="s">
        <v>75</v>
      </c>
      <c r="F12" s="70">
        <v>267.94</v>
      </c>
      <c r="G12" s="70">
        <v>282.49</v>
      </c>
      <c r="AB12" s="75"/>
    </row>
    <row r="13" spans="1:28" ht="13.8">
      <c r="A13" s="16" t="s">
        <v>112</v>
      </c>
      <c r="B13" s="70">
        <v>345.02</v>
      </c>
      <c r="C13" s="70">
        <v>260.88</v>
      </c>
      <c r="D13" s="70">
        <v>173.53</v>
      </c>
      <c r="E13" s="61" t="s">
        <v>75</v>
      </c>
      <c r="F13" s="70">
        <v>291.14999999999998</v>
      </c>
      <c r="G13" s="70">
        <v>239.15</v>
      </c>
    </row>
    <row r="14" spans="1:28" ht="13.8">
      <c r="A14" s="16" t="s">
        <v>113</v>
      </c>
      <c r="B14" s="70">
        <v>308.27999999999997</v>
      </c>
      <c r="C14" s="70">
        <v>228.64</v>
      </c>
      <c r="D14" s="70">
        <v>164.16</v>
      </c>
      <c r="E14" s="61" t="s">
        <v>75</v>
      </c>
      <c r="F14" s="70">
        <v>272.38</v>
      </c>
      <c r="G14" s="70">
        <v>225.77</v>
      </c>
    </row>
    <row r="15" spans="1:28" ht="13.8">
      <c r="A15" s="16" t="s">
        <v>114</v>
      </c>
      <c r="B15" s="70">
        <v>299.5</v>
      </c>
      <c r="C15" s="70">
        <v>247.04</v>
      </c>
      <c r="D15" s="70">
        <v>187.7</v>
      </c>
      <c r="E15" s="61" t="s">
        <v>75</v>
      </c>
      <c r="F15" s="70">
        <v>273.99</v>
      </c>
      <c r="G15" s="70">
        <v>245.88</v>
      </c>
    </row>
    <row r="16" spans="1:28" ht="13.8">
      <c r="A16" s="16" t="s">
        <v>34</v>
      </c>
      <c r="B16" s="70">
        <v>392.31</v>
      </c>
      <c r="C16" s="70">
        <v>375.51</v>
      </c>
      <c r="D16" s="122">
        <v>246.22</v>
      </c>
      <c r="E16" s="61" t="s">
        <v>75</v>
      </c>
      <c r="F16" s="70">
        <v>351.87</v>
      </c>
      <c r="G16" s="70">
        <v>288.12</v>
      </c>
    </row>
    <row r="17" spans="1:13" ht="13.8">
      <c r="A17" s="16" t="s">
        <v>37</v>
      </c>
      <c r="B17" s="70">
        <v>439.81</v>
      </c>
      <c r="C17" s="70">
        <v>355.33</v>
      </c>
      <c r="D17" s="70">
        <v>279.98</v>
      </c>
      <c r="E17" s="61" t="s">
        <v>75</v>
      </c>
      <c r="F17" s="70">
        <v>439.1</v>
      </c>
      <c r="G17" s="70">
        <v>332.21</v>
      </c>
    </row>
    <row r="18" spans="1:13" ht="16.2">
      <c r="A18" s="16" t="s">
        <v>133</v>
      </c>
      <c r="B18" s="70">
        <v>455</v>
      </c>
      <c r="C18" s="70">
        <v>385</v>
      </c>
      <c r="D18" s="70">
        <v>285</v>
      </c>
      <c r="E18" s="61" t="s">
        <v>75</v>
      </c>
      <c r="F18" s="70">
        <v>430</v>
      </c>
      <c r="G18" s="122">
        <v>380</v>
      </c>
      <c r="I18" s="73"/>
    </row>
    <row r="19" spans="1:13" ht="16.2">
      <c r="A19" s="16" t="s">
        <v>190</v>
      </c>
      <c r="B19" s="70">
        <v>365</v>
      </c>
      <c r="C19" s="70">
        <v>334</v>
      </c>
      <c r="D19" s="70">
        <v>215</v>
      </c>
      <c r="E19" s="61" t="s">
        <v>75</v>
      </c>
      <c r="F19" s="70">
        <v>335</v>
      </c>
      <c r="G19" s="122">
        <v>265</v>
      </c>
      <c r="I19" s="73"/>
    </row>
    <row r="20" spans="1:13" ht="13.8">
      <c r="A20" s="16"/>
      <c r="B20" s="70"/>
      <c r="C20" s="70"/>
      <c r="D20" s="70"/>
      <c r="E20" s="61"/>
      <c r="F20" s="70"/>
      <c r="G20" s="70"/>
      <c r="I20" s="76"/>
      <c r="J20" s="77"/>
      <c r="K20" s="77"/>
      <c r="L20" s="77"/>
      <c r="M20" s="77"/>
    </row>
    <row r="21" spans="1:13" ht="13.8">
      <c r="A21" s="36" t="s">
        <v>37</v>
      </c>
      <c r="B21" s="70"/>
      <c r="C21" s="70"/>
      <c r="D21" s="70"/>
      <c r="E21" s="57"/>
      <c r="F21" s="70"/>
      <c r="G21" s="70"/>
      <c r="H21" s="57"/>
    </row>
    <row r="22" spans="1:13" ht="13.8">
      <c r="A22" s="16" t="s">
        <v>39</v>
      </c>
      <c r="B22" s="70">
        <v>325.43</v>
      </c>
      <c r="C22" s="70">
        <v>298.75</v>
      </c>
      <c r="D22" s="70">
        <v>222.5</v>
      </c>
      <c r="E22" s="61" t="s">
        <v>75</v>
      </c>
      <c r="F22" s="70">
        <v>322.82499999999999</v>
      </c>
      <c r="G22" s="70">
        <v>265.625</v>
      </c>
      <c r="H22" s="57"/>
      <c r="I22" s="73"/>
    </row>
    <row r="23" spans="1:13" ht="13.8">
      <c r="A23" s="16" t="s">
        <v>40</v>
      </c>
      <c r="B23" s="70">
        <v>358.73</v>
      </c>
      <c r="C23" s="70">
        <v>304.5</v>
      </c>
      <c r="D23" s="70">
        <v>256.5</v>
      </c>
      <c r="E23" s="61" t="s">
        <v>75</v>
      </c>
      <c r="F23" s="70">
        <v>350.21999999999997</v>
      </c>
      <c r="G23" s="70">
        <v>252</v>
      </c>
      <c r="H23" s="57"/>
      <c r="I23" s="73"/>
    </row>
    <row r="24" spans="1:13" ht="13.8">
      <c r="A24" s="16" t="s">
        <v>42</v>
      </c>
      <c r="B24" s="70">
        <v>399.53</v>
      </c>
      <c r="C24" s="70">
        <v>311.25</v>
      </c>
      <c r="D24" s="70">
        <v>289.16666666666669</v>
      </c>
      <c r="E24" s="61" t="s">
        <v>75</v>
      </c>
      <c r="F24" s="70">
        <v>382.9666666666667</v>
      </c>
      <c r="G24" s="70">
        <v>309.16666666666669</v>
      </c>
      <c r="H24" s="57"/>
      <c r="I24" s="73"/>
    </row>
    <row r="25" spans="1:13" ht="13.8">
      <c r="A25" s="16" t="s">
        <v>145</v>
      </c>
      <c r="B25" s="70">
        <v>421.21</v>
      </c>
      <c r="C25" s="70">
        <v>318.125</v>
      </c>
      <c r="D25" s="70">
        <v>301.25</v>
      </c>
      <c r="E25" s="61" t="s">
        <v>75</v>
      </c>
      <c r="F25" s="70">
        <v>410.875</v>
      </c>
      <c r="G25" s="70">
        <v>326.25</v>
      </c>
      <c r="H25" s="57"/>
      <c r="I25" s="73"/>
    </row>
    <row r="26" spans="1:13" ht="13.8">
      <c r="A26" s="16" t="s">
        <v>44</v>
      </c>
      <c r="B26" s="122">
        <v>460.45</v>
      </c>
      <c r="C26" s="70">
        <v>333.75</v>
      </c>
      <c r="D26" s="70">
        <v>320</v>
      </c>
      <c r="E26" s="61" t="s">
        <v>75</v>
      </c>
      <c r="F26" s="70">
        <v>454.625</v>
      </c>
      <c r="G26" s="70">
        <v>350</v>
      </c>
      <c r="H26" s="57"/>
      <c r="I26" s="73"/>
    </row>
    <row r="27" spans="1:13" ht="13.8">
      <c r="A27" s="16" t="s">
        <v>46</v>
      </c>
      <c r="B27" s="122">
        <v>493.97500000000002</v>
      </c>
      <c r="C27" s="70">
        <v>345.625</v>
      </c>
      <c r="D27" s="70">
        <v>333.33300000000003</v>
      </c>
      <c r="E27" s="61" t="s">
        <v>75</v>
      </c>
      <c r="F27" s="70">
        <v>487.03750000000002</v>
      </c>
      <c r="G27" s="70">
        <v>392.5</v>
      </c>
      <c r="H27" s="57"/>
      <c r="I27" s="73"/>
    </row>
    <row r="28" spans="1:13" ht="13.8">
      <c r="A28" s="16" t="s">
        <v>47</v>
      </c>
      <c r="B28" s="122">
        <v>475.35999999999996</v>
      </c>
      <c r="C28" s="70">
        <v>355</v>
      </c>
      <c r="D28" s="70">
        <v>321</v>
      </c>
      <c r="E28" s="61" t="s">
        <v>75</v>
      </c>
      <c r="F28" s="70">
        <v>470.77999999999992</v>
      </c>
      <c r="G28" s="70">
        <v>386</v>
      </c>
      <c r="H28" s="57"/>
      <c r="I28" s="73"/>
    </row>
    <row r="29" spans="1:13" ht="13.8">
      <c r="A29" s="16" t="s">
        <v>48</v>
      </c>
      <c r="B29" s="122">
        <v>441.27499999999998</v>
      </c>
      <c r="C29" s="70">
        <v>388.75</v>
      </c>
      <c r="D29" s="70">
        <v>285.625</v>
      </c>
      <c r="E29" s="61" t="s">
        <v>75</v>
      </c>
      <c r="F29" s="70">
        <v>454.5</v>
      </c>
      <c r="G29" s="70">
        <v>351.25</v>
      </c>
      <c r="H29" s="57"/>
      <c r="I29" s="73"/>
    </row>
    <row r="30" spans="1:13" ht="13.8">
      <c r="A30" s="16" t="s">
        <v>50</v>
      </c>
      <c r="B30" s="122">
        <v>445.92499999999995</v>
      </c>
      <c r="C30" s="70">
        <v>383.75</v>
      </c>
      <c r="D30" s="70">
        <v>281.875</v>
      </c>
      <c r="E30" s="61" t="s">
        <v>75</v>
      </c>
      <c r="F30" s="70">
        <v>478.17499999999995</v>
      </c>
      <c r="G30" s="70">
        <v>322.5</v>
      </c>
      <c r="H30" s="57"/>
      <c r="I30" s="73"/>
    </row>
    <row r="31" spans="1:13" ht="13.8">
      <c r="A31" s="16" t="s">
        <v>51</v>
      </c>
      <c r="B31" s="122">
        <v>467.87</v>
      </c>
      <c r="C31" s="70">
        <v>369.5</v>
      </c>
      <c r="D31" s="70">
        <v>268.5</v>
      </c>
      <c r="E31" s="61" t="s">
        <v>75</v>
      </c>
      <c r="F31" s="70">
        <v>501.17999999999995</v>
      </c>
      <c r="G31" s="70">
        <v>351.5</v>
      </c>
      <c r="H31" s="57"/>
      <c r="I31" s="73"/>
    </row>
    <row r="32" spans="1:13" ht="13.8">
      <c r="A32" s="16" t="s">
        <v>52</v>
      </c>
      <c r="B32" s="122">
        <v>510.90000000000009</v>
      </c>
      <c r="C32" s="70">
        <v>405</v>
      </c>
      <c r="D32" s="70">
        <v>255</v>
      </c>
      <c r="E32" s="61" t="s">
        <v>75</v>
      </c>
      <c r="F32" s="70">
        <v>521.52500000000009</v>
      </c>
      <c r="G32" s="70">
        <v>347.5</v>
      </c>
      <c r="H32" s="57"/>
      <c r="I32" s="73"/>
    </row>
    <row r="33" spans="1:10" ht="13.8">
      <c r="A33" s="16" t="s">
        <v>38</v>
      </c>
      <c r="B33" s="122">
        <v>473.93999999999994</v>
      </c>
      <c r="C33" s="70">
        <v>450</v>
      </c>
      <c r="D33" s="70">
        <v>225</v>
      </c>
      <c r="E33" s="61" t="s">
        <v>75</v>
      </c>
      <c r="F33" s="70">
        <v>434.53999999999996</v>
      </c>
      <c r="G33" s="70" t="s">
        <v>75</v>
      </c>
      <c r="H33" s="57"/>
    </row>
    <row r="34" spans="1:10" ht="13.8">
      <c r="A34" s="16"/>
      <c r="B34" s="122"/>
      <c r="C34" s="70"/>
      <c r="D34" s="70"/>
      <c r="E34" s="61"/>
      <c r="F34" s="70"/>
      <c r="G34" s="70"/>
      <c r="H34" s="57"/>
    </row>
    <row r="35" spans="1:10" ht="13.8">
      <c r="A35" s="36" t="s">
        <v>54</v>
      </c>
      <c r="B35" s="122"/>
      <c r="C35" s="70"/>
      <c r="D35" s="70"/>
      <c r="E35" s="61"/>
      <c r="F35" s="70"/>
      <c r="G35" s="70"/>
      <c r="H35" s="57"/>
    </row>
    <row r="36" spans="1:10" ht="13.8">
      <c r="A36" s="16" t="s">
        <v>39</v>
      </c>
      <c r="B36" s="122">
        <v>468.67499999999995</v>
      </c>
      <c r="C36" s="70">
        <v>451.875</v>
      </c>
      <c r="D36" s="70" t="s">
        <v>75</v>
      </c>
      <c r="E36" s="61" t="s">
        <v>75</v>
      </c>
      <c r="F36" s="70">
        <v>409.17499999999995</v>
      </c>
      <c r="G36" s="70" t="s">
        <v>75</v>
      </c>
      <c r="H36" s="57"/>
    </row>
    <row r="37" spans="1:10" ht="13.8">
      <c r="A37" s="16" t="s">
        <v>40</v>
      </c>
      <c r="B37" s="122">
        <v>436.74999999999994</v>
      </c>
      <c r="C37" s="70">
        <v>405</v>
      </c>
      <c r="D37" s="70" t="s">
        <v>75</v>
      </c>
      <c r="E37" s="61" t="s">
        <v>75</v>
      </c>
      <c r="F37" s="70">
        <v>402.99999999999994</v>
      </c>
      <c r="G37" s="70">
        <v>357.5</v>
      </c>
      <c r="H37" s="57"/>
      <c r="I37" s="73"/>
    </row>
    <row r="38" spans="1:10" ht="13.8">
      <c r="A38" s="16" t="s">
        <v>42</v>
      </c>
      <c r="B38" s="122">
        <v>462.85</v>
      </c>
      <c r="C38" s="70">
        <v>390.625</v>
      </c>
      <c r="D38" s="70">
        <v>200</v>
      </c>
      <c r="E38" s="61" t="s">
        <v>75</v>
      </c>
      <c r="F38" s="70">
        <v>437.09999999999997</v>
      </c>
      <c r="G38" s="70">
        <v>368.5</v>
      </c>
      <c r="H38" s="57"/>
      <c r="I38" s="73"/>
    </row>
    <row r="39" spans="1:10" ht="13.8">
      <c r="A39" s="16" t="s">
        <v>43</v>
      </c>
      <c r="B39" s="122">
        <v>482.40000000000003</v>
      </c>
      <c r="C39" s="70">
        <v>386.25</v>
      </c>
      <c r="D39" s="70">
        <v>355</v>
      </c>
      <c r="E39" s="61" t="s">
        <v>75</v>
      </c>
      <c r="F39" s="70">
        <v>474.02500000000003</v>
      </c>
      <c r="G39" s="70">
        <v>397.5</v>
      </c>
      <c r="I39" s="73"/>
    </row>
    <row r="40" spans="1:10" ht="13.8">
      <c r="A40" s="16" t="s">
        <v>44</v>
      </c>
      <c r="B40" s="122">
        <v>500.52499999999998</v>
      </c>
      <c r="C40" s="70">
        <v>392.5</v>
      </c>
      <c r="D40" s="70">
        <v>336.25</v>
      </c>
      <c r="E40" s="61" t="s">
        <v>75</v>
      </c>
      <c r="F40" s="70">
        <v>501.02499999999998</v>
      </c>
      <c r="G40" s="70">
        <v>412.5</v>
      </c>
      <c r="I40" s="73"/>
    </row>
    <row r="41" spans="1:10" ht="13.8">
      <c r="A41" s="16" t="s">
        <v>46</v>
      </c>
      <c r="B41" s="122">
        <v>484.4</v>
      </c>
      <c r="C41" s="70">
        <v>386.25</v>
      </c>
      <c r="D41" s="70">
        <v>308</v>
      </c>
      <c r="E41" s="61" t="s">
        <v>75</v>
      </c>
      <c r="F41" s="70">
        <v>466.6</v>
      </c>
      <c r="G41" s="70">
        <v>380.4</v>
      </c>
      <c r="I41" s="73"/>
    </row>
    <row r="42" spans="1:10" ht="13.8">
      <c r="A42" s="15" t="s">
        <v>47</v>
      </c>
      <c r="B42" s="123">
        <v>457.25</v>
      </c>
      <c r="C42" s="121">
        <v>364.375</v>
      </c>
      <c r="D42" s="121">
        <v>252.5</v>
      </c>
      <c r="E42" s="103" t="s">
        <v>75</v>
      </c>
      <c r="F42" s="121">
        <v>434.75</v>
      </c>
      <c r="G42" s="121">
        <v>352.5</v>
      </c>
      <c r="I42" s="73"/>
    </row>
    <row r="43" spans="1:10" ht="16.2">
      <c r="A43" s="49" t="s">
        <v>146</v>
      </c>
      <c r="B43" s="78"/>
      <c r="C43" s="78"/>
      <c r="D43" s="78"/>
      <c r="E43" s="78"/>
      <c r="F43" s="78"/>
      <c r="G43" s="78"/>
      <c r="I43" s="76"/>
    </row>
    <row r="44" spans="1:10" ht="16.2">
      <c r="A44" s="49" t="s">
        <v>147</v>
      </c>
      <c r="B44" s="79"/>
      <c r="C44" s="79"/>
      <c r="D44" s="79"/>
      <c r="E44" s="79"/>
      <c r="F44" s="79"/>
      <c r="G44" s="79"/>
      <c r="I44" s="76"/>
      <c r="J44" s="76"/>
    </row>
    <row r="45" spans="1:10" ht="14.4">
      <c r="A45" s="16" t="s">
        <v>185</v>
      </c>
      <c r="B45" s="16"/>
      <c r="C45" s="16"/>
      <c r="D45" s="16"/>
      <c r="E45" s="16"/>
      <c r="F45" s="79"/>
      <c r="G45" s="79"/>
      <c r="I45" s="76"/>
      <c r="J45" s="76"/>
    </row>
    <row r="46" spans="1:10" ht="13.8">
      <c r="A46" s="21" t="s">
        <v>56</v>
      </c>
      <c r="B46" s="43">
        <f>Contents!A16</f>
        <v>45062</v>
      </c>
      <c r="C46" s="16"/>
      <c r="D46" s="16"/>
      <c r="E46" s="16"/>
      <c r="F46" s="79"/>
      <c r="G46" s="79"/>
      <c r="I46" s="80"/>
      <c r="J46" s="80"/>
    </row>
    <row r="47" spans="1:10" ht="13.8">
      <c r="F47" s="79"/>
      <c r="G47" s="79"/>
      <c r="I47" s="80"/>
      <c r="J47" s="80"/>
    </row>
    <row r="48" spans="1:10" ht="13.8">
      <c r="F48" s="79"/>
      <c r="G48" s="79"/>
      <c r="I48" s="76"/>
      <c r="J48" s="76"/>
    </row>
    <row r="49" spans="2:10">
      <c r="B49" s="73"/>
      <c r="I49" s="76"/>
      <c r="J49" s="76"/>
    </row>
    <row r="50" spans="2:10">
      <c r="I50" s="76"/>
      <c r="J50" s="76"/>
    </row>
    <row r="51" spans="2:10">
      <c r="I51" s="76"/>
      <c r="J51" s="76"/>
    </row>
    <row r="52" spans="2:10">
      <c r="I52" s="76"/>
      <c r="J52" s="76"/>
    </row>
    <row r="53" spans="2:10">
      <c r="I53" s="76"/>
      <c r="J53" s="76"/>
    </row>
    <row r="55" spans="2:10">
      <c r="I55" s="81"/>
      <c r="J55" s="81"/>
    </row>
    <row r="56" spans="2:10">
      <c r="I56" s="81"/>
      <c r="J56" s="81"/>
    </row>
  </sheetData>
  <phoneticPr fontId="28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B4A8-D2E6-435C-A08F-663738F5C381}">
  <dimension ref="A1:H28"/>
  <sheetViews>
    <sheetView zoomScaleNormal="100" workbookViewId="0">
      <selection activeCell="H13" sqref="H13"/>
    </sheetView>
  </sheetViews>
  <sheetFormatPr defaultColWidth="9.109375" defaultRowHeight="13.2"/>
  <cols>
    <col min="1" max="1" width="12.6640625" style="113" bestFit="1" customWidth="1"/>
    <col min="2" max="2" width="12.88671875" style="113" customWidth="1"/>
    <col min="3" max="3" width="11.5546875" style="113" customWidth="1"/>
    <col min="4" max="4" width="12.6640625" style="113" customWidth="1"/>
    <col min="5" max="5" width="10.6640625" style="113" bestFit="1" customWidth="1"/>
    <col min="6" max="6" width="10.6640625" style="113" customWidth="1"/>
    <col min="8" max="16384" width="9.109375" style="113"/>
  </cols>
  <sheetData>
    <row r="1" spans="1:8" ht="26.4">
      <c r="A1" s="119" t="s">
        <v>148</v>
      </c>
      <c r="B1" s="119" t="s">
        <v>193</v>
      </c>
      <c r="C1" s="119" t="s">
        <v>194</v>
      </c>
      <c r="D1" s="119" t="s">
        <v>192</v>
      </c>
      <c r="E1" s="119" t="s">
        <v>186</v>
      </c>
      <c r="F1" s="119" t="s">
        <v>195</v>
      </c>
    </row>
    <row r="2" spans="1:8">
      <c r="A2" s="126" t="s">
        <v>106</v>
      </c>
      <c r="B2" s="154">
        <v>66.5</v>
      </c>
      <c r="C2" s="154">
        <v>84.290999999999997</v>
      </c>
      <c r="D2" s="127">
        <v>40.1</v>
      </c>
      <c r="E2" s="155">
        <v>50.134</v>
      </c>
      <c r="F2" s="154">
        <v>241.02500000000001</v>
      </c>
      <c r="G2" s="114"/>
      <c r="H2" s="141"/>
    </row>
    <row r="3" spans="1:8">
      <c r="A3" s="126" t="s">
        <v>107</v>
      </c>
      <c r="B3" s="154">
        <v>82</v>
      </c>
      <c r="C3" s="154">
        <v>82.790999999999997</v>
      </c>
      <c r="D3" s="127">
        <v>49.3</v>
      </c>
      <c r="E3" s="155">
        <v>54.731999999999999</v>
      </c>
      <c r="F3" s="154">
        <v>268.82299999999998</v>
      </c>
      <c r="G3" s="114"/>
      <c r="H3" s="141"/>
    </row>
    <row r="4" spans="1:8">
      <c r="A4" s="126" t="s">
        <v>108</v>
      </c>
      <c r="B4" s="154">
        <v>86.2</v>
      </c>
      <c r="C4" s="154">
        <v>91.363</v>
      </c>
      <c r="D4" s="127">
        <v>53.4</v>
      </c>
      <c r="E4" s="155">
        <v>52.276000000000003</v>
      </c>
      <c r="F4" s="154">
        <v>283.23899999999998</v>
      </c>
      <c r="G4" s="114"/>
      <c r="H4" s="141"/>
    </row>
    <row r="5" spans="1:8">
      <c r="A5" s="126" t="s">
        <v>109</v>
      </c>
      <c r="B5" s="154">
        <v>97.1</v>
      </c>
      <c r="C5" s="154">
        <v>106.905</v>
      </c>
      <c r="D5" s="127">
        <v>61.45</v>
      </c>
      <c r="E5" s="155">
        <v>55.793000000000006</v>
      </c>
      <c r="F5" s="154">
        <v>321.24799999999999</v>
      </c>
      <c r="G5" s="114"/>
      <c r="H5" s="141"/>
    </row>
    <row r="6" spans="1:8">
      <c r="A6" s="126" t="s">
        <v>110</v>
      </c>
      <c r="B6" s="154">
        <v>95.7</v>
      </c>
      <c r="C6" s="154">
        <v>106.869</v>
      </c>
      <c r="D6" s="127">
        <v>58.8</v>
      </c>
      <c r="E6" s="155">
        <v>54.463999999999999</v>
      </c>
      <c r="F6" s="154">
        <v>315.83300000000003</v>
      </c>
      <c r="G6" s="114"/>
      <c r="H6" s="141"/>
    </row>
    <row r="7" spans="1:8">
      <c r="A7" s="120" t="s">
        <v>111</v>
      </c>
      <c r="B7" s="154">
        <v>114.9</v>
      </c>
      <c r="C7" s="154">
        <v>116.931</v>
      </c>
      <c r="D7" s="127">
        <v>55</v>
      </c>
      <c r="E7" s="155">
        <v>63.727000000000004</v>
      </c>
      <c r="F7" s="154">
        <v>350.55799999999999</v>
      </c>
      <c r="G7" s="114"/>
      <c r="H7" s="141"/>
    </row>
    <row r="8" spans="1:8">
      <c r="A8" s="120" t="s">
        <v>112</v>
      </c>
      <c r="B8" s="154">
        <v>123.4</v>
      </c>
      <c r="C8" s="154">
        <v>120.065</v>
      </c>
      <c r="D8" s="127">
        <v>37.799999999999997</v>
      </c>
      <c r="E8" s="155">
        <v>62.210999999999999</v>
      </c>
      <c r="F8" s="154">
        <v>343.476</v>
      </c>
      <c r="G8" s="114"/>
      <c r="H8" s="141"/>
    </row>
    <row r="9" spans="1:8">
      <c r="A9" s="120" t="s">
        <v>113</v>
      </c>
      <c r="B9" s="154">
        <v>120.5</v>
      </c>
      <c r="C9" s="154">
        <v>120.515</v>
      </c>
      <c r="D9" s="127">
        <v>55.3</v>
      </c>
      <c r="E9" s="155">
        <v>66.7</v>
      </c>
      <c r="F9" s="154">
        <v>363.01499999999999</v>
      </c>
      <c r="G9" s="114"/>
      <c r="H9" s="141"/>
    </row>
    <row r="10" spans="1:8">
      <c r="A10" s="120" t="s">
        <v>114</v>
      </c>
      <c r="B10" s="154">
        <v>128.5</v>
      </c>
      <c r="C10" s="154">
        <v>96.667000000000002</v>
      </c>
      <c r="D10" s="127">
        <v>48.8</v>
      </c>
      <c r="E10" s="155">
        <v>66.929000000000002</v>
      </c>
      <c r="F10" s="154">
        <v>340.89600000000002</v>
      </c>
      <c r="G10" s="114"/>
      <c r="H10" s="141"/>
    </row>
    <row r="11" spans="1:8">
      <c r="A11" s="120" t="s">
        <v>34</v>
      </c>
      <c r="B11" s="154">
        <v>139.5</v>
      </c>
      <c r="C11" s="154">
        <v>114.749</v>
      </c>
      <c r="D11" s="127">
        <v>46.2</v>
      </c>
      <c r="E11" s="155">
        <v>68.147000000000006</v>
      </c>
      <c r="F11" s="154">
        <v>368.596</v>
      </c>
      <c r="G11" s="114"/>
      <c r="H11" s="141"/>
    </row>
    <row r="12" spans="1:8">
      <c r="A12" s="117" t="s">
        <v>37</v>
      </c>
      <c r="B12" s="154">
        <v>130.5</v>
      </c>
      <c r="C12" s="154">
        <v>121.52800000000001</v>
      </c>
      <c r="D12" s="127">
        <v>43.9</v>
      </c>
      <c r="E12" s="155">
        <v>63.917999999999999</v>
      </c>
      <c r="F12" s="154">
        <v>359.846</v>
      </c>
      <c r="G12" s="114"/>
      <c r="H12" s="141"/>
    </row>
    <row r="13" spans="1:8">
      <c r="A13" s="117" t="s">
        <v>196</v>
      </c>
      <c r="B13" s="154">
        <v>155</v>
      </c>
      <c r="C13" s="154">
        <v>116.377</v>
      </c>
      <c r="D13" s="127">
        <v>27</v>
      </c>
      <c r="E13" s="155">
        <v>72.043999999999997</v>
      </c>
      <c r="F13" s="154">
        <v>370.42099999999999</v>
      </c>
      <c r="G13" s="114"/>
      <c r="H13" s="141"/>
    </row>
    <row r="14" spans="1:8">
      <c r="A14" s="117" t="s">
        <v>150</v>
      </c>
      <c r="B14" s="154">
        <v>163</v>
      </c>
      <c r="C14" s="155">
        <v>122.742</v>
      </c>
      <c r="D14" s="155">
        <v>48</v>
      </c>
      <c r="E14" s="155">
        <v>76.843000000000004</v>
      </c>
      <c r="F14" s="155">
        <v>410.58499999999998</v>
      </c>
      <c r="G14" s="114"/>
    </row>
    <row r="15" spans="1:8">
      <c r="B15" s="139"/>
      <c r="C15" s="139"/>
      <c r="E15" s="139"/>
      <c r="F15" s="139"/>
    </row>
    <row r="16" spans="1:8">
      <c r="B16" s="139"/>
      <c r="C16" s="139"/>
      <c r="D16" s="139"/>
      <c r="E16" s="139"/>
      <c r="F16" s="139"/>
    </row>
    <row r="17" spans="2:6">
      <c r="B17" s="139"/>
      <c r="C17" s="139"/>
      <c r="D17" s="139"/>
      <c r="E17" s="139"/>
      <c r="F17" s="139"/>
    </row>
    <row r="18" spans="2:6">
      <c r="B18" s="139"/>
      <c r="C18" s="139"/>
      <c r="D18" s="139"/>
      <c r="E18" s="139"/>
      <c r="F18" s="139"/>
    </row>
    <row r="19" spans="2:6">
      <c r="B19" s="139"/>
      <c r="C19" s="139"/>
      <c r="D19" s="139"/>
      <c r="E19" s="139"/>
      <c r="F19" s="139"/>
    </row>
    <row r="20" spans="2:6">
      <c r="B20" s="139"/>
      <c r="C20" s="139"/>
      <c r="D20" s="139"/>
      <c r="E20" s="139"/>
      <c r="F20" s="139"/>
    </row>
    <row r="21" spans="2:6">
      <c r="B21" s="139"/>
      <c r="C21" s="139"/>
      <c r="D21" s="139"/>
      <c r="E21" s="139"/>
      <c r="F21" s="139"/>
    </row>
    <row r="22" spans="2:6">
      <c r="B22" s="139"/>
      <c r="C22" s="139"/>
      <c r="D22" s="139"/>
      <c r="E22" s="139"/>
      <c r="F22" s="139"/>
    </row>
    <row r="23" spans="2:6">
      <c r="B23" s="139"/>
      <c r="C23" s="139"/>
      <c r="D23" s="139"/>
      <c r="E23" s="139"/>
      <c r="F23" s="139"/>
    </row>
    <row r="24" spans="2:6">
      <c r="B24" s="139"/>
      <c r="C24" s="139"/>
      <c r="D24" s="139"/>
      <c r="E24" s="139"/>
      <c r="F24" s="139"/>
    </row>
    <row r="25" spans="2:6">
      <c r="B25" s="139"/>
      <c r="C25" s="139"/>
      <c r="D25" s="139"/>
      <c r="E25" s="139"/>
      <c r="F25" s="139"/>
    </row>
    <row r="26" spans="2:6">
      <c r="B26" s="139"/>
      <c r="C26" s="139"/>
      <c r="D26" s="139"/>
      <c r="E26" s="139"/>
      <c r="F26" s="139"/>
    </row>
    <row r="27" spans="2:6">
      <c r="B27" s="139"/>
      <c r="C27" s="139"/>
      <c r="D27" s="139"/>
      <c r="E27" s="139"/>
      <c r="F27" s="139"/>
    </row>
    <row r="28" spans="2:6">
      <c r="B28" s="139"/>
      <c r="C28" s="139"/>
      <c r="D28" s="139"/>
      <c r="E28" s="139"/>
      <c r="F28" s="139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purl.org/dc/dcmitype/"/>
    <ds:schemaRef ds:uri="http://schemas.microsoft.com/office/2006/documentManagement/types"/>
    <ds:schemaRef ds:uri="c49de858-f9fd-4eb6-bcba-50396646711f"/>
    <ds:schemaRef ds:uri="http://purl.org/dc/terms/"/>
    <ds:schemaRef ds:uri="7818c5c2-d41f-4dce-801c-4e3595afcb3f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2023-05-15T19:31:20Z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