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MTEDopenteamandtrainingmaterials-OilCrops/Shared Documents/Oil Crops/April 2022/"/>
    </mc:Choice>
  </mc:AlternateContent>
  <xr:revisionPtr revIDLastSave="1777" documentId="8_{281CD65A-15A8-40F1-A94D-E383CEFBFBBF}" xr6:coauthVersionLast="47" xr6:coauthVersionMax="47" xr10:uidLastSave="{62EBADC9-BDB6-4DE8-98ED-D34569D5397A}"/>
  <bookViews>
    <workbookView xWindow="-108" yWindow="-108" windowWidth="23256" windowHeight="12576" tabRatio="873" firstSheet="3" activeTab="1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72" r:id="rId9"/>
    <sheet name="Figure 2" sheetId="71" r:id="rId10"/>
    <sheet name="Figure 3" sheetId="74" r:id="rId11"/>
    <sheet name="Figure 1sa" sheetId="67" r:id="rId12"/>
    <sheet name="Figure 2sa" sheetId="65" r:id="rId13"/>
    <sheet name="Figure 3sa" sheetId="68" r:id="rId14"/>
    <sheet name="Figure 4sa" sheetId="69" r:id="rId15"/>
    <sheet name="Figure 5sa" sheetId="70" r:id="rId16"/>
    <sheet name="Figure 6sa" sheetId="56" r:id="rId17"/>
    <sheet name="Figure 7sa" sheetId="53" r:id="rId18"/>
  </sheets>
  <definedNames>
    <definedName name="_xlnm.Print_Area" localSheetId="1">'Table 1'!$A$1:$N$40</definedName>
    <definedName name="_xlnm.Print_Area" localSheetId="7">'Table 10'!$A$1:$G$42</definedName>
    <definedName name="_xlnm.Print_Area" localSheetId="2">'Table 2'!$A$1:$J$32</definedName>
    <definedName name="_xlnm.Print_Area" localSheetId="3">'Table 3'!$A$1:$L$45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0" l="1"/>
  <c r="G33" i="3"/>
  <c r="D30" i="9" l="1"/>
  <c r="D29" i="9"/>
  <c r="D30" i="2"/>
  <c r="D29" i="2"/>
  <c r="G36" i="1"/>
  <c r="G35" i="1"/>
  <c r="L36" i="1"/>
  <c r="J36" i="1"/>
  <c r="J37" i="1" s="1"/>
  <c r="J38" i="1" s="1"/>
  <c r="E30" i="9"/>
  <c r="K30" i="9" s="1"/>
  <c r="G30" i="9" s="1"/>
  <c r="J30" i="9"/>
  <c r="J29" i="9"/>
  <c r="H12" i="2"/>
  <c r="H30" i="2"/>
  <c r="H29" i="2"/>
  <c r="H28" i="2"/>
  <c r="H27" i="2"/>
  <c r="B30" i="9"/>
  <c r="B30" i="2"/>
  <c r="L35" i="1"/>
  <c r="L32" i="1"/>
  <c r="E37" i="1"/>
  <c r="L37" i="1"/>
  <c r="L38" i="1" s="1"/>
  <c r="G37" i="1"/>
  <c r="G38" i="1" s="1"/>
  <c r="E19" i="3"/>
  <c r="E6" i="3"/>
  <c r="E6" i="9"/>
  <c r="K6" i="9" s="1"/>
  <c r="G6" i="9" s="1"/>
  <c r="I6" i="9" s="1"/>
  <c r="I6" i="2"/>
  <c r="G6" i="2"/>
  <c r="E6" i="2"/>
  <c r="E30" i="2" l="1"/>
  <c r="I30" i="2" s="1"/>
  <c r="G30" i="2" s="1"/>
  <c r="H37" i="1"/>
  <c r="M37" i="1" s="1"/>
  <c r="K37" i="1"/>
  <c r="J35" i="1" l="1"/>
  <c r="B29" i="9"/>
  <c r="E29" i="9" s="1"/>
  <c r="K29" i="9" s="1"/>
  <c r="G29" i="9" s="1"/>
  <c r="I29" i="9" s="1"/>
  <c r="B29" i="2"/>
  <c r="E29" i="2" s="1"/>
  <c r="I29" i="2" s="1"/>
  <c r="G29" i="2" s="1"/>
  <c r="J28" i="9"/>
  <c r="D28" i="9"/>
  <c r="D28" i="2"/>
  <c r="L34" i="1"/>
  <c r="G34" i="1"/>
  <c r="J34" i="1"/>
  <c r="J32" i="1"/>
  <c r="B28" i="9" l="1"/>
  <c r="E28" i="9" s="1"/>
  <c r="K28" i="9" s="1"/>
  <c r="G28" i="9" s="1"/>
  <c r="I28" i="9" s="1"/>
  <c r="B28" i="2"/>
  <c r="E28" i="2" s="1"/>
  <c r="I28" i="2" s="1"/>
  <c r="G28" i="2" s="1"/>
  <c r="L16" i="1"/>
  <c r="J27" i="9" l="1"/>
  <c r="D27" i="9"/>
  <c r="D27" i="2"/>
  <c r="G32" i="1"/>
  <c r="B27" i="9"/>
  <c r="E27" i="9" s="1"/>
  <c r="K27" i="9" s="1"/>
  <c r="B27" i="2"/>
  <c r="E27" i="2" l="1"/>
  <c r="I27" i="2" s="1"/>
  <c r="G27" i="9"/>
  <c r="I27" i="9" s="1"/>
  <c r="G27" i="2"/>
  <c r="J26" i="9"/>
  <c r="D26" i="9"/>
  <c r="H26" i="2"/>
  <c r="D26" i="2"/>
  <c r="L31" i="1"/>
  <c r="G31" i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1" i="3" l="1"/>
  <c r="B20" i="3"/>
  <c r="D20" i="9" l="1"/>
  <c r="D17" i="9"/>
  <c r="D16" i="9"/>
  <c r="D15" i="9"/>
  <c r="D14" i="9"/>
  <c r="D13" i="9"/>
  <c r="D12" i="9"/>
  <c r="D11" i="9"/>
  <c r="J22" i="9"/>
  <c r="D22" i="9"/>
  <c r="H22" i="2"/>
  <c r="D22" i="2"/>
  <c r="L30" i="1"/>
  <c r="L33" i="1" s="1"/>
  <c r="G30" i="1"/>
  <c r="G33" i="1" s="1"/>
  <c r="H33" i="1" l="1"/>
  <c r="M33" i="1" s="1"/>
  <c r="J30" i="1"/>
  <c r="J33" i="1" s="1"/>
  <c r="K33" i="1" l="1"/>
  <c r="L7" i="9"/>
  <c r="H23" i="9"/>
  <c r="H7" i="9" s="1"/>
  <c r="C23" i="9"/>
  <c r="C7" i="9" s="1"/>
  <c r="B22" i="9"/>
  <c r="E22" i="9" s="1"/>
  <c r="K22" i="9" s="1"/>
  <c r="G22" i="9" s="1"/>
  <c r="I22" i="9" s="1"/>
  <c r="J7" i="2"/>
  <c r="H6" i="1"/>
  <c r="M6" i="1" s="1"/>
  <c r="K6" i="1" s="1"/>
  <c r="N7" i="1"/>
  <c r="C23" i="2"/>
  <c r="C7" i="2" s="1"/>
  <c r="B22" i="2"/>
  <c r="E22" i="2" s="1"/>
  <c r="I22" i="2" s="1"/>
  <c r="G22" i="2" s="1"/>
  <c r="D6" i="1"/>
  <c r="J21" i="9"/>
  <c r="D21" i="9"/>
  <c r="H21" i="2"/>
  <c r="D21" i="2"/>
  <c r="L25" i="1"/>
  <c r="G25" i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I31" i="3"/>
  <c r="G31" i="3"/>
  <c r="E31" i="3"/>
  <c r="J6" i="3"/>
  <c r="I19" i="3"/>
  <c r="H44" i="3"/>
  <c r="D44" i="3"/>
  <c r="J20" i="9" l="1"/>
  <c r="B20" i="9"/>
  <c r="E20" i="9" s="1"/>
  <c r="K20" i="9" s="1"/>
  <c r="H20" i="2"/>
  <c r="D20" i="2"/>
  <c r="B20" i="2"/>
  <c r="E20" i="2" s="1"/>
  <c r="I20" i="2" s="1"/>
  <c r="L24" i="1"/>
  <c r="G24" i="1"/>
  <c r="G20" i="9" l="1"/>
  <c r="G20" i="2"/>
  <c r="I20" i="9" l="1"/>
  <c r="D46" i="3"/>
  <c r="B8" i="9"/>
  <c r="B7" i="9"/>
  <c r="D8" i="1"/>
  <c r="J19" i="9"/>
  <c r="D19" i="9"/>
  <c r="H19" i="2"/>
  <c r="D19" i="2"/>
  <c r="E19" i="2" s="1"/>
  <c r="I19" i="2" s="1"/>
  <c r="G19" i="2" s="1"/>
  <c r="L23" i="1"/>
  <c r="L26" i="1" s="1"/>
  <c r="G23" i="1"/>
  <c r="G26" i="1" s="1"/>
  <c r="H26" i="1" s="1"/>
  <c r="M26" i="1" s="1"/>
  <c r="B19" i="9"/>
  <c r="B19" i="2"/>
  <c r="J23" i="1"/>
  <c r="J26" i="1" s="1"/>
  <c r="E19" i="9" l="1"/>
  <c r="K19" i="9" s="1"/>
  <c r="K26" i="1"/>
  <c r="G19" i="9"/>
  <c r="L44" i="3"/>
  <c r="J18" i="9"/>
  <c r="J17" i="9"/>
  <c r="J16" i="9"/>
  <c r="J15" i="9"/>
  <c r="J14" i="9"/>
  <c r="J13" i="9"/>
  <c r="J12" i="9"/>
  <c r="J11" i="9"/>
  <c r="D18" i="9"/>
  <c r="D23" i="9" s="1"/>
  <c r="D7" i="9" s="1"/>
  <c r="J23" i="9" l="1"/>
  <c r="J7" i="9" s="1"/>
  <c r="I19" i="9"/>
  <c r="H18" i="2"/>
  <c r="H17" i="2"/>
  <c r="H16" i="2"/>
  <c r="H15" i="2"/>
  <c r="H14" i="2"/>
  <c r="H13" i="2"/>
  <c r="H11" i="2"/>
  <c r="D18" i="2"/>
  <c r="D17" i="2"/>
  <c r="D16" i="2"/>
  <c r="D15" i="2"/>
  <c r="D14" i="2"/>
  <c r="D13" i="2"/>
  <c r="D12" i="2"/>
  <c r="D11" i="2"/>
  <c r="H23" i="2" l="1"/>
  <c r="H7" i="2" s="1"/>
  <c r="D23" i="2"/>
  <c r="D7" i="2" s="1"/>
  <c r="L21" i="1"/>
  <c r="L20" i="1"/>
  <c r="L19" i="1"/>
  <c r="L17" i="1"/>
  <c r="L15" i="1"/>
  <c r="L13" i="1"/>
  <c r="L12" i="1"/>
  <c r="L11" i="1"/>
  <c r="G21" i="1"/>
  <c r="G20" i="1"/>
  <c r="G19" i="1"/>
  <c r="G17" i="1"/>
  <c r="G16" i="1"/>
  <c r="G15" i="1"/>
  <c r="G13" i="1"/>
  <c r="G12" i="1"/>
  <c r="G11" i="1"/>
  <c r="J21" i="1"/>
  <c r="J20" i="1"/>
  <c r="J19" i="1"/>
  <c r="J17" i="1"/>
  <c r="J16" i="1"/>
  <c r="J15" i="1"/>
  <c r="J13" i="1"/>
  <c r="J12" i="1"/>
  <c r="J11" i="1"/>
  <c r="I6" i="1" l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B33" i="9"/>
  <c r="I18" i="9" l="1"/>
  <c r="I21" i="3"/>
  <c r="I20" i="3"/>
  <c r="B8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A16" i="10" l="1"/>
  <c r="B16" i="9" l="1"/>
  <c r="E16" i="9" s="1"/>
  <c r="K16" i="9" s="1"/>
  <c r="G16" i="9" s="1"/>
  <c r="I16" i="9" s="1"/>
  <c r="B16" i="2"/>
  <c r="E16" i="2"/>
  <c r="E8" i="2"/>
  <c r="E8" i="9"/>
  <c r="K8" i="9" s="1"/>
  <c r="G8" i="9" s="1"/>
  <c r="I8" i="9" s="1"/>
  <c r="I8" i="2" l="1"/>
  <c r="I16" i="2"/>
  <c r="G16" i="2" s="1"/>
  <c r="B8" i="3"/>
  <c r="E8" i="3" s="1"/>
  <c r="E21" i="3"/>
  <c r="B33" i="3"/>
  <c r="E46" i="3"/>
  <c r="H46" i="3" s="1"/>
  <c r="D45" i="3"/>
  <c r="N46" i="3" l="1"/>
  <c r="L46" i="3" s="1"/>
  <c r="E33" i="3"/>
  <c r="I33" i="3" s="1"/>
  <c r="B15" i="2"/>
  <c r="E18" i="1"/>
  <c r="E15" i="2" l="1"/>
  <c r="I15" i="2" l="1"/>
  <c r="G15" i="2" s="1"/>
  <c r="E20" i="3"/>
  <c r="B15" i="9"/>
  <c r="E15" i="9" s="1"/>
  <c r="K15" i="9" s="1"/>
  <c r="G15" i="9" s="1"/>
  <c r="I15" i="9" s="1"/>
  <c r="B43" i="5" l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F7" i="1" s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7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7" i="1" s="1"/>
  <c r="E23" i="2"/>
  <c r="E7" i="2" s="1"/>
  <c r="G14" i="1" l="1"/>
  <c r="G27" i="1" s="1"/>
  <c r="G7" i="1" s="1"/>
  <c r="E23" i="9" l="1"/>
  <c r="E7" i="9" s="1"/>
  <c r="K7" i="9" s="1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D7" i="1" l="1"/>
  <c r="B50" i="3" l="1"/>
  <c r="E11" i="9" l="1"/>
  <c r="E11" i="2"/>
  <c r="B41" i="1"/>
  <c r="K11" i="9" l="1"/>
  <c r="I11" i="2"/>
  <c r="I23" i="2" s="1"/>
  <c r="I7" i="2" s="1"/>
  <c r="G11" i="2"/>
  <c r="G23" i="2" s="1"/>
  <c r="G7" i="2" s="1"/>
  <c r="K23" i="9" l="1"/>
  <c r="G11" i="9"/>
  <c r="B44" i="6"/>
  <c r="B42" i="4"/>
  <c r="B33" i="2"/>
  <c r="I11" i="9" l="1"/>
  <c r="I23" i="9" s="1"/>
  <c r="I7" i="9" s="1"/>
  <c r="G23" i="9"/>
  <c r="G7" i="9" s="1"/>
  <c r="B7" i="2"/>
  <c r="J8" i="3" l="1"/>
  <c r="E7" i="1" l="1"/>
  <c r="H7" i="1" s="1"/>
  <c r="M7" i="1" s="1"/>
  <c r="K7" i="1" s="1"/>
  <c r="E14" i="1"/>
  <c r="H14" i="1" s="1"/>
  <c r="M14" i="1" s="1"/>
  <c r="H27" i="1" l="1"/>
  <c r="M27" i="1"/>
  <c r="K14" i="1"/>
  <c r="K27" i="1" s="1"/>
  <c r="E8" i="1" s="1"/>
  <c r="H8" i="1" s="1"/>
  <c r="M8" i="1" s="1"/>
  <c r="K8" i="1" s="1"/>
</calcChain>
</file>

<file path=xl/sharedStrings.xml><?xml version="1.0" encoding="utf-8"?>
<sst xmlns="http://schemas.openxmlformats.org/spreadsheetml/2006/main" count="582" uniqueCount="209">
  <si>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</si>
  <si>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</si>
  <si>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</si>
  <si>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</si>
  <si>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</si>
  <si>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</si>
  <si>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</si>
  <si>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</si>
  <si>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</si>
  <si>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</si>
  <si>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</si>
  <si>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</si>
  <si>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</si>
  <si>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</si>
  <si>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</si>
  <si>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</si>
  <si>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</si>
  <si>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</si>
  <si>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</si>
  <si>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</si>
  <si>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</si>
  <si>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</si>
  <si>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</si>
  <si>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</si>
  <si>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</si>
  <si>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</si>
  <si>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</si>
  <si>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</si>
  <si>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</si>
  <si>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</si>
  <si>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</si>
  <si>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</si>
  <si>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</si>
  <si>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</si>
  <si>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2019/20</t>
  </si>
  <si>
    <r>
      <t>2020/21</t>
    </r>
    <r>
      <rPr>
        <vertAlign val="superscript"/>
        <sz val="11"/>
        <rFont val="Arial"/>
        <family val="2"/>
      </rPr>
      <t>1</t>
    </r>
  </si>
  <si>
    <r>
      <t>2021/22</t>
    </r>
    <r>
      <rPr>
        <vertAlign val="superscript"/>
        <sz val="11"/>
        <rFont val="Arial"/>
        <family val="2"/>
      </rPr>
      <t>2</t>
    </r>
  </si>
  <si>
    <t>2020/21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</si>
  <si>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</si>
  <si>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</si>
  <si>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</si>
  <si>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</si>
  <si>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</si>
  <si>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</si>
  <si>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</si>
  <si>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</si>
  <si>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</si>
  <si>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</si>
  <si>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</si>
  <si>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</si>
  <si>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</si>
  <si>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</si>
  <si>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</si>
  <si>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</si>
  <si>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</si>
  <si>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</si>
  <si>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</si>
  <si>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</si>
  <si>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</si>
  <si>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</si>
  <si>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</si>
  <si>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</si>
  <si>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</si>
  <si>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</si>
  <si>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</si>
  <si>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</si>
  <si>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</si>
  <si>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</si>
  <si>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</si>
  <si>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</si>
  <si>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</si>
  <si>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</si>
  <si>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</si>
  <si>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</si>
  <si>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</si>
  <si>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</si>
  <si>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</si>
  <si>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</si>
  <si>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</si>
  <si>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</si>
  <si>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</si>
  <si>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</si>
  <si>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</si>
  <si>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</si>
  <si>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</si>
  <si>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</si>
  <si>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</si>
  <si>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</si>
  <si>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</si>
  <si>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</si>
  <si>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</si>
  <si>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</si>
  <si>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</si>
  <si>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</si>
  <si>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</si>
  <si>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</si>
  <si>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</si>
  <si>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</si>
  <si>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</si>
  <si>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</si>
  <si>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</si>
  <si>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</si>
  <si>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</si>
  <si>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</si>
  <si>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</si>
  <si>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</si>
  <si>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</si>
  <si>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</si>
  <si>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</si>
  <si>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</si>
  <si>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</si>
  <si>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</si>
  <si>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</si>
  <si>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</si>
  <si>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</si>
  <si>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</si>
  <si>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</si>
  <si>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</si>
  <si>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</si>
  <si>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</si>
  <si>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</si>
  <si>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</si>
  <si>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</si>
  <si>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</si>
  <si>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</si>
  <si>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</si>
  <si>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</si>
  <si>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</si>
  <si>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</si>
  <si>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</si>
  <si>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</si>
  <si>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</si>
  <si>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</si>
  <si>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</si>
  <si>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</si>
  <si>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</si>
  <si>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2020/21</t>
    </r>
    <r>
      <rPr>
        <vertAlign val="superscript"/>
        <sz val="11"/>
        <rFont val="Arial"/>
        <family val="2"/>
      </rPr>
      <t>7</t>
    </r>
  </si>
  <si>
    <r>
      <t>2021/22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</si>
  <si>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</si>
  <si>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</si>
  <si>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</si>
  <si>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</si>
  <si>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</si>
  <si>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</si>
  <si>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</si>
  <si>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</si>
  <si>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</si>
  <si>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</si>
  <si>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</si>
  <si>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</si>
  <si>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</si>
  <si>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</si>
  <si>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</si>
  <si>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</si>
  <si>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</si>
  <si>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Ending Stocks</t>
  </si>
  <si>
    <t>2021/2022*</t>
  </si>
  <si>
    <t>2022/23*</t>
  </si>
  <si>
    <t>Delta</t>
  </si>
  <si>
    <t>East Corn Belt</t>
  </si>
  <si>
    <t>West Corn Belt</t>
  </si>
  <si>
    <t>Central Plains</t>
  </si>
  <si>
    <t>Northern Plains</t>
  </si>
  <si>
    <t>Others</t>
  </si>
  <si>
    <t>Production Marketing year</t>
  </si>
  <si>
    <t>Indonesia</t>
  </si>
  <si>
    <t>Malaysia</t>
  </si>
  <si>
    <t>Rest of world</t>
  </si>
  <si>
    <t>2021/22 March</t>
  </si>
  <si>
    <t>2021/22 April</t>
  </si>
  <si>
    <t>Monthly average prices</t>
  </si>
  <si>
    <t>RBD Palm oil, FOB Malaysia</t>
  </si>
  <si>
    <t>Soybean oil crude, FOB Brazil</t>
  </si>
  <si>
    <t>Canola oil, FOB ex-mill Dutch</t>
  </si>
  <si>
    <t>1/</t>
  </si>
  <si>
    <t>Brazil Paranagua, FOB Crude; IGC.</t>
  </si>
  <si>
    <t>2/</t>
  </si>
  <si>
    <t>Malaysia FOB; RBD; Oil World.</t>
  </si>
  <si>
    <t>3/</t>
  </si>
  <si>
    <t>EU FOB NW Euro; Oil World.</t>
  </si>
  <si>
    <t>4/</t>
  </si>
  <si>
    <t>Rotterdam, Dutch FOB</t>
  </si>
  <si>
    <t>Ex-Mill; Oilworld</t>
  </si>
  <si>
    <t>2021/22 April.*</t>
  </si>
  <si>
    <t>Countries</t>
  </si>
  <si>
    <t>2020/2021</t>
  </si>
  <si>
    <t>Oct-Dec 2021/2022</t>
  </si>
  <si>
    <t>India</t>
  </si>
  <si>
    <t>European Union</t>
  </si>
  <si>
    <t>China</t>
  </si>
  <si>
    <t>Iraq</t>
  </si>
  <si>
    <t>Saudi Arabia</t>
  </si>
  <si>
    <t>2016/2017</t>
  </si>
  <si>
    <t>2017/2018</t>
  </si>
  <si>
    <t>2018/2019</t>
  </si>
  <si>
    <t>2019/2020</t>
  </si>
  <si>
    <t xml:space="preserve">Palm oil </t>
  </si>
  <si>
    <t xml:space="preserve">Soybean oil </t>
  </si>
  <si>
    <t xml:space="preserve">Canola oil </t>
  </si>
  <si>
    <t>Sunflower oil, Ex-Tank Rotterdam</t>
  </si>
  <si>
    <t>Sunflower oil, rest of world</t>
  </si>
  <si>
    <t>Ukrainian sunflower oil</t>
  </si>
  <si>
    <t>Sunflower oil, Ukrainian export</t>
  </si>
  <si>
    <t>Sunflower oil</t>
  </si>
  <si>
    <t>Ukrainian sunflower oil export</t>
  </si>
  <si>
    <t>Ending stocks, September 30</t>
  </si>
  <si>
    <t>Sunflower</t>
  </si>
  <si>
    <t>Others' oil</t>
  </si>
  <si>
    <t xml:space="preserve">Others' oil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</si>
</sst>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0"/>
    <numFmt numFmtId="173" formatCode="_(* #,##0.00_);_(* \(#,##0.00\);_(* &quot;-&quot;_);_(@_)"/>
    <numFmt numFmtId="174" formatCode="#,##0.00_)"/>
    <numFmt numFmtId="175" formatCode="mmm\-yyyy"/>
    <numFmt numFmtId="176" formatCode="#,##0.000_);\(#,##0.000\)"/>
    <numFmt numFmtId="177" formatCode="0.0%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Helvetica"/>
    </font>
    <font>
      <sz val="10"/>
      <color theme="1"/>
      <name val="Helvetica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206">
    <xf numFmtId="0" fontId="0" fillId="0" borderId="0" xfId="0"/>
    <xf numFmtId="0" fontId="10" fillId="0" borderId="0" xfId="8" applyFont="1"/>
    <xf numFmtId="0" fontId="11" fillId="0" borderId="0" xfId="8" applyFont="1"/>
    <xf numFmtId="0" fontId="16" fillId="0" borderId="0" xfId="8" applyFont="1" applyFill="1"/>
    <xf numFmtId="0" fontId="17" fillId="0" borderId="0" xfId="8" applyFont="1"/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169" fontId="18" fillId="0" borderId="0" xfId="1" applyNumberFormat="1" applyFont="1" applyFill="1" applyBorder="1" applyAlignment="1">
      <alignment horizontal="right" indent="1"/>
    </xf>
    <xf numFmtId="0" fontId="24" fillId="0" borderId="0" xfId="7" applyFont="1" applyAlignment="1">
      <alignment horizontal="left"/>
    </xf>
    <xf numFmtId="0" fontId="26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right" indent="2"/>
    </xf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169" fontId="18" fillId="0" borderId="1" xfId="1" applyNumberFormat="1" applyFont="1" applyFill="1" applyBorder="1" applyAlignment="1">
      <alignment horizontal="right" indent="1"/>
    </xf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43" fontId="0" fillId="0" borderId="0" xfId="1" applyFont="1" applyFill="1"/>
    <xf numFmtId="43" fontId="9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0" fontId="25" fillId="0" borderId="0" xfId="0" applyFon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37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right" indent="2"/>
    </xf>
    <xf numFmtId="165" fontId="18" fillId="0" borderId="0" xfId="1" applyNumberFormat="1" applyFont="1" applyFill="1"/>
    <xf numFmtId="37" fontId="18" fillId="0" borderId="0" xfId="1" applyNumberFormat="1" applyFont="1" applyFill="1" applyAlignment="1">
      <alignment horizontal="right" indent="1"/>
    </xf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4" fontId="0" fillId="0" borderId="0" xfId="0" applyNumberFormat="1" applyFill="1"/>
    <xf numFmtId="2" fontId="13" fillId="0" borderId="0" xfId="0" applyNumberFormat="1" applyFont="1" applyFill="1"/>
    <xf numFmtId="0" fontId="28" fillId="0" borderId="1" xfId="29" applyFont="1" applyFill="1" applyBorder="1" applyAlignment="1">
      <alignment horizontal="center" wrapText="1"/>
    </xf>
    <xf numFmtId="0" fontId="27" fillId="0" borderId="0" xfId="29" applyFont="1" applyFill="1"/>
    <xf numFmtId="0" fontId="20" fillId="0" borderId="3" xfId="0" applyFont="1" applyFill="1" applyBorder="1"/>
    <xf numFmtId="164" fontId="18" fillId="0" borderId="3" xfId="0" applyNumberFormat="1" applyFont="1" applyFill="1" applyBorder="1"/>
    <xf numFmtId="43" fontId="18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9" fillId="0" borderId="0" xfId="0" applyFont="1" applyAlignment="1"/>
    <xf numFmtId="1" fontId="9" fillId="0" borderId="0" xfId="0" applyNumberFormat="1" applyFont="1" applyAlignment="1"/>
    <xf numFmtId="0" fontId="9" fillId="0" borderId="0" xfId="8" applyFont="1"/>
    <xf numFmtId="0" fontId="9" fillId="0" borderId="0" xfId="8" applyFont="1" applyFill="1"/>
    <xf numFmtId="0" fontId="9" fillId="0" borderId="0" xfId="0" applyFont="1" applyFill="1" applyBorder="1"/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8" fillId="0" borderId="1" xfId="29" applyFont="1" applyBorder="1" applyAlignment="1">
      <alignment horizontal="left"/>
    </xf>
    <xf numFmtId="17" fontId="9" fillId="0" borderId="0" xfId="0" applyNumberFormat="1" applyFont="1" applyFill="1" applyAlignment="1">
      <alignment horizontal="left"/>
    </xf>
    <xf numFmtId="0" fontId="9" fillId="0" borderId="0" xfId="0" applyFont="1"/>
    <xf numFmtId="0" fontId="28" fillId="0" borderId="1" xfId="29" applyFont="1" applyBorder="1" applyAlignment="1">
      <alignment horizontal="left" wrapText="1"/>
    </xf>
    <xf numFmtId="41" fontId="0" fillId="0" borderId="0" xfId="0" applyNumberFormat="1" applyAlignment="1">
      <alignment horizontal="left"/>
    </xf>
    <xf numFmtId="0" fontId="28" fillId="0" borderId="1" xfId="29" applyNumberFormat="1" applyFont="1" applyFill="1" applyBorder="1" applyAlignment="1">
      <alignment horizontal="center" wrapText="1"/>
    </xf>
    <xf numFmtId="172" fontId="27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28" fillId="0" borderId="1" xfId="29" applyFont="1" applyBorder="1" applyAlignment="1">
      <alignment horizontal="center" wrapText="1"/>
    </xf>
    <xf numFmtId="0" fontId="27" fillId="0" borderId="0" xfId="29" applyFont="1"/>
    <xf numFmtId="41" fontId="27" fillId="0" borderId="0" xfId="34" applyNumberFormat="1" applyFont="1" applyFill="1"/>
    <xf numFmtId="41" fontId="27" fillId="0" borderId="0" xfId="34" applyNumberFormat="1" applyFont="1" applyAlignment="1">
      <alignment horizontal="left"/>
    </xf>
    <xf numFmtId="41" fontId="27" fillId="0" borderId="0" xfId="34" applyNumberFormat="1" applyFont="1" applyFill="1" applyAlignment="1">
      <alignment horizontal="center" vertical="center"/>
    </xf>
    <xf numFmtId="173" fontId="27" fillId="0" borderId="0" xfId="34" applyNumberFormat="1" applyFont="1" applyFill="1" applyAlignment="1">
      <alignment horizontal="center" vertical="center"/>
    </xf>
    <xf numFmtId="37" fontId="18" fillId="0" borderId="0" xfId="1" applyNumberFormat="1" applyFont="1" applyAlignment="1">
      <alignment horizontal="center"/>
    </xf>
    <xf numFmtId="37" fontId="18" fillId="0" borderId="0" xfId="1" applyNumberFormat="1" applyFont="1" applyAlignment="1">
      <alignment horizontal="right" indent="1"/>
    </xf>
    <xf numFmtId="2" fontId="31" fillId="0" borderId="1" xfId="0" applyNumberFormat="1" applyFont="1" applyFill="1" applyBorder="1" applyAlignment="1">
      <alignment horizontal="right" indent="2"/>
    </xf>
    <xf numFmtId="2" fontId="31" fillId="0" borderId="0" xfId="0" applyNumberFormat="1" applyFont="1" applyFill="1" applyBorder="1" applyAlignment="1">
      <alignment horizontal="right" indent="2"/>
    </xf>
    <xf numFmtId="2" fontId="32" fillId="0" borderId="0" xfId="0" applyNumberFormat="1" applyFont="1" applyFill="1" applyBorder="1" applyAlignment="1">
      <alignment horizontal="right" indent="2"/>
    </xf>
    <xf numFmtId="4" fontId="33" fillId="0" borderId="0" xfId="0" applyNumberFormat="1" applyFont="1"/>
    <xf numFmtId="2" fontId="0" fillId="0" borderId="0" xfId="0" applyNumberFormat="1" applyAlignment="1">
      <alignment horizontal="right"/>
    </xf>
    <xf numFmtId="2" fontId="34" fillId="0" borderId="0" xfId="0" applyNumberFormat="1" applyFont="1" applyAlignment="1">
      <alignment horizontal="right"/>
    </xf>
    <xf numFmtId="2" fontId="3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right"/>
    </xf>
    <xf numFmtId="174" fontId="34" fillId="0" borderId="0" xfId="0" applyNumberFormat="1" applyFont="1" applyAlignment="1">
      <alignment horizontal="right"/>
    </xf>
    <xf numFmtId="1" fontId="27" fillId="0" borderId="0" xfId="29" applyNumberFormat="1" applyFont="1" applyFill="1"/>
    <xf numFmtId="1" fontId="27" fillId="0" borderId="0" xfId="32" applyNumberFormat="1" applyFont="1" applyFill="1"/>
    <xf numFmtId="1" fontId="30" fillId="0" borderId="0" xfId="1" applyNumberFormat="1" applyFont="1" applyFill="1"/>
    <xf numFmtId="1" fontId="27" fillId="0" borderId="0" xfId="12" applyNumberFormat="1" applyFont="1" applyFill="1"/>
    <xf numFmtId="175" fontId="0" fillId="0" borderId="0" xfId="0" applyNumberFormat="1"/>
    <xf numFmtId="1" fontId="27" fillId="0" borderId="0" xfId="32" applyNumberFormat="1" applyFont="1" applyFill="1" applyAlignment="1">
      <alignment horizontal="right"/>
    </xf>
    <xf numFmtId="1" fontId="28" fillId="0" borderId="1" xfId="29" applyNumberFormat="1" applyFont="1" applyFill="1" applyBorder="1" applyAlignment="1">
      <alignment horizontal="center" wrapText="1"/>
    </xf>
    <xf numFmtId="0" fontId="36" fillId="0" borderId="0" xfId="29" applyFont="1" applyFill="1"/>
    <xf numFmtId="1" fontId="36" fillId="0" borderId="0" xfId="29" applyNumberFormat="1" applyFont="1" applyFill="1"/>
    <xf numFmtId="43" fontId="27" fillId="0" borderId="0" xfId="34" applyNumberFormat="1" applyFont="1" applyFill="1" applyAlignment="1">
      <alignment horizontal="center" vertical="center"/>
    </xf>
    <xf numFmtId="2" fontId="27" fillId="0" borderId="0" xfId="34" applyNumberFormat="1" applyFont="1" applyFill="1" applyAlignment="1">
      <alignment horizontal="center" vertical="center"/>
    </xf>
    <xf numFmtId="2" fontId="0" fillId="0" borderId="0" xfId="0" applyNumberFormat="1"/>
    <xf numFmtId="0" fontId="27" fillId="0" borderId="0" xfId="29" applyFont="1" applyBorder="1" applyAlignment="1">
      <alignment horizontal="left" wrapText="1"/>
    </xf>
    <xf numFmtId="1" fontId="27" fillId="0" borderId="0" xfId="34" applyNumberFormat="1" applyFont="1" applyFill="1" applyAlignment="1">
      <alignment horizontal="right" vertical="center"/>
    </xf>
    <xf numFmtId="17" fontId="9" fillId="0" borderId="0" xfId="0" quotePrefix="1" applyNumberFormat="1" applyFont="1" applyFill="1" applyAlignment="1">
      <alignment horizontal="left"/>
    </xf>
    <xf numFmtId="43" fontId="9" fillId="0" borderId="0" xfId="0" applyNumberFormat="1" applyFont="1" applyAlignment="1"/>
    <xf numFmtId="175" fontId="0" fillId="0" borderId="0" xfId="0" applyNumberFormat="1" applyFill="1"/>
    <xf numFmtId="0" fontId="27" fillId="0" borderId="0" xfId="29" applyNumberFormat="1" applyFont="1" applyFill="1"/>
    <xf numFmtId="10" fontId="27" fillId="0" borderId="0" xfId="12" applyNumberFormat="1" applyFont="1" applyFill="1"/>
    <xf numFmtId="41" fontId="9" fillId="0" borderId="0" xfId="0" applyNumberFormat="1" applyFont="1" applyAlignment="1"/>
    <xf numFmtId="173" fontId="9" fillId="0" borderId="0" xfId="0" applyNumberFormat="1" applyFont="1" applyAlignment="1"/>
    <xf numFmtId="173" fontId="0" fillId="0" borderId="0" xfId="0" applyNumberFormat="1"/>
    <xf numFmtId="173" fontId="9" fillId="0" borderId="0" xfId="0" applyNumberFormat="1" applyFont="1"/>
    <xf numFmtId="2" fontId="27" fillId="0" borderId="0" xfId="29" applyNumberFormat="1" applyFont="1" applyBorder="1" applyAlignment="1">
      <alignment horizontal="right"/>
    </xf>
    <xf numFmtId="2" fontId="27" fillId="0" borderId="0" xfId="34" applyNumberFormat="1" applyFont="1" applyFill="1" applyAlignment="1">
      <alignment horizontal="right" vertic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0" fontId="0" fillId="0" borderId="0" xfId="12" applyNumberFormat="1" applyFont="1" applyFill="1"/>
    <xf numFmtId="2" fontId="9" fillId="0" borderId="0" xfId="0" applyNumberFormat="1" applyFont="1" applyAlignment="1"/>
    <xf numFmtId="10" fontId="27" fillId="0" borderId="0" xfId="12" applyNumberFormat="1" applyFont="1" applyFill="1" applyAlignment="1">
      <alignment horizontal="center" vertical="center"/>
    </xf>
    <xf numFmtId="176" fontId="9" fillId="0" borderId="0" xfId="0" applyNumberFormat="1" applyFont="1" applyAlignment="1"/>
    <xf numFmtId="177" fontId="27" fillId="0" borderId="0" xfId="12" applyNumberFormat="1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Currency 2" xfId="34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3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FF00"/>
      <color rgb="FFFFCF01"/>
      <color rgb="FF0066FF"/>
      <color rgb="FFD99694"/>
      <color rgb="FFB7DEE8"/>
      <color rgb="FF0000FF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oybean ending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stocks as of September 1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4086277636057E-3"/>
          <c:y val="4.6731646408276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00030284675954E-2"/>
          <c:y val="0.21514552686728111"/>
          <c:w val="0.84750335785491604"/>
          <c:h val="0.47196657757229882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 w="38100">
              <a:noFill/>
              <a:prstDash val="solid"/>
            </a:ln>
            <a:effectLst/>
          </c:spPr>
          <c:invertIfNegative val="0"/>
          <c:cat>
            <c:strRef>
              <c:f>'Figure 1'!$A$2:$A$12</c:f>
              <c:strCache>
                <c:ptCount val="11"/>
                <c:pt idx="0">
                  <c:v> 2011/12 </c:v>
                </c:pt>
                <c:pt idx="1">
                  <c:v> 2012/13 </c:v>
                </c:pt>
                <c:pt idx="2">
                  <c:v> 2013/14 </c:v>
                </c:pt>
                <c:pt idx="3">
                  <c:v> 2014/15 </c:v>
                </c:pt>
                <c:pt idx="4">
                  <c:v> 2015/16 </c:v>
                </c:pt>
                <c:pt idx="5">
                  <c:v> 2016/17 </c:v>
                </c:pt>
                <c:pt idx="6">
                  <c:v> 2017/18 </c:v>
                </c:pt>
                <c:pt idx="7">
                  <c:v> 2018/19 </c:v>
                </c:pt>
                <c:pt idx="8">
                  <c:v> 2019/20 </c:v>
                </c:pt>
                <c:pt idx="9">
                  <c:v> 2020/21 </c:v>
                </c:pt>
                <c:pt idx="10">
                  <c:v> 2021/2022* </c:v>
                </c:pt>
              </c:strCache>
            </c:strRef>
          </c:cat>
          <c:val>
            <c:numRef>
              <c:f>'Figure 1'!$B$2:$B$12</c:f>
              <c:numCache>
                <c:formatCode>_(* #,##0_);_(* \(#,##0\);_(* "-"_);_(@_)</c:formatCode>
                <c:ptCount val="11"/>
                <c:pt idx="0">
                  <c:v>169.37</c:v>
                </c:pt>
                <c:pt idx="1">
                  <c:v>140.55699999999999</c:v>
                </c:pt>
                <c:pt idx="2">
                  <c:v>91.991</c:v>
                </c:pt>
                <c:pt idx="3">
                  <c:v>190.61</c:v>
                </c:pt>
                <c:pt idx="4">
                  <c:v>196.72900000000001</c:v>
                </c:pt>
                <c:pt idx="5">
                  <c:v>301.59500000000003</c:v>
                </c:pt>
                <c:pt idx="6">
                  <c:v>438.10500000000002</c:v>
                </c:pt>
                <c:pt idx="7">
                  <c:v>909.05200000000002</c:v>
                </c:pt>
                <c:pt idx="8">
                  <c:v>524.54100000000005</c:v>
                </c:pt>
                <c:pt idx="9">
                  <c:v>256.97899999999998</c:v>
                </c:pt>
                <c:pt idx="10">
                  <c:v>259.93186541782325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51-44AF-B902-DDCF2B77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421483051240241"/>
              <c:y val="0.80833881201742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070516146182E-3"/>
              <c:y val="0.139041867339398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7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Global vegetable oils ending stocks as of September 30</a:t>
            </a:r>
            <a:endParaRPr lang="en-US" sz="1050" b="1"/>
          </a:p>
        </c:rich>
      </c:tx>
      <c:layout>
        <c:manualLayout>
          <c:xMode val="edge"/>
          <c:yMode val="edge"/>
          <c:x val="4.0231403017813201E-3"/>
          <c:y val="6.28915559976200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67130790144108E-2"/>
          <c:y val="0.20665822173177759"/>
          <c:w val="0.90944036402720718"/>
          <c:h val="0.498127765971499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7sa'!$B$1</c:f>
              <c:strCache>
                <c:ptCount val="1"/>
                <c:pt idx="0">
                  <c:v>Sunflower oil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7sa'!$A$2:$A$7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7sa'!$B$2:$B$7</c:f>
              <c:numCache>
                <c:formatCode>_(* #,##0.00_);_(* \(#,##0.00\);_(* "-"_);_(@_)</c:formatCode>
                <c:ptCount val="6"/>
                <c:pt idx="0">
                  <c:v>2.5110000000000001</c:v>
                </c:pt>
                <c:pt idx="1">
                  <c:v>2.5489999999999999</c:v>
                </c:pt>
                <c:pt idx="2">
                  <c:v>2.2480000000000002</c:v>
                </c:pt>
                <c:pt idx="3">
                  <c:v>2.7610000000000001</c:v>
                </c:pt>
                <c:pt idx="4">
                  <c:v>1.919</c:v>
                </c:pt>
                <c:pt idx="5">
                  <c:v>2.359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9-4680-BCF2-A96A124E3F5D}"/>
            </c:ext>
          </c:extLst>
        </c:ser>
        <c:ser>
          <c:idx val="2"/>
          <c:order val="1"/>
          <c:tx>
            <c:strRef>
              <c:f>'Figure 7sa'!$C$1</c:f>
              <c:strCache>
                <c:ptCount val="1"/>
                <c:pt idx="0">
                  <c:v>Soybean oil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7sa'!$A$2:$A$7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7sa'!$C$2:$C$7</c:f>
              <c:numCache>
                <c:formatCode>_(* #,##0.00_);_(* \(#,##0.00\);_(* "-"_);_(@_)</c:formatCode>
                <c:ptCount val="6"/>
                <c:pt idx="0">
                  <c:v>4.0949999999999998</c:v>
                </c:pt>
                <c:pt idx="1">
                  <c:v>4.26</c:v>
                </c:pt>
                <c:pt idx="2">
                  <c:v>4.6639999999999997</c:v>
                </c:pt>
                <c:pt idx="3">
                  <c:v>5.2380000000000004</c:v>
                </c:pt>
                <c:pt idx="4">
                  <c:v>4.8419999999999996</c:v>
                </c:pt>
                <c:pt idx="5">
                  <c:v>3.9550000000000001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0-4EC5-80BD-EDBFF331057E}"/>
            </c:ext>
          </c:extLst>
        </c:ser>
        <c:ser>
          <c:idx val="0"/>
          <c:order val="2"/>
          <c:tx>
            <c:strRef>
              <c:f>'Figure 7sa'!$D$1</c:f>
              <c:strCache>
                <c:ptCount val="1"/>
                <c:pt idx="0">
                  <c:v>Canola oil 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7sa'!$A$2:$A$7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7sa'!$D$2:$D$7</c:f>
              <c:numCache>
                <c:formatCode>_(* #,##0.00_);_(* \(#,##0.00\);_(* "-"_);_(@_)</c:formatCode>
                <c:ptCount val="6"/>
                <c:pt idx="0">
                  <c:v>4.2169999999999996</c:v>
                </c:pt>
                <c:pt idx="1">
                  <c:v>3.3769999999999998</c:v>
                </c:pt>
                <c:pt idx="2">
                  <c:v>2.8660000000000001</c:v>
                </c:pt>
                <c:pt idx="3">
                  <c:v>2.738</c:v>
                </c:pt>
                <c:pt idx="4">
                  <c:v>3.4220000000000002</c:v>
                </c:pt>
                <c:pt idx="5">
                  <c:v>2.5870000000000002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9-4680-BCF2-A96A124E3F5D}"/>
            </c:ext>
          </c:extLst>
        </c:ser>
        <c:ser>
          <c:idx val="3"/>
          <c:order val="3"/>
          <c:tx>
            <c:strRef>
              <c:f>'Figure 7sa'!$E$1</c:f>
              <c:strCache>
                <c:ptCount val="1"/>
                <c:pt idx="0">
                  <c:v>Palm oil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7sa'!$A$2:$A$7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7sa'!$E$2:$E$7</c:f>
              <c:numCache>
                <c:formatCode>_(* #,##0.00_);_(* \(#,##0.00\);_(* "-"_);_(@_)</c:formatCode>
                <c:ptCount val="6"/>
                <c:pt idx="0">
                  <c:v>10.167</c:v>
                </c:pt>
                <c:pt idx="1">
                  <c:v>12.663</c:v>
                </c:pt>
                <c:pt idx="2">
                  <c:v>14.537000000000001</c:v>
                </c:pt>
                <c:pt idx="3">
                  <c:v>14.788</c:v>
                </c:pt>
                <c:pt idx="4">
                  <c:v>13.933</c:v>
                </c:pt>
                <c:pt idx="5">
                  <c:v>14.590999999999999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0-4EC5-80BD-EDBFF331057E}"/>
            </c:ext>
          </c:extLst>
        </c:ser>
        <c:ser>
          <c:idx val="4"/>
          <c:order val="4"/>
          <c:tx>
            <c:strRef>
              <c:f>'Figure 7sa'!$F$1</c:f>
              <c:strCache>
                <c:ptCount val="1"/>
                <c:pt idx="0">
                  <c:v>Others' oil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7sa'!$A$2:$A$7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7sa'!$F$2:$F$7</c:f>
              <c:numCache>
                <c:formatCode>_(* #,##0.00_);_(* \(#,##0.00\);_(* "-"_);_(@_)</c:formatCode>
                <c:ptCount val="6"/>
                <c:pt idx="0">
                  <c:v>1.97</c:v>
                </c:pt>
                <c:pt idx="1">
                  <c:v>3.0169999999999999</c:v>
                </c:pt>
                <c:pt idx="2">
                  <c:v>2.9260000000000002</c:v>
                </c:pt>
                <c:pt idx="3">
                  <c:v>2.9049999999999998</c:v>
                </c:pt>
                <c:pt idx="4">
                  <c:v>2.552</c:v>
                </c:pt>
                <c:pt idx="5">
                  <c:v>2.5750000000000002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C-4946-866E-DD58E24C0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6456032248796E-3"/>
              <c:y val="9.30248425882689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t"/>
      <c:layout>
        <c:manualLayout>
          <c:xMode val="edge"/>
          <c:yMode val="edge"/>
          <c:x val="0.23762113255339426"/>
          <c:y val="0.1464780151255414"/>
          <c:w val="0.60390150764054573"/>
          <c:h val="5.087026862226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Soybean planted acres by regions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220552159598252E-3"/>
          <c:y val="9.68819882275538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89401901854347E-2"/>
          <c:y val="0.21961904834278809"/>
          <c:w val="0.82949371813360118"/>
          <c:h val="0.47807769907981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F81BD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09-4755-A4BF-B49AE0FFF050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09-4755-A4BF-B49AE0FFF050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09-4755-A4BF-B49AE0FFF050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09-4755-A4BF-B49AE0FFF050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409-4755-A4BF-B49AE0FFF050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409-4755-A4BF-B49AE0FFF050}"/>
              </c:ext>
            </c:extLst>
          </c:dPt>
          <c:cat>
            <c:strRef>
              <c:f>'Figure 2'!$A$2:$A$7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2'!$B$2:$B$7</c:f>
              <c:numCache>
                <c:formatCode>0.00</c:formatCode>
                <c:ptCount val="6"/>
                <c:pt idx="0">
                  <c:v>6.34</c:v>
                </c:pt>
                <c:pt idx="1">
                  <c:v>25.4</c:v>
                </c:pt>
                <c:pt idx="2">
                  <c:v>23.45</c:v>
                </c:pt>
                <c:pt idx="3">
                  <c:v>10.45</c:v>
                </c:pt>
                <c:pt idx="4">
                  <c:v>12.7</c:v>
                </c:pt>
                <c:pt idx="5">
                  <c:v>8.8550000000000004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09-4755-A4BF-B49AE0FFF050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2022/23*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'Figure 2'!$A$2:$A$7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2'!$C$2:$C$7</c:f>
              <c:numCache>
                <c:formatCode>0.00</c:formatCode>
                <c:ptCount val="6"/>
                <c:pt idx="0">
                  <c:v>6.8</c:v>
                </c:pt>
                <c:pt idx="1">
                  <c:v>26.65</c:v>
                </c:pt>
                <c:pt idx="2">
                  <c:v>24.5</c:v>
                </c:pt>
                <c:pt idx="3">
                  <c:v>10.7</c:v>
                </c:pt>
                <c:pt idx="4">
                  <c:v>12.7</c:v>
                </c:pt>
                <c:pt idx="5">
                  <c:v>9.6050000000000004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409-4755-A4BF-B49AE0FF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1751648"/>
        <c:axId val="1821751232"/>
      </c:barChart>
      <c:catAx>
        <c:axId val="18217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0"/>
      </c:catAx>
      <c:valAx>
        <c:axId val="182175123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832786880261009"/>
          <c:y val="0.12653260571249195"/>
          <c:w val="0.29230766891709548"/>
          <c:h val="6.3631667082338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Global palm oil production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6.1295981963031838E-3"/>
          <c:y val="1.205511112255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98066356652612E-2"/>
          <c:y val="0.18371271187668065"/>
          <c:w val="0.90740947440465147"/>
          <c:h val="0.5210732510367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3'!$B$1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3'!$A$2:$A$8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March</c:v>
                </c:pt>
                <c:pt idx="6">
                  <c:v>2021/22 April</c:v>
                </c:pt>
              </c:strCache>
            </c:strRef>
          </c:cat>
          <c:val>
            <c:numRef>
              <c:f>'Figure 3'!$B$2:$B$8</c:f>
              <c:numCache>
                <c:formatCode>_(* #,##0_);_(* \(#,##0\);_(* "-"_);_(@_)</c:formatCode>
                <c:ptCount val="7"/>
                <c:pt idx="0">
                  <c:v>36</c:v>
                </c:pt>
                <c:pt idx="1">
                  <c:v>39.5</c:v>
                </c:pt>
                <c:pt idx="2">
                  <c:v>41.5</c:v>
                </c:pt>
                <c:pt idx="3">
                  <c:v>42.5</c:v>
                </c:pt>
                <c:pt idx="4">
                  <c:v>43.5</c:v>
                </c:pt>
                <c:pt idx="5">
                  <c:v>44.5</c:v>
                </c:pt>
                <c:pt idx="6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E-4AFF-98F0-7D4912A7CFE6}"/>
            </c:ext>
          </c:extLst>
        </c:ser>
        <c:ser>
          <c:idx val="2"/>
          <c:order val="1"/>
          <c:tx>
            <c:strRef>
              <c:f>'Figure 3'!$C$1</c:f>
              <c:strCache>
                <c:ptCount val="1"/>
                <c:pt idx="0">
                  <c:v>Malaysia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3'!$A$2:$A$8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March</c:v>
                </c:pt>
                <c:pt idx="6">
                  <c:v>2021/22 April</c:v>
                </c:pt>
              </c:strCache>
            </c:strRef>
          </c:cat>
          <c:val>
            <c:numRef>
              <c:f>'Figure 3'!$C$2:$C$8</c:f>
              <c:numCache>
                <c:formatCode>_(* #,##0_);_(* \(#,##0\);_(* "-"_);_(@_)</c:formatCode>
                <c:ptCount val="7"/>
                <c:pt idx="0">
                  <c:v>18.858000000000001</c:v>
                </c:pt>
                <c:pt idx="1">
                  <c:v>19.683</c:v>
                </c:pt>
                <c:pt idx="2">
                  <c:v>20.8</c:v>
                </c:pt>
                <c:pt idx="3">
                  <c:v>19.254999999999999</c:v>
                </c:pt>
                <c:pt idx="4">
                  <c:v>17.853999999999999</c:v>
                </c:pt>
                <c:pt idx="5">
                  <c:v>18.7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E-4AFF-98F0-7D4912A7CFE6}"/>
            </c:ext>
          </c:extLst>
        </c:ser>
        <c:ser>
          <c:idx val="0"/>
          <c:order val="2"/>
          <c:tx>
            <c:strRef>
              <c:f>'Figure 3'!$D$1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3'!$A$2:$A$8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March</c:v>
                </c:pt>
                <c:pt idx="6">
                  <c:v>2021/22 April</c:v>
                </c:pt>
              </c:strCache>
            </c:strRef>
          </c:cat>
          <c:val>
            <c:numRef>
              <c:f>'Figure 3'!$D$2:$D$8</c:f>
              <c:numCache>
                <c:formatCode>_(* #,##0_);_(* \(#,##0\);_(* "-"_);_(@_)</c:formatCode>
                <c:ptCount val="7"/>
                <c:pt idx="0">
                  <c:v>10.405000000000001</c:v>
                </c:pt>
                <c:pt idx="1">
                  <c:v>11.422999999999995</c:v>
                </c:pt>
                <c:pt idx="2">
                  <c:v>11.948999999999998</c:v>
                </c:pt>
                <c:pt idx="3">
                  <c:v>11.27600000000001</c:v>
                </c:pt>
                <c:pt idx="4">
                  <c:v>11.751000000000005</c:v>
                </c:pt>
                <c:pt idx="5">
                  <c:v>9.9050000000000011</c:v>
                </c:pt>
                <c:pt idx="6">
                  <c:v>12.546999999999997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E-4AFF-98F0-7D4912A7CF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5972546486121E-3"/>
              <c:y val="0.12257566873289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967637219596128"/>
          <c:y val="0.1705873866830476"/>
          <c:w val="0.89032364936522201"/>
          <c:h val="4.8283134691207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 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Historical monthly average vegetable oil prices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5.2719749470673529E-3"/>
          <c:y val="6.28943123107401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645002265539589E-2"/>
          <c:y val="0.19481067960680953"/>
          <c:w val="0.86668074748211765"/>
          <c:h val="0.58361679785314891"/>
        </c:manualLayout>
      </c:layout>
      <c:lineChart>
        <c:grouping val="standard"/>
        <c:varyColors val="0"/>
        <c:ser>
          <c:idx val="1"/>
          <c:order val="0"/>
          <c:tx>
            <c:strRef>
              <c:f>'Figure 1sa'!$B$1</c:f>
              <c:strCache>
                <c:ptCount val="1"/>
                <c:pt idx="0">
                  <c:v>RBD Palm oil, FOB Malaysia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1sa'!$A$2:$A$187</c:f>
              <c:numCache>
                <c:formatCode>mmm\-yyyy</c:formatCode>
                <c:ptCount val="186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  <c:pt idx="12">
                  <c:v>39356</c:v>
                </c:pt>
                <c:pt idx="13">
                  <c:v>39387</c:v>
                </c:pt>
                <c:pt idx="14">
                  <c:v>39417</c:v>
                </c:pt>
                <c:pt idx="15">
                  <c:v>39448</c:v>
                </c:pt>
                <c:pt idx="16">
                  <c:v>39479</c:v>
                </c:pt>
                <c:pt idx="17">
                  <c:v>39508</c:v>
                </c:pt>
                <c:pt idx="18">
                  <c:v>39539</c:v>
                </c:pt>
                <c:pt idx="19">
                  <c:v>39569</c:v>
                </c:pt>
                <c:pt idx="20">
                  <c:v>39600</c:v>
                </c:pt>
                <c:pt idx="21">
                  <c:v>39630</c:v>
                </c:pt>
                <c:pt idx="22">
                  <c:v>39661</c:v>
                </c:pt>
                <c:pt idx="23">
                  <c:v>39692</c:v>
                </c:pt>
                <c:pt idx="24">
                  <c:v>39722</c:v>
                </c:pt>
                <c:pt idx="25">
                  <c:v>39753</c:v>
                </c:pt>
                <c:pt idx="26">
                  <c:v>39783</c:v>
                </c:pt>
                <c:pt idx="27">
                  <c:v>39814</c:v>
                </c:pt>
                <c:pt idx="28">
                  <c:v>39845</c:v>
                </c:pt>
                <c:pt idx="29">
                  <c:v>39873</c:v>
                </c:pt>
                <c:pt idx="30">
                  <c:v>39904</c:v>
                </c:pt>
                <c:pt idx="31">
                  <c:v>39934</c:v>
                </c:pt>
                <c:pt idx="32">
                  <c:v>39965</c:v>
                </c:pt>
                <c:pt idx="33">
                  <c:v>39995</c:v>
                </c:pt>
                <c:pt idx="34">
                  <c:v>40026</c:v>
                </c:pt>
                <c:pt idx="35">
                  <c:v>40057</c:v>
                </c:pt>
                <c:pt idx="36">
                  <c:v>40087</c:v>
                </c:pt>
                <c:pt idx="37">
                  <c:v>40118</c:v>
                </c:pt>
                <c:pt idx="38">
                  <c:v>40148</c:v>
                </c:pt>
                <c:pt idx="39">
                  <c:v>40179</c:v>
                </c:pt>
                <c:pt idx="40">
                  <c:v>40210</c:v>
                </c:pt>
                <c:pt idx="41">
                  <c:v>40238</c:v>
                </c:pt>
                <c:pt idx="42">
                  <c:v>40269</c:v>
                </c:pt>
                <c:pt idx="43">
                  <c:v>40299</c:v>
                </c:pt>
                <c:pt idx="44">
                  <c:v>40330</c:v>
                </c:pt>
                <c:pt idx="45">
                  <c:v>40360</c:v>
                </c:pt>
                <c:pt idx="46">
                  <c:v>40391</c:v>
                </c:pt>
                <c:pt idx="47">
                  <c:v>40422</c:v>
                </c:pt>
                <c:pt idx="48">
                  <c:v>40452</c:v>
                </c:pt>
                <c:pt idx="49">
                  <c:v>40483</c:v>
                </c:pt>
                <c:pt idx="50">
                  <c:v>40513</c:v>
                </c:pt>
                <c:pt idx="51">
                  <c:v>40544</c:v>
                </c:pt>
                <c:pt idx="52">
                  <c:v>40575</c:v>
                </c:pt>
                <c:pt idx="53">
                  <c:v>40603</c:v>
                </c:pt>
                <c:pt idx="54">
                  <c:v>40634</c:v>
                </c:pt>
                <c:pt idx="55">
                  <c:v>40664</c:v>
                </c:pt>
                <c:pt idx="56">
                  <c:v>40695</c:v>
                </c:pt>
                <c:pt idx="57">
                  <c:v>40725</c:v>
                </c:pt>
                <c:pt idx="58">
                  <c:v>40756</c:v>
                </c:pt>
                <c:pt idx="59">
                  <c:v>40787</c:v>
                </c:pt>
                <c:pt idx="60">
                  <c:v>40817</c:v>
                </c:pt>
                <c:pt idx="61">
                  <c:v>40848</c:v>
                </c:pt>
                <c:pt idx="62">
                  <c:v>40878</c:v>
                </c:pt>
                <c:pt idx="63">
                  <c:v>40909</c:v>
                </c:pt>
                <c:pt idx="64">
                  <c:v>40940</c:v>
                </c:pt>
                <c:pt idx="65">
                  <c:v>40969</c:v>
                </c:pt>
                <c:pt idx="66">
                  <c:v>41000</c:v>
                </c:pt>
                <c:pt idx="67">
                  <c:v>41030</c:v>
                </c:pt>
                <c:pt idx="68">
                  <c:v>41061</c:v>
                </c:pt>
                <c:pt idx="69">
                  <c:v>41091</c:v>
                </c:pt>
                <c:pt idx="70">
                  <c:v>41122</c:v>
                </c:pt>
                <c:pt idx="71">
                  <c:v>41153</c:v>
                </c:pt>
                <c:pt idx="72">
                  <c:v>41183</c:v>
                </c:pt>
                <c:pt idx="73">
                  <c:v>41214</c:v>
                </c:pt>
                <c:pt idx="74">
                  <c:v>41244</c:v>
                </c:pt>
                <c:pt idx="75">
                  <c:v>41275</c:v>
                </c:pt>
                <c:pt idx="76">
                  <c:v>41306</c:v>
                </c:pt>
                <c:pt idx="77">
                  <c:v>41334</c:v>
                </c:pt>
                <c:pt idx="78">
                  <c:v>41365</c:v>
                </c:pt>
                <c:pt idx="79">
                  <c:v>41395</c:v>
                </c:pt>
                <c:pt idx="80">
                  <c:v>41426</c:v>
                </c:pt>
                <c:pt idx="81">
                  <c:v>41456</c:v>
                </c:pt>
                <c:pt idx="82">
                  <c:v>41487</c:v>
                </c:pt>
                <c:pt idx="83">
                  <c:v>41518</c:v>
                </c:pt>
                <c:pt idx="84">
                  <c:v>41548</c:v>
                </c:pt>
                <c:pt idx="85">
                  <c:v>41579</c:v>
                </c:pt>
                <c:pt idx="86">
                  <c:v>41609</c:v>
                </c:pt>
                <c:pt idx="87">
                  <c:v>41640</c:v>
                </c:pt>
                <c:pt idx="88">
                  <c:v>41671</c:v>
                </c:pt>
                <c:pt idx="89">
                  <c:v>41699</c:v>
                </c:pt>
                <c:pt idx="90">
                  <c:v>41730</c:v>
                </c:pt>
                <c:pt idx="91">
                  <c:v>41760</c:v>
                </c:pt>
                <c:pt idx="92">
                  <c:v>41791</c:v>
                </c:pt>
                <c:pt idx="93">
                  <c:v>41821</c:v>
                </c:pt>
                <c:pt idx="94">
                  <c:v>41852</c:v>
                </c:pt>
                <c:pt idx="95">
                  <c:v>41883</c:v>
                </c:pt>
                <c:pt idx="96">
                  <c:v>41913</c:v>
                </c:pt>
                <c:pt idx="97">
                  <c:v>41944</c:v>
                </c:pt>
                <c:pt idx="98">
                  <c:v>41974</c:v>
                </c:pt>
                <c:pt idx="99">
                  <c:v>42005</c:v>
                </c:pt>
                <c:pt idx="100">
                  <c:v>42036</c:v>
                </c:pt>
                <c:pt idx="101">
                  <c:v>42064</c:v>
                </c:pt>
                <c:pt idx="102">
                  <c:v>42095</c:v>
                </c:pt>
                <c:pt idx="103">
                  <c:v>42125</c:v>
                </c:pt>
                <c:pt idx="104">
                  <c:v>42156</c:v>
                </c:pt>
                <c:pt idx="105">
                  <c:v>42186</c:v>
                </c:pt>
                <c:pt idx="106">
                  <c:v>42217</c:v>
                </c:pt>
                <c:pt idx="107">
                  <c:v>42248</c:v>
                </c:pt>
                <c:pt idx="108">
                  <c:v>42278</c:v>
                </c:pt>
                <c:pt idx="109">
                  <c:v>42309</c:v>
                </c:pt>
                <c:pt idx="110">
                  <c:v>42339</c:v>
                </c:pt>
                <c:pt idx="111">
                  <c:v>42370</c:v>
                </c:pt>
                <c:pt idx="112">
                  <c:v>42401</c:v>
                </c:pt>
                <c:pt idx="113">
                  <c:v>42430</c:v>
                </c:pt>
                <c:pt idx="114">
                  <c:v>42461</c:v>
                </c:pt>
                <c:pt idx="115">
                  <c:v>42491</c:v>
                </c:pt>
                <c:pt idx="116">
                  <c:v>42522</c:v>
                </c:pt>
                <c:pt idx="117">
                  <c:v>42552</c:v>
                </c:pt>
                <c:pt idx="118">
                  <c:v>42583</c:v>
                </c:pt>
                <c:pt idx="119">
                  <c:v>42614</c:v>
                </c:pt>
                <c:pt idx="120">
                  <c:v>42644</c:v>
                </c:pt>
                <c:pt idx="121">
                  <c:v>42675</c:v>
                </c:pt>
                <c:pt idx="122">
                  <c:v>42705</c:v>
                </c:pt>
                <c:pt idx="123">
                  <c:v>42736</c:v>
                </c:pt>
                <c:pt idx="124">
                  <c:v>42767</c:v>
                </c:pt>
                <c:pt idx="125">
                  <c:v>42795</c:v>
                </c:pt>
                <c:pt idx="126">
                  <c:v>42826</c:v>
                </c:pt>
                <c:pt idx="127">
                  <c:v>42856</c:v>
                </c:pt>
                <c:pt idx="128">
                  <c:v>42887</c:v>
                </c:pt>
                <c:pt idx="129">
                  <c:v>42917</c:v>
                </c:pt>
                <c:pt idx="130">
                  <c:v>42948</c:v>
                </c:pt>
                <c:pt idx="131">
                  <c:v>42979</c:v>
                </c:pt>
                <c:pt idx="132">
                  <c:v>43009</c:v>
                </c:pt>
                <c:pt idx="133">
                  <c:v>43040</c:v>
                </c:pt>
                <c:pt idx="134">
                  <c:v>43070</c:v>
                </c:pt>
                <c:pt idx="135">
                  <c:v>43101</c:v>
                </c:pt>
                <c:pt idx="136">
                  <c:v>43132</c:v>
                </c:pt>
                <c:pt idx="137">
                  <c:v>43160</c:v>
                </c:pt>
                <c:pt idx="138">
                  <c:v>43191</c:v>
                </c:pt>
                <c:pt idx="139">
                  <c:v>43221</c:v>
                </c:pt>
                <c:pt idx="140">
                  <c:v>43252</c:v>
                </c:pt>
                <c:pt idx="141">
                  <c:v>43282</c:v>
                </c:pt>
                <c:pt idx="142">
                  <c:v>43313</c:v>
                </c:pt>
                <c:pt idx="143">
                  <c:v>43344</c:v>
                </c:pt>
                <c:pt idx="144">
                  <c:v>43374</c:v>
                </c:pt>
                <c:pt idx="145">
                  <c:v>43405</c:v>
                </c:pt>
                <c:pt idx="146">
                  <c:v>43435</c:v>
                </c:pt>
                <c:pt idx="147">
                  <c:v>43466</c:v>
                </c:pt>
                <c:pt idx="148">
                  <c:v>43497</c:v>
                </c:pt>
                <c:pt idx="149">
                  <c:v>43525</c:v>
                </c:pt>
                <c:pt idx="150">
                  <c:v>43556</c:v>
                </c:pt>
                <c:pt idx="151">
                  <c:v>43586</c:v>
                </c:pt>
                <c:pt idx="152">
                  <c:v>43617</c:v>
                </c:pt>
                <c:pt idx="153">
                  <c:v>43647</c:v>
                </c:pt>
                <c:pt idx="154">
                  <c:v>43678</c:v>
                </c:pt>
                <c:pt idx="155">
                  <c:v>43709</c:v>
                </c:pt>
                <c:pt idx="156">
                  <c:v>43739</c:v>
                </c:pt>
                <c:pt idx="157">
                  <c:v>43770</c:v>
                </c:pt>
                <c:pt idx="158">
                  <c:v>43800</c:v>
                </c:pt>
                <c:pt idx="159">
                  <c:v>43831</c:v>
                </c:pt>
                <c:pt idx="160">
                  <c:v>43862</c:v>
                </c:pt>
                <c:pt idx="161">
                  <c:v>43891</c:v>
                </c:pt>
                <c:pt idx="162">
                  <c:v>43922</c:v>
                </c:pt>
                <c:pt idx="163">
                  <c:v>43952</c:v>
                </c:pt>
                <c:pt idx="164">
                  <c:v>43983</c:v>
                </c:pt>
                <c:pt idx="165">
                  <c:v>44013</c:v>
                </c:pt>
                <c:pt idx="166">
                  <c:v>44044</c:v>
                </c:pt>
                <c:pt idx="167">
                  <c:v>44075</c:v>
                </c:pt>
                <c:pt idx="168">
                  <c:v>44105</c:v>
                </c:pt>
                <c:pt idx="169">
                  <c:v>44136</c:v>
                </c:pt>
                <c:pt idx="170">
                  <c:v>44166</c:v>
                </c:pt>
                <c:pt idx="171">
                  <c:v>44197</c:v>
                </c:pt>
                <c:pt idx="172">
                  <c:v>44228</c:v>
                </c:pt>
                <c:pt idx="173">
                  <c:v>44256</c:v>
                </c:pt>
                <c:pt idx="174">
                  <c:v>44287</c:v>
                </c:pt>
                <c:pt idx="175">
                  <c:v>44317</c:v>
                </c:pt>
                <c:pt idx="176">
                  <c:v>44348</c:v>
                </c:pt>
                <c:pt idx="177">
                  <c:v>44378</c:v>
                </c:pt>
                <c:pt idx="178">
                  <c:v>44409</c:v>
                </c:pt>
                <c:pt idx="179">
                  <c:v>44440</c:v>
                </c:pt>
                <c:pt idx="180">
                  <c:v>44470</c:v>
                </c:pt>
                <c:pt idx="181">
                  <c:v>44501</c:v>
                </c:pt>
                <c:pt idx="182">
                  <c:v>44531</c:v>
                </c:pt>
                <c:pt idx="183">
                  <c:v>44562</c:v>
                </c:pt>
                <c:pt idx="184">
                  <c:v>44593</c:v>
                </c:pt>
                <c:pt idx="185">
                  <c:v>44621</c:v>
                </c:pt>
              </c:numCache>
            </c:numRef>
          </c:cat>
          <c:val>
            <c:numRef>
              <c:f>'Figure 1sa'!$B$2:$B$187</c:f>
              <c:numCache>
                <c:formatCode>0</c:formatCode>
                <c:ptCount val="186"/>
                <c:pt idx="0">
                  <c:v>450</c:v>
                </c:pt>
                <c:pt idx="1">
                  <c:v>511</c:v>
                </c:pt>
                <c:pt idx="2">
                  <c:v>559</c:v>
                </c:pt>
                <c:pt idx="3">
                  <c:v>569</c:v>
                </c:pt>
                <c:pt idx="4">
                  <c:v>573</c:v>
                </c:pt>
                <c:pt idx="5">
                  <c:v>593</c:v>
                </c:pt>
                <c:pt idx="6">
                  <c:v>684</c:v>
                </c:pt>
                <c:pt idx="7">
                  <c:v>770</c:v>
                </c:pt>
                <c:pt idx="8">
                  <c:v>781</c:v>
                </c:pt>
                <c:pt idx="9">
                  <c:v>789</c:v>
                </c:pt>
                <c:pt idx="10">
                  <c:v>782</c:v>
                </c:pt>
                <c:pt idx="11">
                  <c:v>798</c:v>
                </c:pt>
                <c:pt idx="12">
                  <c:v>848</c:v>
                </c:pt>
                <c:pt idx="13">
                  <c:v>935</c:v>
                </c:pt>
                <c:pt idx="14">
                  <c:v>948</c:v>
                </c:pt>
                <c:pt idx="15">
                  <c:v>1053</c:v>
                </c:pt>
                <c:pt idx="16">
                  <c:v>1192</c:v>
                </c:pt>
                <c:pt idx="17">
                  <c:v>1291</c:v>
                </c:pt>
                <c:pt idx="18">
                  <c:v>1247</c:v>
                </c:pt>
                <c:pt idx="19">
                  <c:v>1250</c:v>
                </c:pt>
                <c:pt idx="20">
                  <c:v>1199</c:v>
                </c:pt>
                <c:pt idx="21">
                  <c:v>1115</c:v>
                </c:pt>
                <c:pt idx="22">
                  <c:v>879</c:v>
                </c:pt>
                <c:pt idx="23">
                  <c:v>743</c:v>
                </c:pt>
                <c:pt idx="24">
                  <c:v>564</c:v>
                </c:pt>
                <c:pt idx="25">
                  <c:v>489</c:v>
                </c:pt>
                <c:pt idx="26">
                  <c:v>511</c:v>
                </c:pt>
                <c:pt idx="27">
                  <c:v>566</c:v>
                </c:pt>
                <c:pt idx="28">
                  <c:v>577</c:v>
                </c:pt>
                <c:pt idx="29">
                  <c:v>595</c:v>
                </c:pt>
                <c:pt idx="30">
                  <c:v>716</c:v>
                </c:pt>
                <c:pt idx="31">
                  <c:v>799</c:v>
                </c:pt>
                <c:pt idx="32">
                  <c:v>732</c:v>
                </c:pt>
                <c:pt idx="33">
                  <c:v>647</c:v>
                </c:pt>
                <c:pt idx="34">
                  <c:v>719</c:v>
                </c:pt>
                <c:pt idx="35">
                  <c:v>675</c:v>
                </c:pt>
                <c:pt idx="36">
                  <c:v>663</c:v>
                </c:pt>
                <c:pt idx="37">
                  <c:v>703</c:v>
                </c:pt>
                <c:pt idx="38">
                  <c:v>766</c:v>
                </c:pt>
                <c:pt idx="39">
                  <c:v>774</c:v>
                </c:pt>
                <c:pt idx="40">
                  <c:v>778</c:v>
                </c:pt>
                <c:pt idx="41">
                  <c:v>809</c:v>
                </c:pt>
                <c:pt idx="42">
                  <c:v>811</c:v>
                </c:pt>
                <c:pt idx="43">
                  <c:v>798</c:v>
                </c:pt>
                <c:pt idx="44">
                  <c:v>787</c:v>
                </c:pt>
                <c:pt idx="45">
                  <c:v>801</c:v>
                </c:pt>
                <c:pt idx="46">
                  <c:v>915</c:v>
                </c:pt>
                <c:pt idx="47">
                  <c:v>906</c:v>
                </c:pt>
                <c:pt idx="48">
                  <c:v>997</c:v>
                </c:pt>
                <c:pt idx="49">
                  <c:v>1107</c:v>
                </c:pt>
                <c:pt idx="50">
                  <c:v>1196</c:v>
                </c:pt>
                <c:pt idx="51">
                  <c:v>1256</c:v>
                </c:pt>
                <c:pt idx="52">
                  <c:v>1282</c:v>
                </c:pt>
                <c:pt idx="53">
                  <c:v>1196</c:v>
                </c:pt>
                <c:pt idx="54">
                  <c:v>1167</c:v>
                </c:pt>
                <c:pt idx="55">
                  <c:v>1199</c:v>
                </c:pt>
                <c:pt idx="56">
                  <c:v>1123</c:v>
                </c:pt>
                <c:pt idx="57">
                  <c:v>1123</c:v>
                </c:pt>
                <c:pt idx="58">
                  <c:v>1133</c:v>
                </c:pt>
                <c:pt idx="59">
                  <c:v>1066</c:v>
                </c:pt>
                <c:pt idx="60">
                  <c:v>970</c:v>
                </c:pt>
                <c:pt idx="61">
                  <c:v>1034</c:v>
                </c:pt>
                <c:pt idx="62">
                  <c:v>1053</c:v>
                </c:pt>
                <c:pt idx="63">
                  <c:v>1056</c:v>
                </c:pt>
                <c:pt idx="64">
                  <c:v>1070</c:v>
                </c:pt>
                <c:pt idx="65">
                  <c:v>1126</c:v>
                </c:pt>
                <c:pt idx="66">
                  <c:v>1166</c:v>
                </c:pt>
                <c:pt idx="67">
                  <c:v>1062</c:v>
                </c:pt>
                <c:pt idx="68">
                  <c:v>965</c:v>
                </c:pt>
                <c:pt idx="69">
                  <c:v>990</c:v>
                </c:pt>
                <c:pt idx="70">
                  <c:v>960</c:v>
                </c:pt>
                <c:pt idx="71">
                  <c:v>935</c:v>
                </c:pt>
                <c:pt idx="72">
                  <c:v>823</c:v>
                </c:pt>
                <c:pt idx="73">
                  <c:v>799</c:v>
                </c:pt>
                <c:pt idx="74">
                  <c:v>763</c:v>
                </c:pt>
                <c:pt idx="75">
                  <c:v>812</c:v>
                </c:pt>
                <c:pt idx="76">
                  <c:v>828</c:v>
                </c:pt>
                <c:pt idx="77">
                  <c:v>804</c:v>
                </c:pt>
                <c:pt idx="78">
                  <c:v>793</c:v>
                </c:pt>
                <c:pt idx="79">
                  <c:v>795</c:v>
                </c:pt>
                <c:pt idx="80">
                  <c:v>796</c:v>
                </c:pt>
                <c:pt idx="81">
                  <c:v>765</c:v>
                </c:pt>
                <c:pt idx="82">
                  <c:v>757</c:v>
                </c:pt>
                <c:pt idx="83">
                  <c:v>760</c:v>
                </c:pt>
                <c:pt idx="84">
                  <c:v>795</c:v>
                </c:pt>
                <c:pt idx="85">
                  <c:v>835</c:v>
                </c:pt>
                <c:pt idx="86">
                  <c:v>813</c:v>
                </c:pt>
                <c:pt idx="87">
                  <c:v>796</c:v>
                </c:pt>
                <c:pt idx="88">
                  <c:v>846</c:v>
                </c:pt>
                <c:pt idx="89">
                  <c:v>890</c:v>
                </c:pt>
                <c:pt idx="90">
                  <c:v>858</c:v>
                </c:pt>
                <c:pt idx="91">
                  <c:v>828</c:v>
                </c:pt>
                <c:pt idx="92">
                  <c:v>793</c:v>
                </c:pt>
                <c:pt idx="93">
                  <c:v>782</c:v>
                </c:pt>
                <c:pt idx="94">
                  <c:v>701</c:v>
                </c:pt>
                <c:pt idx="95">
                  <c:v>694</c:v>
                </c:pt>
                <c:pt idx="96">
                  <c:v>693</c:v>
                </c:pt>
                <c:pt idx="97">
                  <c:v>693</c:v>
                </c:pt>
                <c:pt idx="98">
                  <c:v>656</c:v>
                </c:pt>
                <c:pt idx="99">
                  <c:v>652</c:v>
                </c:pt>
                <c:pt idx="100">
                  <c:v>662</c:v>
                </c:pt>
                <c:pt idx="101">
                  <c:v>629</c:v>
                </c:pt>
                <c:pt idx="102">
                  <c:v>610</c:v>
                </c:pt>
                <c:pt idx="103">
                  <c:v>628</c:v>
                </c:pt>
                <c:pt idx="104">
                  <c:v>638</c:v>
                </c:pt>
                <c:pt idx="105">
                  <c:v>610</c:v>
                </c:pt>
                <c:pt idx="106">
                  <c:v>524</c:v>
                </c:pt>
                <c:pt idx="107">
                  <c:v>521</c:v>
                </c:pt>
                <c:pt idx="108">
                  <c:v>565</c:v>
                </c:pt>
                <c:pt idx="109">
                  <c:v>541</c:v>
                </c:pt>
                <c:pt idx="110">
                  <c:v>539</c:v>
                </c:pt>
                <c:pt idx="111">
                  <c:v>550</c:v>
                </c:pt>
                <c:pt idx="112">
                  <c:v>613</c:v>
                </c:pt>
                <c:pt idx="113">
                  <c:v>654</c:v>
                </c:pt>
                <c:pt idx="114">
                  <c:v>707</c:v>
                </c:pt>
                <c:pt idx="115">
                  <c:v>686</c:v>
                </c:pt>
                <c:pt idx="116">
                  <c:v>640</c:v>
                </c:pt>
                <c:pt idx="117">
                  <c:v>615</c:v>
                </c:pt>
                <c:pt idx="118">
                  <c:v>704</c:v>
                </c:pt>
                <c:pt idx="119">
                  <c:v>716</c:v>
                </c:pt>
                <c:pt idx="120">
                  <c:v>677</c:v>
                </c:pt>
                <c:pt idx="121">
                  <c:v>708</c:v>
                </c:pt>
                <c:pt idx="122">
                  <c:v>745</c:v>
                </c:pt>
                <c:pt idx="123">
                  <c:v>759</c:v>
                </c:pt>
                <c:pt idx="124">
                  <c:v>740</c:v>
                </c:pt>
                <c:pt idx="125">
                  <c:v>713</c:v>
                </c:pt>
                <c:pt idx="126">
                  <c:v>681</c:v>
                </c:pt>
                <c:pt idx="127">
                  <c:v>698</c:v>
                </c:pt>
                <c:pt idx="128">
                  <c:v>670</c:v>
                </c:pt>
                <c:pt idx="129">
                  <c:v>658</c:v>
                </c:pt>
                <c:pt idx="130">
                  <c:v>651</c:v>
                </c:pt>
                <c:pt idx="131">
                  <c:v>690</c:v>
                </c:pt>
                <c:pt idx="132">
                  <c:v>681</c:v>
                </c:pt>
                <c:pt idx="133">
                  <c:v>670</c:v>
                </c:pt>
                <c:pt idx="134">
                  <c:v>619</c:v>
                </c:pt>
                <c:pt idx="135">
                  <c:v>650</c:v>
                </c:pt>
                <c:pt idx="136">
                  <c:v>654</c:v>
                </c:pt>
                <c:pt idx="137">
                  <c:v>658</c:v>
                </c:pt>
                <c:pt idx="138">
                  <c:v>651</c:v>
                </c:pt>
                <c:pt idx="139">
                  <c:v>639</c:v>
                </c:pt>
                <c:pt idx="140">
                  <c:v>605</c:v>
                </c:pt>
                <c:pt idx="141">
                  <c:v>570</c:v>
                </c:pt>
                <c:pt idx="142">
                  <c:v>559</c:v>
                </c:pt>
                <c:pt idx="143">
                  <c:v>552</c:v>
                </c:pt>
                <c:pt idx="144">
                  <c:v>539</c:v>
                </c:pt>
                <c:pt idx="145">
                  <c:v>492</c:v>
                </c:pt>
                <c:pt idx="146">
                  <c:v>489</c:v>
                </c:pt>
                <c:pt idx="147">
                  <c:v>538</c:v>
                </c:pt>
                <c:pt idx="148">
                  <c:v>556</c:v>
                </c:pt>
                <c:pt idx="149">
                  <c:v>523</c:v>
                </c:pt>
                <c:pt idx="150">
                  <c:v>538</c:v>
                </c:pt>
                <c:pt idx="151">
                  <c:v>511</c:v>
                </c:pt>
                <c:pt idx="152">
                  <c:v>502</c:v>
                </c:pt>
                <c:pt idx="153">
                  <c:v>494</c:v>
                </c:pt>
                <c:pt idx="154">
                  <c:v>536</c:v>
                </c:pt>
                <c:pt idx="155">
                  <c:v>532</c:v>
                </c:pt>
                <c:pt idx="156">
                  <c:v>547</c:v>
                </c:pt>
                <c:pt idx="157">
                  <c:v>641</c:v>
                </c:pt>
                <c:pt idx="158">
                  <c:v>718</c:v>
                </c:pt>
                <c:pt idx="159">
                  <c:v>761</c:v>
                </c:pt>
                <c:pt idx="160">
                  <c:v>677</c:v>
                </c:pt>
                <c:pt idx="161">
                  <c:v>589</c:v>
                </c:pt>
                <c:pt idx="162">
                  <c:v>563</c:v>
                </c:pt>
                <c:pt idx="163">
                  <c:v>529</c:v>
                </c:pt>
                <c:pt idx="164">
                  <c:v>605</c:v>
                </c:pt>
                <c:pt idx="165">
                  <c:v>643</c:v>
                </c:pt>
                <c:pt idx="166">
                  <c:v>715</c:v>
                </c:pt>
                <c:pt idx="167">
                  <c:v>746</c:v>
                </c:pt>
                <c:pt idx="168">
                  <c:v>767</c:v>
                </c:pt>
                <c:pt idx="169">
                  <c:v>878</c:v>
                </c:pt>
                <c:pt idx="170">
                  <c:v>929</c:v>
                </c:pt>
                <c:pt idx="171">
                  <c:v>980</c:v>
                </c:pt>
                <c:pt idx="172">
                  <c:v>1017</c:v>
                </c:pt>
                <c:pt idx="173">
                  <c:v>1036</c:v>
                </c:pt>
                <c:pt idx="174">
                  <c:v>1075</c:v>
                </c:pt>
                <c:pt idx="175">
                  <c:v>1149</c:v>
                </c:pt>
                <c:pt idx="176">
                  <c:v>1015</c:v>
                </c:pt>
                <c:pt idx="177">
                  <c:v>1072</c:v>
                </c:pt>
                <c:pt idx="178">
                  <c:v>1151</c:v>
                </c:pt>
                <c:pt idx="179">
                  <c:v>1187</c:v>
                </c:pt>
                <c:pt idx="180">
                  <c:v>1318</c:v>
                </c:pt>
                <c:pt idx="181">
                  <c:v>1338</c:v>
                </c:pt>
                <c:pt idx="182">
                  <c:v>1259</c:v>
                </c:pt>
                <c:pt idx="183">
                  <c:v>1358</c:v>
                </c:pt>
                <c:pt idx="184">
                  <c:v>1540</c:v>
                </c:pt>
                <c:pt idx="185">
                  <c:v>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B3-4163-B1C4-4C66CB851A1C}"/>
            </c:ext>
          </c:extLst>
        </c:ser>
        <c:ser>
          <c:idx val="0"/>
          <c:order val="1"/>
          <c:tx>
            <c:strRef>
              <c:f>'Figure 1sa'!$D$1</c:f>
              <c:strCache>
                <c:ptCount val="1"/>
                <c:pt idx="0">
                  <c:v>Sunflower oil, Ex-Tank Rotterdam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1sa'!$A$2:$A$187</c:f>
              <c:numCache>
                <c:formatCode>mmm\-yyyy</c:formatCode>
                <c:ptCount val="186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  <c:pt idx="12">
                  <c:v>39356</c:v>
                </c:pt>
                <c:pt idx="13">
                  <c:v>39387</c:v>
                </c:pt>
                <c:pt idx="14">
                  <c:v>39417</c:v>
                </c:pt>
                <c:pt idx="15">
                  <c:v>39448</c:v>
                </c:pt>
                <c:pt idx="16">
                  <c:v>39479</c:v>
                </c:pt>
                <c:pt idx="17">
                  <c:v>39508</c:v>
                </c:pt>
                <c:pt idx="18">
                  <c:v>39539</c:v>
                </c:pt>
                <c:pt idx="19">
                  <c:v>39569</c:v>
                </c:pt>
                <c:pt idx="20">
                  <c:v>39600</c:v>
                </c:pt>
                <c:pt idx="21">
                  <c:v>39630</c:v>
                </c:pt>
                <c:pt idx="22">
                  <c:v>39661</c:v>
                </c:pt>
                <c:pt idx="23">
                  <c:v>39692</c:v>
                </c:pt>
                <c:pt idx="24">
                  <c:v>39722</c:v>
                </c:pt>
                <c:pt idx="25">
                  <c:v>39753</c:v>
                </c:pt>
                <c:pt idx="26">
                  <c:v>39783</c:v>
                </c:pt>
                <c:pt idx="27">
                  <c:v>39814</c:v>
                </c:pt>
                <c:pt idx="28">
                  <c:v>39845</c:v>
                </c:pt>
                <c:pt idx="29">
                  <c:v>39873</c:v>
                </c:pt>
                <c:pt idx="30">
                  <c:v>39904</c:v>
                </c:pt>
                <c:pt idx="31">
                  <c:v>39934</c:v>
                </c:pt>
                <c:pt idx="32">
                  <c:v>39965</c:v>
                </c:pt>
                <c:pt idx="33">
                  <c:v>39995</c:v>
                </c:pt>
                <c:pt idx="34">
                  <c:v>40026</c:v>
                </c:pt>
                <c:pt idx="35">
                  <c:v>40057</c:v>
                </c:pt>
                <c:pt idx="36">
                  <c:v>40087</c:v>
                </c:pt>
                <c:pt idx="37">
                  <c:v>40118</c:v>
                </c:pt>
                <c:pt idx="38">
                  <c:v>40148</c:v>
                </c:pt>
                <c:pt idx="39">
                  <c:v>40179</c:v>
                </c:pt>
                <c:pt idx="40">
                  <c:v>40210</c:v>
                </c:pt>
                <c:pt idx="41">
                  <c:v>40238</c:v>
                </c:pt>
                <c:pt idx="42">
                  <c:v>40269</c:v>
                </c:pt>
                <c:pt idx="43">
                  <c:v>40299</c:v>
                </c:pt>
                <c:pt idx="44">
                  <c:v>40330</c:v>
                </c:pt>
                <c:pt idx="45">
                  <c:v>40360</c:v>
                </c:pt>
                <c:pt idx="46">
                  <c:v>40391</c:v>
                </c:pt>
                <c:pt idx="47">
                  <c:v>40422</c:v>
                </c:pt>
                <c:pt idx="48">
                  <c:v>40452</c:v>
                </c:pt>
                <c:pt idx="49">
                  <c:v>40483</c:v>
                </c:pt>
                <c:pt idx="50">
                  <c:v>40513</c:v>
                </c:pt>
                <c:pt idx="51">
                  <c:v>40544</c:v>
                </c:pt>
                <c:pt idx="52">
                  <c:v>40575</c:v>
                </c:pt>
                <c:pt idx="53">
                  <c:v>40603</c:v>
                </c:pt>
                <c:pt idx="54">
                  <c:v>40634</c:v>
                </c:pt>
                <c:pt idx="55">
                  <c:v>40664</c:v>
                </c:pt>
                <c:pt idx="56">
                  <c:v>40695</c:v>
                </c:pt>
                <c:pt idx="57">
                  <c:v>40725</c:v>
                </c:pt>
                <c:pt idx="58">
                  <c:v>40756</c:v>
                </c:pt>
                <c:pt idx="59">
                  <c:v>40787</c:v>
                </c:pt>
                <c:pt idx="60">
                  <c:v>40817</c:v>
                </c:pt>
                <c:pt idx="61">
                  <c:v>40848</c:v>
                </c:pt>
                <c:pt idx="62">
                  <c:v>40878</c:v>
                </c:pt>
                <c:pt idx="63">
                  <c:v>40909</c:v>
                </c:pt>
                <c:pt idx="64">
                  <c:v>40940</c:v>
                </c:pt>
                <c:pt idx="65">
                  <c:v>40969</c:v>
                </c:pt>
                <c:pt idx="66">
                  <c:v>41000</c:v>
                </c:pt>
                <c:pt idx="67">
                  <c:v>41030</c:v>
                </c:pt>
                <c:pt idx="68">
                  <c:v>41061</c:v>
                </c:pt>
                <c:pt idx="69">
                  <c:v>41091</c:v>
                </c:pt>
                <c:pt idx="70">
                  <c:v>41122</c:v>
                </c:pt>
                <c:pt idx="71">
                  <c:v>41153</c:v>
                </c:pt>
                <c:pt idx="72">
                  <c:v>41183</c:v>
                </c:pt>
                <c:pt idx="73">
                  <c:v>41214</c:v>
                </c:pt>
                <c:pt idx="74">
                  <c:v>41244</c:v>
                </c:pt>
                <c:pt idx="75">
                  <c:v>41275</c:v>
                </c:pt>
                <c:pt idx="76">
                  <c:v>41306</c:v>
                </c:pt>
                <c:pt idx="77">
                  <c:v>41334</c:v>
                </c:pt>
                <c:pt idx="78">
                  <c:v>41365</c:v>
                </c:pt>
                <c:pt idx="79">
                  <c:v>41395</c:v>
                </c:pt>
                <c:pt idx="80">
                  <c:v>41426</c:v>
                </c:pt>
                <c:pt idx="81">
                  <c:v>41456</c:v>
                </c:pt>
                <c:pt idx="82">
                  <c:v>41487</c:v>
                </c:pt>
                <c:pt idx="83">
                  <c:v>41518</c:v>
                </c:pt>
                <c:pt idx="84">
                  <c:v>41548</c:v>
                </c:pt>
                <c:pt idx="85">
                  <c:v>41579</c:v>
                </c:pt>
                <c:pt idx="86">
                  <c:v>41609</c:v>
                </c:pt>
                <c:pt idx="87">
                  <c:v>41640</c:v>
                </c:pt>
                <c:pt idx="88">
                  <c:v>41671</c:v>
                </c:pt>
                <c:pt idx="89">
                  <c:v>41699</c:v>
                </c:pt>
                <c:pt idx="90">
                  <c:v>41730</c:v>
                </c:pt>
                <c:pt idx="91">
                  <c:v>41760</c:v>
                </c:pt>
                <c:pt idx="92">
                  <c:v>41791</c:v>
                </c:pt>
                <c:pt idx="93">
                  <c:v>41821</c:v>
                </c:pt>
                <c:pt idx="94">
                  <c:v>41852</c:v>
                </c:pt>
                <c:pt idx="95">
                  <c:v>41883</c:v>
                </c:pt>
                <c:pt idx="96">
                  <c:v>41913</c:v>
                </c:pt>
                <c:pt idx="97">
                  <c:v>41944</c:v>
                </c:pt>
                <c:pt idx="98">
                  <c:v>41974</c:v>
                </c:pt>
                <c:pt idx="99">
                  <c:v>42005</c:v>
                </c:pt>
                <c:pt idx="100">
                  <c:v>42036</c:v>
                </c:pt>
                <c:pt idx="101">
                  <c:v>42064</c:v>
                </c:pt>
                <c:pt idx="102">
                  <c:v>42095</c:v>
                </c:pt>
                <c:pt idx="103">
                  <c:v>42125</c:v>
                </c:pt>
                <c:pt idx="104">
                  <c:v>42156</c:v>
                </c:pt>
                <c:pt idx="105">
                  <c:v>42186</c:v>
                </c:pt>
                <c:pt idx="106">
                  <c:v>42217</c:v>
                </c:pt>
                <c:pt idx="107">
                  <c:v>42248</c:v>
                </c:pt>
                <c:pt idx="108">
                  <c:v>42278</c:v>
                </c:pt>
                <c:pt idx="109">
                  <c:v>42309</c:v>
                </c:pt>
                <c:pt idx="110">
                  <c:v>42339</c:v>
                </c:pt>
                <c:pt idx="111">
                  <c:v>42370</c:v>
                </c:pt>
                <c:pt idx="112">
                  <c:v>42401</c:v>
                </c:pt>
                <c:pt idx="113">
                  <c:v>42430</c:v>
                </c:pt>
                <c:pt idx="114">
                  <c:v>42461</c:v>
                </c:pt>
                <c:pt idx="115">
                  <c:v>42491</c:v>
                </c:pt>
                <c:pt idx="116">
                  <c:v>42522</c:v>
                </c:pt>
                <c:pt idx="117">
                  <c:v>42552</c:v>
                </c:pt>
                <c:pt idx="118">
                  <c:v>42583</c:v>
                </c:pt>
                <c:pt idx="119">
                  <c:v>42614</c:v>
                </c:pt>
                <c:pt idx="120">
                  <c:v>42644</c:v>
                </c:pt>
                <c:pt idx="121">
                  <c:v>42675</c:v>
                </c:pt>
                <c:pt idx="122">
                  <c:v>42705</c:v>
                </c:pt>
                <c:pt idx="123">
                  <c:v>42736</c:v>
                </c:pt>
                <c:pt idx="124">
                  <c:v>42767</c:v>
                </c:pt>
                <c:pt idx="125">
                  <c:v>42795</c:v>
                </c:pt>
                <c:pt idx="126">
                  <c:v>42826</c:v>
                </c:pt>
                <c:pt idx="127">
                  <c:v>42856</c:v>
                </c:pt>
                <c:pt idx="128">
                  <c:v>42887</c:v>
                </c:pt>
                <c:pt idx="129">
                  <c:v>42917</c:v>
                </c:pt>
                <c:pt idx="130">
                  <c:v>42948</c:v>
                </c:pt>
                <c:pt idx="131">
                  <c:v>42979</c:v>
                </c:pt>
                <c:pt idx="132">
                  <c:v>43009</c:v>
                </c:pt>
                <c:pt idx="133">
                  <c:v>43040</c:v>
                </c:pt>
                <c:pt idx="134">
                  <c:v>43070</c:v>
                </c:pt>
                <c:pt idx="135">
                  <c:v>43101</c:v>
                </c:pt>
                <c:pt idx="136">
                  <c:v>43132</c:v>
                </c:pt>
                <c:pt idx="137">
                  <c:v>43160</c:v>
                </c:pt>
                <c:pt idx="138">
                  <c:v>43191</c:v>
                </c:pt>
                <c:pt idx="139">
                  <c:v>43221</c:v>
                </c:pt>
                <c:pt idx="140">
                  <c:v>43252</c:v>
                </c:pt>
                <c:pt idx="141">
                  <c:v>43282</c:v>
                </c:pt>
                <c:pt idx="142">
                  <c:v>43313</c:v>
                </c:pt>
                <c:pt idx="143">
                  <c:v>43344</c:v>
                </c:pt>
                <c:pt idx="144">
                  <c:v>43374</c:v>
                </c:pt>
                <c:pt idx="145">
                  <c:v>43405</c:v>
                </c:pt>
                <c:pt idx="146">
                  <c:v>43435</c:v>
                </c:pt>
                <c:pt idx="147">
                  <c:v>43466</c:v>
                </c:pt>
                <c:pt idx="148">
                  <c:v>43497</c:v>
                </c:pt>
                <c:pt idx="149">
                  <c:v>43525</c:v>
                </c:pt>
                <c:pt idx="150">
                  <c:v>43556</c:v>
                </c:pt>
                <c:pt idx="151">
                  <c:v>43586</c:v>
                </c:pt>
                <c:pt idx="152">
                  <c:v>43617</c:v>
                </c:pt>
                <c:pt idx="153">
                  <c:v>43647</c:v>
                </c:pt>
                <c:pt idx="154">
                  <c:v>43678</c:v>
                </c:pt>
                <c:pt idx="155">
                  <c:v>43709</c:v>
                </c:pt>
                <c:pt idx="156">
                  <c:v>43739</c:v>
                </c:pt>
                <c:pt idx="157">
                  <c:v>43770</c:v>
                </c:pt>
                <c:pt idx="158">
                  <c:v>43800</c:v>
                </c:pt>
                <c:pt idx="159">
                  <c:v>43831</c:v>
                </c:pt>
                <c:pt idx="160">
                  <c:v>43862</c:v>
                </c:pt>
                <c:pt idx="161">
                  <c:v>43891</c:v>
                </c:pt>
                <c:pt idx="162">
                  <c:v>43922</c:v>
                </c:pt>
                <c:pt idx="163">
                  <c:v>43952</c:v>
                </c:pt>
                <c:pt idx="164">
                  <c:v>43983</c:v>
                </c:pt>
                <c:pt idx="165">
                  <c:v>44013</c:v>
                </c:pt>
                <c:pt idx="166">
                  <c:v>44044</c:v>
                </c:pt>
                <c:pt idx="167">
                  <c:v>44075</c:v>
                </c:pt>
                <c:pt idx="168">
                  <c:v>44105</c:v>
                </c:pt>
                <c:pt idx="169">
                  <c:v>44136</c:v>
                </c:pt>
                <c:pt idx="170">
                  <c:v>44166</c:v>
                </c:pt>
                <c:pt idx="171">
                  <c:v>44197</c:v>
                </c:pt>
                <c:pt idx="172">
                  <c:v>44228</c:v>
                </c:pt>
                <c:pt idx="173">
                  <c:v>44256</c:v>
                </c:pt>
                <c:pt idx="174">
                  <c:v>44287</c:v>
                </c:pt>
                <c:pt idx="175">
                  <c:v>44317</c:v>
                </c:pt>
                <c:pt idx="176">
                  <c:v>44348</c:v>
                </c:pt>
                <c:pt idx="177">
                  <c:v>44378</c:v>
                </c:pt>
                <c:pt idx="178">
                  <c:v>44409</c:v>
                </c:pt>
                <c:pt idx="179">
                  <c:v>44440</c:v>
                </c:pt>
                <c:pt idx="180">
                  <c:v>44470</c:v>
                </c:pt>
                <c:pt idx="181">
                  <c:v>44501</c:v>
                </c:pt>
                <c:pt idx="182">
                  <c:v>44531</c:v>
                </c:pt>
                <c:pt idx="183">
                  <c:v>44562</c:v>
                </c:pt>
                <c:pt idx="184">
                  <c:v>44593</c:v>
                </c:pt>
                <c:pt idx="185">
                  <c:v>44621</c:v>
                </c:pt>
              </c:numCache>
            </c:numRef>
          </c:cat>
          <c:val>
            <c:numRef>
              <c:f>'Figure 1sa'!$D$2:$D$187</c:f>
              <c:numCache>
                <c:formatCode>0</c:formatCode>
                <c:ptCount val="186"/>
                <c:pt idx="0">
                  <c:v>666</c:v>
                </c:pt>
                <c:pt idx="1">
                  <c:v>722</c:v>
                </c:pt>
                <c:pt idx="2">
                  <c:v>730</c:v>
                </c:pt>
                <c:pt idx="3">
                  <c:v>719</c:v>
                </c:pt>
                <c:pt idx="4">
                  <c:v>709</c:v>
                </c:pt>
                <c:pt idx="5">
                  <c:v>713</c:v>
                </c:pt>
                <c:pt idx="6">
                  <c:v>755</c:v>
                </c:pt>
                <c:pt idx="7">
                  <c:v>831</c:v>
                </c:pt>
                <c:pt idx="8">
                  <c:v>916</c:v>
                </c:pt>
                <c:pt idx="9">
                  <c:v>999</c:v>
                </c:pt>
                <c:pt idx="10">
                  <c:v>1114</c:v>
                </c:pt>
                <c:pt idx="11">
                  <c:v>1279</c:v>
                </c:pt>
                <c:pt idx="12">
                  <c:v>1358</c:v>
                </c:pt>
                <c:pt idx="13">
                  <c:v>1401</c:v>
                </c:pt>
                <c:pt idx="14">
                  <c:v>1469</c:v>
                </c:pt>
                <c:pt idx="15">
                  <c:v>1709</c:v>
                </c:pt>
                <c:pt idx="16">
                  <c:v>1839</c:v>
                </c:pt>
                <c:pt idx="17">
                  <c:v>1863</c:v>
                </c:pt>
                <c:pt idx="18">
                  <c:v>1838</c:v>
                </c:pt>
                <c:pt idx="19">
                  <c:v>1962</c:v>
                </c:pt>
                <c:pt idx="20">
                  <c:v>2045</c:v>
                </c:pt>
                <c:pt idx="21">
                  <c:v>1692</c:v>
                </c:pt>
                <c:pt idx="22">
                  <c:v>1319</c:v>
                </c:pt>
                <c:pt idx="23">
                  <c:v>1176</c:v>
                </c:pt>
                <c:pt idx="24">
                  <c:v>950</c:v>
                </c:pt>
                <c:pt idx="25">
                  <c:v>835</c:v>
                </c:pt>
                <c:pt idx="26">
                  <c:v>759</c:v>
                </c:pt>
                <c:pt idx="27">
                  <c:v>817</c:v>
                </c:pt>
                <c:pt idx="28">
                  <c:v>805</c:v>
                </c:pt>
                <c:pt idx="29">
                  <c:v>757</c:v>
                </c:pt>
                <c:pt idx="30">
                  <c:v>843</c:v>
                </c:pt>
                <c:pt idx="31">
                  <c:v>941</c:v>
                </c:pt>
                <c:pt idx="32">
                  <c:v>907</c:v>
                </c:pt>
                <c:pt idx="33">
                  <c:v>804</c:v>
                </c:pt>
                <c:pt idx="34">
                  <c:v>820</c:v>
                </c:pt>
                <c:pt idx="35">
                  <c:v>809</c:v>
                </c:pt>
                <c:pt idx="36">
                  <c:v>846</c:v>
                </c:pt>
                <c:pt idx="37">
                  <c:v>921</c:v>
                </c:pt>
                <c:pt idx="38">
                  <c:v>986</c:v>
                </c:pt>
                <c:pt idx="39">
                  <c:v>969</c:v>
                </c:pt>
                <c:pt idx="40">
                  <c:v>948</c:v>
                </c:pt>
                <c:pt idx="41">
                  <c:v>949</c:v>
                </c:pt>
                <c:pt idx="42">
                  <c:v>924</c:v>
                </c:pt>
                <c:pt idx="43">
                  <c:v>910</c:v>
                </c:pt>
                <c:pt idx="44">
                  <c:v>889</c:v>
                </c:pt>
                <c:pt idx="45">
                  <c:v>937</c:v>
                </c:pt>
                <c:pt idx="46">
                  <c:v>1074</c:v>
                </c:pt>
                <c:pt idx="47">
                  <c:v>1114</c:v>
                </c:pt>
                <c:pt idx="48">
                  <c:v>1284</c:v>
                </c:pt>
                <c:pt idx="49">
                  <c:v>1441</c:v>
                </c:pt>
                <c:pt idx="50">
                  <c:v>1454</c:v>
                </c:pt>
                <c:pt idx="51">
                  <c:v>1492</c:v>
                </c:pt>
                <c:pt idx="52">
                  <c:v>1456</c:v>
                </c:pt>
                <c:pt idx="53">
                  <c:v>1389</c:v>
                </c:pt>
                <c:pt idx="54">
                  <c:v>1405</c:v>
                </c:pt>
                <c:pt idx="55">
                  <c:v>1411</c:v>
                </c:pt>
                <c:pt idx="56">
                  <c:v>1461</c:v>
                </c:pt>
                <c:pt idx="57">
                  <c:v>1433</c:v>
                </c:pt>
                <c:pt idx="58">
                  <c:v>1327</c:v>
                </c:pt>
                <c:pt idx="59">
                  <c:v>1299</c:v>
                </c:pt>
                <c:pt idx="60">
                  <c:v>1212</c:v>
                </c:pt>
                <c:pt idx="61">
                  <c:v>1248</c:v>
                </c:pt>
                <c:pt idx="62">
                  <c:v>1190</c:v>
                </c:pt>
                <c:pt idx="63">
                  <c:v>1208</c:v>
                </c:pt>
                <c:pt idx="64">
                  <c:v>1249</c:v>
                </c:pt>
                <c:pt idx="65">
                  <c:v>1266</c:v>
                </c:pt>
                <c:pt idx="66">
                  <c:v>1324</c:v>
                </c:pt>
                <c:pt idx="67">
                  <c:v>1275</c:v>
                </c:pt>
                <c:pt idx="68">
                  <c:v>1192</c:v>
                </c:pt>
                <c:pt idx="69">
                  <c:v>1258</c:v>
                </c:pt>
                <c:pt idx="70">
                  <c:v>1300</c:v>
                </c:pt>
                <c:pt idx="71">
                  <c:v>1331</c:v>
                </c:pt>
                <c:pt idx="72">
                  <c:v>1245</c:v>
                </c:pt>
                <c:pt idx="73">
                  <c:v>1237</c:v>
                </c:pt>
                <c:pt idx="74">
                  <c:v>1269</c:v>
                </c:pt>
                <c:pt idx="75">
                  <c:v>1269</c:v>
                </c:pt>
                <c:pt idx="76">
                  <c:v>1275</c:v>
                </c:pt>
                <c:pt idx="77">
                  <c:v>1221</c:v>
                </c:pt>
                <c:pt idx="78">
                  <c:v>1201</c:v>
                </c:pt>
                <c:pt idx="79">
                  <c:v>1227</c:v>
                </c:pt>
                <c:pt idx="80">
                  <c:v>1228</c:v>
                </c:pt>
                <c:pt idx="81">
                  <c:v>1178</c:v>
                </c:pt>
                <c:pt idx="82">
                  <c:v>959</c:v>
                </c:pt>
                <c:pt idx="83">
                  <c:v>962</c:v>
                </c:pt>
                <c:pt idx="84">
                  <c:v>988</c:v>
                </c:pt>
                <c:pt idx="85">
                  <c:v>998</c:v>
                </c:pt>
                <c:pt idx="86">
                  <c:v>982</c:v>
                </c:pt>
                <c:pt idx="87">
                  <c:v>920</c:v>
                </c:pt>
                <c:pt idx="88">
                  <c:v>945</c:v>
                </c:pt>
                <c:pt idx="89">
                  <c:v>964</c:v>
                </c:pt>
                <c:pt idx="90">
                  <c:v>941</c:v>
                </c:pt>
                <c:pt idx="91">
                  <c:v>943</c:v>
                </c:pt>
                <c:pt idx="92">
                  <c:v>928</c:v>
                </c:pt>
                <c:pt idx="93">
                  <c:v>887</c:v>
                </c:pt>
                <c:pt idx="94">
                  <c:v>828</c:v>
                </c:pt>
                <c:pt idx="95">
                  <c:v>823</c:v>
                </c:pt>
                <c:pt idx="96">
                  <c:v>874</c:v>
                </c:pt>
                <c:pt idx="97">
                  <c:v>892</c:v>
                </c:pt>
                <c:pt idx="98">
                  <c:v>877</c:v>
                </c:pt>
                <c:pt idx="99">
                  <c:v>837</c:v>
                </c:pt>
                <c:pt idx="100">
                  <c:v>802</c:v>
                </c:pt>
                <c:pt idx="101">
                  <c:v>801</c:v>
                </c:pt>
                <c:pt idx="102">
                  <c:v>838</c:v>
                </c:pt>
                <c:pt idx="103">
                  <c:v>904</c:v>
                </c:pt>
                <c:pt idx="104">
                  <c:v>918</c:v>
                </c:pt>
                <c:pt idx="105">
                  <c:v>832</c:v>
                </c:pt>
                <c:pt idx="106">
                  <c:v>812</c:v>
                </c:pt>
                <c:pt idx="107">
                  <c:v>815</c:v>
                </c:pt>
                <c:pt idx="108">
                  <c:v>883</c:v>
                </c:pt>
                <c:pt idx="109">
                  <c:v>862</c:v>
                </c:pt>
                <c:pt idx="110">
                  <c:v>852</c:v>
                </c:pt>
                <c:pt idx="111">
                  <c:v>846</c:v>
                </c:pt>
                <c:pt idx="112">
                  <c:v>869</c:v>
                </c:pt>
                <c:pt idx="113">
                  <c:v>842</c:v>
                </c:pt>
                <c:pt idx="114">
                  <c:v>857</c:v>
                </c:pt>
                <c:pt idx="115">
                  <c:v>868</c:v>
                </c:pt>
                <c:pt idx="116">
                  <c:v>851</c:v>
                </c:pt>
                <c:pt idx="117">
                  <c:v>816</c:v>
                </c:pt>
                <c:pt idx="118">
                  <c:v>815</c:v>
                </c:pt>
                <c:pt idx="119">
                  <c:v>823</c:v>
                </c:pt>
                <c:pt idx="120">
                  <c:v>830</c:v>
                </c:pt>
                <c:pt idx="121">
                  <c:v>830</c:v>
                </c:pt>
                <c:pt idx="122">
                  <c:v>844</c:v>
                </c:pt>
                <c:pt idx="123">
                  <c:v>817</c:v>
                </c:pt>
                <c:pt idx="124">
                  <c:v>808</c:v>
                </c:pt>
                <c:pt idx="125">
                  <c:v>783</c:v>
                </c:pt>
                <c:pt idx="126">
                  <c:v>784</c:v>
                </c:pt>
                <c:pt idx="127">
                  <c:v>797</c:v>
                </c:pt>
                <c:pt idx="128">
                  <c:v>780</c:v>
                </c:pt>
                <c:pt idx="129">
                  <c:v>793</c:v>
                </c:pt>
                <c:pt idx="130">
                  <c:v>806</c:v>
                </c:pt>
                <c:pt idx="131">
                  <c:v>810</c:v>
                </c:pt>
                <c:pt idx="132">
                  <c:v>788</c:v>
                </c:pt>
                <c:pt idx="133">
                  <c:v>795</c:v>
                </c:pt>
                <c:pt idx="134">
                  <c:v>787</c:v>
                </c:pt>
                <c:pt idx="135">
                  <c:v>784</c:v>
                </c:pt>
                <c:pt idx="136">
                  <c:v>794</c:v>
                </c:pt>
                <c:pt idx="137">
                  <c:v>790</c:v>
                </c:pt>
                <c:pt idx="138">
                  <c:v>802</c:v>
                </c:pt>
                <c:pt idx="139">
                  <c:v>782</c:v>
                </c:pt>
                <c:pt idx="140">
                  <c:v>759</c:v>
                </c:pt>
                <c:pt idx="141">
                  <c:v>774</c:v>
                </c:pt>
                <c:pt idx="142">
                  <c:v>739</c:v>
                </c:pt>
                <c:pt idx="143">
                  <c:v>713</c:v>
                </c:pt>
                <c:pt idx="144">
                  <c:v>712</c:v>
                </c:pt>
                <c:pt idx="145">
                  <c:v>678</c:v>
                </c:pt>
                <c:pt idx="146">
                  <c:v>676</c:v>
                </c:pt>
                <c:pt idx="147">
                  <c:v>689</c:v>
                </c:pt>
                <c:pt idx="148">
                  <c:v>706</c:v>
                </c:pt>
                <c:pt idx="149">
                  <c:v>700</c:v>
                </c:pt>
                <c:pt idx="150">
                  <c:v>701</c:v>
                </c:pt>
                <c:pt idx="151">
                  <c:v>726</c:v>
                </c:pt>
                <c:pt idx="152">
                  <c:v>738</c:v>
                </c:pt>
                <c:pt idx="153">
                  <c:v>772</c:v>
                </c:pt>
                <c:pt idx="154">
                  <c:v>772</c:v>
                </c:pt>
                <c:pt idx="155">
                  <c:v>756</c:v>
                </c:pt>
                <c:pt idx="156">
                  <c:v>738</c:v>
                </c:pt>
                <c:pt idx="157">
                  <c:v>763</c:v>
                </c:pt>
                <c:pt idx="158">
                  <c:v>802</c:v>
                </c:pt>
                <c:pt idx="159">
                  <c:v>830</c:v>
                </c:pt>
                <c:pt idx="160">
                  <c:v>759</c:v>
                </c:pt>
                <c:pt idx="161">
                  <c:v>706</c:v>
                </c:pt>
                <c:pt idx="162">
                  <c:v>728</c:v>
                </c:pt>
                <c:pt idx="163">
                  <c:v>751</c:v>
                </c:pt>
                <c:pt idx="164">
                  <c:v>807</c:v>
                </c:pt>
                <c:pt idx="165">
                  <c:v>817</c:v>
                </c:pt>
                <c:pt idx="166">
                  <c:v>842</c:v>
                </c:pt>
                <c:pt idx="167">
                  <c:v>1000</c:v>
                </c:pt>
                <c:pt idx="168">
                  <c:v>999</c:v>
                </c:pt>
                <c:pt idx="169">
                  <c:v>1129</c:v>
                </c:pt>
                <c:pt idx="170">
                  <c:v>1191</c:v>
                </c:pt>
                <c:pt idx="171">
                  <c:v>1299</c:v>
                </c:pt>
                <c:pt idx="172">
                  <c:v>1387</c:v>
                </c:pt>
                <c:pt idx="173">
                  <c:v>1640</c:v>
                </c:pt>
                <c:pt idx="174">
                  <c:v>1601</c:v>
                </c:pt>
                <c:pt idx="175">
                  <c:v>1613</c:v>
                </c:pt>
                <c:pt idx="176">
                  <c:v>1320</c:v>
                </c:pt>
                <c:pt idx="177">
                  <c:v>1305</c:v>
                </c:pt>
                <c:pt idx="178">
                  <c:v>1380</c:v>
                </c:pt>
                <c:pt idx="179">
                  <c:v>1333</c:v>
                </c:pt>
                <c:pt idx="180">
                  <c:v>1446</c:v>
                </c:pt>
                <c:pt idx="181">
                  <c:v>1441</c:v>
                </c:pt>
                <c:pt idx="182">
                  <c:v>1396</c:v>
                </c:pt>
                <c:pt idx="183">
                  <c:v>1413</c:v>
                </c:pt>
                <c:pt idx="184">
                  <c:v>1500</c:v>
                </c:pt>
                <c:pt idx="185">
                  <c:v>2570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3-4163-B1C4-4C66CB851A1C}"/>
            </c:ext>
          </c:extLst>
        </c:ser>
        <c:ser>
          <c:idx val="2"/>
          <c:order val="2"/>
          <c:tx>
            <c:strRef>
              <c:f>'Figure 1sa'!$C$1</c:f>
              <c:strCache>
                <c:ptCount val="1"/>
                <c:pt idx="0">
                  <c:v>Soybean oil crude, FOB Brazil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1sa'!$A$2:$A$187</c:f>
              <c:numCache>
                <c:formatCode>mmm\-yyyy</c:formatCode>
                <c:ptCount val="186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  <c:pt idx="12">
                  <c:v>39356</c:v>
                </c:pt>
                <c:pt idx="13">
                  <c:v>39387</c:v>
                </c:pt>
                <c:pt idx="14">
                  <c:v>39417</c:v>
                </c:pt>
                <c:pt idx="15">
                  <c:v>39448</c:v>
                </c:pt>
                <c:pt idx="16">
                  <c:v>39479</c:v>
                </c:pt>
                <c:pt idx="17">
                  <c:v>39508</c:v>
                </c:pt>
                <c:pt idx="18">
                  <c:v>39539</c:v>
                </c:pt>
                <c:pt idx="19">
                  <c:v>39569</c:v>
                </c:pt>
                <c:pt idx="20">
                  <c:v>39600</c:v>
                </c:pt>
                <c:pt idx="21">
                  <c:v>39630</c:v>
                </c:pt>
                <c:pt idx="22">
                  <c:v>39661</c:v>
                </c:pt>
                <c:pt idx="23">
                  <c:v>39692</c:v>
                </c:pt>
                <c:pt idx="24">
                  <c:v>39722</c:v>
                </c:pt>
                <c:pt idx="25">
                  <c:v>39753</c:v>
                </c:pt>
                <c:pt idx="26">
                  <c:v>39783</c:v>
                </c:pt>
                <c:pt idx="27">
                  <c:v>39814</c:v>
                </c:pt>
                <c:pt idx="28">
                  <c:v>39845</c:v>
                </c:pt>
                <c:pt idx="29">
                  <c:v>39873</c:v>
                </c:pt>
                <c:pt idx="30">
                  <c:v>39904</c:v>
                </c:pt>
                <c:pt idx="31">
                  <c:v>39934</c:v>
                </c:pt>
                <c:pt idx="32">
                  <c:v>39965</c:v>
                </c:pt>
                <c:pt idx="33">
                  <c:v>39995</c:v>
                </c:pt>
                <c:pt idx="34">
                  <c:v>40026</c:v>
                </c:pt>
                <c:pt idx="35">
                  <c:v>40057</c:v>
                </c:pt>
                <c:pt idx="36">
                  <c:v>40087</c:v>
                </c:pt>
                <c:pt idx="37">
                  <c:v>40118</c:v>
                </c:pt>
                <c:pt idx="38">
                  <c:v>40148</c:v>
                </c:pt>
                <c:pt idx="39">
                  <c:v>40179</c:v>
                </c:pt>
                <c:pt idx="40">
                  <c:v>40210</c:v>
                </c:pt>
                <c:pt idx="41">
                  <c:v>40238</c:v>
                </c:pt>
                <c:pt idx="42">
                  <c:v>40269</c:v>
                </c:pt>
                <c:pt idx="43">
                  <c:v>40299</c:v>
                </c:pt>
                <c:pt idx="44">
                  <c:v>40330</c:v>
                </c:pt>
                <c:pt idx="45">
                  <c:v>40360</c:v>
                </c:pt>
                <c:pt idx="46">
                  <c:v>40391</c:v>
                </c:pt>
                <c:pt idx="47">
                  <c:v>40422</c:v>
                </c:pt>
                <c:pt idx="48">
                  <c:v>40452</c:v>
                </c:pt>
                <c:pt idx="49">
                  <c:v>40483</c:v>
                </c:pt>
                <c:pt idx="50">
                  <c:v>40513</c:v>
                </c:pt>
                <c:pt idx="51">
                  <c:v>40544</c:v>
                </c:pt>
                <c:pt idx="52">
                  <c:v>40575</c:v>
                </c:pt>
                <c:pt idx="53">
                  <c:v>40603</c:v>
                </c:pt>
                <c:pt idx="54">
                  <c:v>40634</c:v>
                </c:pt>
                <c:pt idx="55">
                  <c:v>40664</c:v>
                </c:pt>
                <c:pt idx="56">
                  <c:v>40695</c:v>
                </c:pt>
                <c:pt idx="57">
                  <c:v>40725</c:v>
                </c:pt>
                <c:pt idx="58">
                  <c:v>40756</c:v>
                </c:pt>
                <c:pt idx="59">
                  <c:v>40787</c:v>
                </c:pt>
                <c:pt idx="60">
                  <c:v>40817</c:v>
                </c:pt>
                <c:pt idx="61">
                  <c:v>40848</c:v>
                </c:pt>
                <c:pt idx="62">
                  <c:v>40878</c:v>
                </c:pt>
                <c:pt idx="63">
                  <c:v>40909</c:v>
                </c:pt>
                <c:pt idx="64">
                  <c:v>40940</c:v>
                </c:pt>
                <c:pt idx="65">
                  <c:v>40969</c:v>
                </c:pt>
                <c:pt idx="66">
                  <c:v>41000</c:v>
                </c:pt>
                <c:pt idx="67">
                  <c:v>41030</c:v>
                </c:pt>
                <c:pt idx="68">
                  <c:v>41061</c:v>
                </c:pt>
                <c:pt idx="69">
                  <c:v>41091</c:v>
                </c:pt>
                <c:pt idx="70">
                  <c:v>41122</c:v>
                </c:pt>
                <c:pt idx="71">
                  <c:v>41153</c:v>
                </c:pt>
                <c:pt idx="72">
                  <c:v>41183</c:v>
                </c:pt>
                <c:pt idx="73">
                  <c:v>41214</c:v>
                </c:pt>
                <c:pt idx="74">
                  <c:v>41244</c:v>
                </c:pt>
                <c:pt idx="75">
                  <c:v>41275</c:v>
                </c:pt>
                <c:pt idx="76">
                  <c:v>41306</c:v>
                </c:pt>
                <c:pt idx="77">
                  <c:v>41334</c:v>
                </c:pt>
                <c:pt idx="78">
                  <c:v>41365</c:v>
                </c:pt>
                <c:pt idx="79">
                  <c:v>41395</c:v>
                </c:pt>
                <c:pt idx="80">
                  <c:v>41426</c:v>
                </c:pt>
                <c:pt idx="81">
                  <c:v>41456</c:v>
                </c:pt>
                <c:pt idx="82">
                  <c:v>41487</c:v>
                </c:pt>
                <c:pt idx="83">
                  <c:v>41518</c:v>
                </c:pt>
                <c:pt idx="84">
                  <c:v>41548</c:v>
                </c:pt>
                <c:pt idx="85">
                  <c:v>41579</c:v>
                </c:pt>
                <c:pt idx="86">
                  <c:v>41609</c:v>
                </c:pt>
                <c:pt idx="87">
                  <c:v>41640</c:v>
                </c:pt>
                <c:pt idx="88">
                  <c:v>41671</c:v>
                </c:pt>
                <c:pt idx="89">
                  <c:v>41699</c:v>
                </c:pt>
                <c:pt idx="90">
                  <c:v>41730</c:v>
                </c:pt>
                <c:pt idx="91">
                  <c:v>41760</c:v>
                </c:pt>
                <c:pt idx="92">
                  <c:v>41791</c:v>
                </c:pt>
                <c:pt idx="93">
                  <c:v>41821</c:v>
                </c:pt>
                <c:pt idx="94">
                  <c:v>41852</c:v>
                </c:pt>
                <c:pt idx="95">
                  <c:v>41883</c:v>
                </c:pt>
                <c:pt idx="96">
                  <c:v>41913</c:v>
                </c:pt>
                <c:pt idx="97">
                  <c:v>41944</c:v>
                </c:pt>
                <c:pt idx="98">
                  <c:v>41974</c:v>
                </c:pt>
                <c:pt idx="99">
                  <c:v>42005</c:v>
                </c:pt>
                <c:pt idx="100">
                  <c:v>42036</c:v>
                </c:pt>
                <c:pt idx="101">
                  <c:v>42064</c:v>
                </c:pt>
                <c:pt idx="102">
                  <c:v>42095</c:v>
                </c:pt>
                <c:pt idx="103">
                  <c:v>42125</c:v>
                </c:pt>
                <c:pt idx="104">
                  <c:v>42156</c:v>
                </c:pt>
                <c:pt idx="105">
                  <c:v>42186</c:v>
                </c:pt>
                <c:pt idx="106">
                  <c:v>42217</c:v>
                </c:pt>
                <c:pt idx="107">
                  <c:v>42248</c:v>
                </c:pt>
                <c:pt idx="108">
                  <c:v>42278</c:v>
                </c:pt>
                <c:pt idx="109">
                  <c:v>42309</c:v>
                </c:pt>
                <c:pt idx="110">
                  <c:v>42339</c:v>
                </c:pt>
                <c:pt idx="111">
                  <c:v>42370</c:v>
                </c:pt>
                <c:pt idx="112">
                  <c:v>42401</c:v>
                </c:pt>
                <c:pt idx="113">
                  <c:v>42430</c:v>
                </c:pt>
                <c:pt idx="114">
                  <c:v>42461</c:v>
                </c:pt>
                <c:pt idx="115">
                  <c:v>42491</c:v>
                </c:pt>
                <c:pt idx="116">
                  <c:v>42522</c:v>
                </c:pt>
                <c:pt idx="117">
                  <c:v>42552</c:v>
                </c:pt>
                <c:pt idx="118">
                  <c:v>42583</c:v>
                </c:pt>
                <c:pt idx="119">
                  <c:v>42614</c:v>
                </c:pt>
                <c:pt idx="120">
                  <c:v>42644</c:v>
                </c:pt>
                <c:pt idx="121">
                  <c:v>42675</c:v>
                </c:pt>
                <c:pt idx="122">
                  <c:v>42705</c:v>
                </c:pt>
                <c:pt idx="123">
                  <c:v>42736</c:v>
                </c:pt>
                <c:pt idx="124">
                  <c:v>42767</c:v>
                </c:pt>
                <c:pt idx="125">
                  <c:v>42795</c:v>
                </c:pt>
                <c:pt idx="126">
                  <c:v>42826</c:v>
                </c:pt>
                <c:pt idx="127">
                  <c:v>42856</c:v>
                </c:pt>
                <c:pt idx="128">
                  <c:v>42887</c:v>
                </c:pt>
                <c:pt idx="129">
                  <c:v>42917</c:v>
                </c:pt>
                <c:pt idx="130">
                  <c:v>42948</c:v>
                </c:pt>
                <c:pt idx="131">
                  <c:v>42979</c:v>
                </c:pt>
                <c:pt idx="132">
                  <c:v>43009</c:v>
                </c:pt>
                <c:pt idx="133">
                  <c:v>43040</c:v>
                </c:pt>
                <c:pt idx="134">
                  <c:v>43070</c:v>
                </c:pt>
                <c:pt idx="135">
                  <c:v>43101</c:v>
                </c:pt>
                <c:pt idx="136">
                  <c:v>43132</c:v>
                </c:pt>
                <c:pt idx="137">
                  <c:v>43160</c:v>
                </c:pt>
                <c:pt idx="138">
                  <c:v>43191</c:v>
                </c:pt>
                <c:pt idx="139">
                  <c:v>43221</c:v>
                </c:pt>
                <c:pt idx="140">
                  <c:v>43252</c:v>
                </c:pt>
                <c:pt idx="141">
                  <c:v>43282</c:v>
                </c:pt>
                <c:pt idx="142">
                  <c:v>43313</c:v>
                </c:pt>
                <c:pt idx="143">
                  <c:v>43344</c:v>
                </c:pt>
                <c:pt idx="144">
                  <c:v>43374</c:v>
                </c:pt>
                <c:pt idx="145">
                  <c:v>43405</c:v>
                </c:pt>
                <c:pt idx="146">
                  <c:v>43435</c:v>
                </c:pt>
                <c:pt idx="147">
                  <c:v>43466</c:v>
                </c:pt>
                <c:pt idx="148">
                  <c:v>43497</c:v>
                </c:pt>
                <c:pt idx="149">
                  <c:v>43525</c:v>
                </c:pt>
                <c:pt idx="150">
                  <c:v>43556</c:v>
                </c:pt>
                <c:pt idx="151">
                  <c:v>43586</c:v>
                </c:pt>
                <c:pt idx="152">
                  <c:v>43617</c:v>
                </c:pt>
                <c:pt idx="153">
                  <c:v>43647</c:v>
                </c:pt>
                <c:pt idx="154">
                  <c:v>43678</c:v>
                </c:pt>
                <c:pt idx="155">
                  <c:v>43709</c:v>
                </c:pt>
                <c:pt idx="156">
                  <c:v>43739</c:v>
                </c:pt>
                <c:pt idx="157">
                  <c:v>43770</c:v>
                </c:pt>
                <c:pt idx="158">
                  <c:v>43800</c:v>
                </c:pt>
                <c:pt idx="159">
                  <c:v>43831</c:v>
                </c:pt>
                <c:pt idx="160">
                  <c:v>43862</c:v>
                </c:pt>
                <c:pt idx="161">
                  <c:v>43891</c:v>
                </c:pt>
                <c:pt idx="162">
                  <c:v>43922</c:v>
                </c:pt>
                <c:pt idx="163">
                  <c:v>43952</c:v>
                </c:pt>
                <c:pt idx="164">
                  <c:v>43983</c:v>
                </c:pt>
                <c:pt idx="165">
                  <c:v>44013</c:v>
                </c:pt>
                <c:pt idx="166">
                  <c:v>44044</c:v>
                </c:pt>
                <c:pt idx="167">
                  <c:v>44075</c:v>
                </c:pt>
                <c:pt idx="168">
                  <c:v>44105</c:v>
                </c:pt>
                <c:pt idx="169">
                  <c:v>44136</c:v>
                </c:pt>
                <c:pt idx="170">
                  <c:v>44166</c:v>
                </c:pt>
                <c:pt idx="171">
                  <c:v>44197</c:v>
                </c:pt>
                <c:pt idx="172">
                  <c:v>44228</c:v>
                </c:pt>
                <c:pt idx="173">
                  <c:v>44256</c:v>
                </c:pt>
                <c:pt idx="174">
                  <c:v>44287</c:v>
                </c:pt>
                <c:pt idx="175">
                  <c:v>44317</c:v>
                </c:pt>
                <c:pt idx="176">
                  <c:v>44348</c:v>
                </c:pt>
                <c:pt idx="177">
                  <c:v>44378</c:v>
                </c:pt>
                <c:pt idx="178">
                  <c:v>44409</c:v>
                </c:pt>
                <c:pt idx="179">
                  <c:v>44440</c:v>
                </c:pt>
                <c:pt idx="180">
                  <c:v>44470</c:v>
                </c:pt>
                <c:pt idx="181">
                  <c:v>44501</c:v>
                </c:pt>
                <c:pt idx="182">
                  <c:v>44531</c:v>
                </c:pt>
                <c:pt idx="183">
                  <c:v>44562</c:v>
                </c:pt>
                <c:pt idx="184">
                  <c:v>44593</c:v>
                </c:pt>
                <c:pt idx="185">
                  <c:v>44621</c:v>
                </c:pt>
              </c:numCache>
            </c:numRef>
          </c:cat>
          <c:val>
            <c:numRef>
              <c:f>'Figure 1sa'!$C$2:$C$187</c:f>
              <c:numCache>
                <c:formatCode>0</c:formatCode>
                <c:ptCount val="186"/>
                <c:pt idx="0">
                  <c:v>544</c:v>
                </c:pt>
                <c:pt idx="1">
                  <c:v>629</c:v>
                </c:pt>
                <c:pt idx="2">
                  <c:v>629</c:v>
                </c:pt>
                <c:pt idx="3">
                  <c:v>620</c:v>
                </c:pt>
                <c:pt idx="4">
                  <c:v>605</c:v>
                </c:pt>
                <c:pt idx="5">
                  <c:v>605</c:v>
                </c:pt>
                <c:pt idx="6">
                  <c:v>645</c:v>
                </c:pt>
                <c:pt idx="7">
                  <c:v>637</c:v>
                </c:pt>
                <c:pt idx="8">
                  <c:v>745</c:v>
                </c:pt>
                <c:pt idx="9">
                  <c:v>780</c:v>
                </c:pt>
                <c:pt idx="10">
                  <c:v>810</c:v>
                </c:pt>
                <c:pt idx="11">
                  <c:v>829</c:v>
                </c:pt>
                <c:pt idx="12">
                  <c:v>896</c:v>
                </c:pt>
                <c:pt idx="13">
                  <c:v>1020</c:v>
                </c:pt>
                <c:pt idx="14">
                  <c:v>1045</c:v>
                </c:pt>
                <c:pt idx="15">
                  <c:v>1177</c:v>
                </c:pt>
                <c:pt idx="16">
                  <c:v>1354</c:v>
                </c:pt>
                <c:pt idx="17">
                  <c:v>1346</c:v>
                </c:pt>
                <c:pt idx="18">
                  <c:v>1320</c:v>
                </c:pt>
                <c:pt idx="19">
                  <c:v>1322</c:v>
                </c:pt>
                <c:pt idx="20">
                  <c:v>1382</c:v>
                </c:pt>
                <c:pt idx="21">
                  <c:v>1326</c:v>
                </c:pt>
                <c:pt idx="22">
                  <c:v>1110</c:v>
                </c:pt>
                <c:pt idx="23">
                  <c:v>987</c:v>
                </c:pt>
                <c:pt idx="24">
                  <c:v>769</c:v>
                </c:pt>
                <c:pt idx="25">
                  <c:v>698</c:v>
                </c:pt>
                <c:pt idx="26">
                  <c:v>627</c:v>
                </c:pt>
                <c:pt idx="27">
                  <c:v>700</c:v>
                </c:pt>
                <c:pt idx="28">
                  <c:v>665</c:v>
                </c:pt>
                <c:pt idx="29">
                  <c:v>655</c:v>
                </c:pt>
                <c:pt idx="30">
                  <c:v>762</c:v>
                </c:pt>
                <c:pt idx="31">
                  <c:v>847</c:v>
                </c:pt>
                <c:pt idx="32">
                  <c:v>832</c:v>
                </c:pt>
                <c:pt idx="33">
                  <c:v>751</c:v>
                </c:pt>
                <c:pt idx="34">
                  <c:v>814</c:v>
                </c:pt>
                <c:pt idx="35">
                  <c:v>759</c:v>
                </c:pt>
                <c:pt idx="36">
                  <c:v>802</c:v>
                </c:pt>
                <c:pt idx="37">
                  <c:v>855</c:v>
                </c:pt>
                <c:pt idx="38">
                  <c:v>857</c:v>
                </c:pt>
                <c:pt idx="39">
                  <c:v>845</c:v>
                </c:pt>
                <c:pt idx="40">
                  <c:v>840</c:v>
                </c:pt>
                <c:pt idx="41">
                  <c:v>820</c:v>
                </c:pt>
                <c:pt idx="42">
                  <c:v>817</c:v>
                </c:pt>
                <c:pt idx="43">
                  <c:v>820</c:v>
                </c:pt>
                <c:pt idx="44">
                  <c:v>808</c:v>
                </c:pt>
                <c:pt idx="45">
                  <c:v>856</c:v>
                </c:pt>
                <c:pt idx="46">
                  <c:v>915</c:v>
                </c:pt>
                <c:pt idx="47">
                  <c:v>940</c:v>
                </c:pt>
                <c:pt idx="48">
                  <c:v>1040</c:v>
                </c:pt>
                <c:pt idx="49">
                  <c:v>1130</c:v>
                </c:pt>
                <c:pt idx="50">
                  <c:v>1208</c:v>
                </c:pt>
                <c:pt idx="51">
                  <c:v>1269</c:v>
                </c:pt>
                <c:pt idx="52">
                  <c:v>1280</c:v>
                </c:pt>
                <c:pt idx="53">
                  <c:v>1232</c:v>
                </c:pt>
                <c:pt idx="54">
                  <c:v>1229</c:v>
                </c:pt>
                <c:pt idx="55">
                  <c:v>1210</c:v>
                </c:pt>
                <c:pt idx="56">
                  <c:v>1226</c:v>
                </c:pt>
                <c:pt idx="57">
                  <c:v>1242</c:v>
                </c:pt>
                <c:pt idx="58">
                  <c:v>1243</c:v>
                </c:pt>
                <c:pt idx="59">
                  <c:v>1210</c:v>
                </c:pt>
                <c:pt idx="60">
                  <c:v>1118</c:v>
                </c:pt>
                <c:pt idx="61">
                  <c:v>1124</c:v>
                </c:pt>
                <c:pt idx="62">
                  <c:v>1100</c:v>
                </c:pt>
                <c:pt idx="63">
                  <c:v>1112</c:v>
                </c:pt>
                <c:pt idx="64">
                  <c:v>1169</c:v>
                </c:pt>
                <c:pt idx="65">
                  <c:v>1180</c:v>
                </c:pt>
                <c:pt idx="66">
                  <c:v>1241</c:v>
                </c:pt>
                <c:pt idx="67">
                  <c:v>1142</c:v>
                </c:pt>
                <c:pt idx="68">
                  <c:v>1112</c:v>
                </c:pt>
                <c:pt idx="69">
                  <c:v>1192</c:v>
                </c:pt>
                <c:pt idx="70">
                  <c:v>1214</c:v>
                </c:pt>
                <c:pt idx="71">
                  <c:v>1234</c:v>
                </c:pt>
                <c:pt idx="72">
                  <c:v>1095</c:v>
                </c:pt>
                <c:pt idx="73">
                  <c:v>1080</c:v>
                </c:pt>
                <c:pt idx="74">
                  <c:v>1106</c:v>
                </c:pt>
                <c:pt idx="75">
                  <c:v>1108</c:v>
                </c:pt>
                <c:pt idx="76">
                  <c:v>1106</c:v>
                </c:pt>
                <c:pt idx="77">
                  <c:v>1042</c:v>
                </c:pt>
                <c:pt idx="78">
                  <c:v>1012</c:v>
                </c:pt>
                <c:pt idx="79">
                  <c:v>991</c:v>
                </c:pt>
                <c:pt idx="80">
                  <c:v>942</c:v>
                </c:pt>
                <c:pt idx="81">
                  <c:v>880</c:v>
                </c:pt>
                <c:pt idx="82">
                  <c:v>876</c:v>
                </c:pt>
                <c:pt idx="83">
                  <c:v>902</c:v>
                </c:pt>
                <c:pt idx="84">
                  <c:v>915</c:v>
                </c:pt>
                <c:pt idx="85">
                  <c:v>924</c:v>
                </c:pt>
                <c:pt idx="86">
                  <c:v>884</c:v>
                </c:pt>
                <c:pt idx="87">
                  <c:v>841</c:v>
                </c:pt>
                <c:pt idx="88">
                  <c:v>878</c:v>
                </c:pt>
                <c:pt idx="89">
                  <c:v>922</c:v>
                </c:pt>
                <c:pt idx="90">
                  <c:v>909</c:v>
                </c:pt>
                <c:pt idx="91">
                  <c:v>880</c:v>
                </c:pt>
                <c:pt idx="92">
                  <c:v>880</c:v>
                </c:pt>
                <c:pt idx="93">
                  <c:v>861</c:v>
                </c:pt>
                <c:pt idx="94">
                  <c:v>804</c:v>
                </c:pt>
                <c:pt idx="95">
                  <c:v>751</c:v>
                </c:pt>
                <c:pt idx="96">
                  <c:v>764</c:v>
                </c:pt>
                <c:pt idx="97">
                  <c:v>765</c:v>
                </c:pt>
                <c:pt idx="98">
                  <c:v>772</c:v>
                </c:pt>
                <c:pt idx="99">
                  <c:v>773</c:v>
                </c:pt>
                <c:pt idx="100">
                  <c:v>725</c:v>
                </c:pt>
                <c:pt idx="101">
                  <c:v>676</c:v>
                </c:pt>
                <c:pt idx="102">
                  <c:v>670</c:v>
                </c:pt>
                <c:pt idx="103">
                  <c:v>704</c:v>
                </c:pt>
                <c:pt idx="104">
                  <c:v>712</c:v>
                </c:pt>
                <c:pt idx="105">
                  <c:v>658</c:v>
                </c:pt>
                <c:pt idx="106">
                  <c:v>633</c:v>
                </c:pt>
                <c:pt idx="107">
                  <c:v>614</c:v>
                </c:pt>
                <c:pt idx="108">
                  <c:v>673</c:v>
                </c:pt>
                <c:pt idx="109">
                  <c:v>678</c:v>
                </c:pt>
                <c:pt idx="110">
                  <c:v>677</c:v>
                </c:pt>
                <c:pt idx="111">
                  <c:v>658</c:v>
                </c:pt>
                <c:pt idx="112">
                  <c:v>680</c:v>
                </c:pt>
                <c:pt idx="113">
                  <c:v>691</c:v>
                </c:pt>
                <c:pt idx="114">
                  <c:v>740</c:v>
                </c:pt>
                <c:pt idx="115">
                  <c:v>721</c:v>
                </c:pt>
                <c:pt idx="116">
                  <c:v>714</c:v>
                </c:pt>
                <c:pt idx="117">
                  <c:v>694</c:v>
                </c:pt>
                <c:pt idx="118">
                  <c:v>753</c:v>
                </c:pt>
                <c:pt idx="119">
                  <c:v>764</c:v>
                </c:pt>
                <c:pt idx="120">
                  <c:v>797</c:v>
                </c:pt>
                <c:pt idx="121">
                  <c:v>803</c:v>
                </c:pt>
                <c:pt idx="122">
                  <c:v>826</c:v>
                </c:pt>
                <c:pt idx="123">
                  <c:v>798</c:v>
                </c:pt>
                <c:pt idx="124">
                  <c:v>761</c:v>
                </c:pt>
                <c:pt idx="125">
                  <c:v>734</c:v>
                </c:pt>
                <c:pt idx="126">
                  <c:v>704</c:v>
                </c:pt>
                <c:pt idx="127">
                  <c:v>734</c:v>
                </c:pt>
                <c:pt idx="128">
                  <c:v>739</c:v>
                </c:pt>
                <c:pt idx="129">
                  <c:v>747</c:v>
                </c:pt>
                <c:pt idx="130">
                  <c:v>760</c:v>
                </c:pt>
                <c:pt idx="131">
                  <c:v>779</c:v>
                </c:pt>
                <c:pt idx="132">
                  <c:v>770</c:v>
                </c:pt>
                <c:pt idx="133">
                  <c:v>781</c:v>
                </c:pt>
                <c:pt idx="134">
                  <c:v>753</c:v>
                </c:pt>
                <c:pt idx="135">
                  <c:v>759</c:v>
                </c:pt>
                <c:pt idx="136">
                  <c:v>748</c:v>
                </c:pt>
                <c:pt idx="137">
                  <c:v>747</c:v>
                </c:pt>
                <c:pt idx="138">
                  <c:v>730</c:v>
                </c:pt>
                <c:pt idx="139">
                  <c:v>710</c:v>
                </c:pt>
                <c:pt idx="140">
                  <c:v>685</c:v>
                </c:pt>
                <c:pt idx="141">
                  <c:v>666</c:v>
                </c:pt>
                <c:pt idx="142">
                  <c:v>657</c:v>
                </c:pt>
                <c:pt idx="143">
                  <c:v>653</c:v>
                </c:pt>
                <c:pt idx="144">
                  <c:v>676</c:v>
                </c:pt>
                <c:pt idx="145">
                  <c:v>645</c:v>
                </c:pt>
                <c:pt idx="146">
                  <c:v>633</c:v>
                </c:pt>
                <c:pt idx="147">
                  <c:v>652</c:v>
                </c:pt>
                <c:pt idx="148">
                  <c:v>683</c:v>
                </c:pt>
                <c:pt idx="149">
                  <c:v>641</c:v>
                </c:pt>
                <c:pt idx="150">
                  <c:v>627</c:v>
                </c:pt>
                <c:pt idx="151">
                  <c:v>626</c:v>
                </c:pt>
                <c:pt idx="152">
                  <c:v>637</c:v>
                </c:pt>
                <c:pt idx="153">
                  <c:v>638</c:v>
                </c:pt>
                <c:pt idx="154">
                  <c:v>676</c:v>
                </c:pt>
                <c:pt idx="155">
                  <c:v>677</c:v>
                </c:pt>
                <c:pt idx="156">
                  <c:v>677</c:v>
                </c:pt>
                <c:pt idx="157">
                  <c:v>704</c:v>
                </c:pt>
                <c:pt idx="158">
                  <c:v>778</c:v>
                </c:pt>
                <c:pt idx="159">
                  <c:v>790</c:v>
                </c:pt>
                <c:pt idx="160">
                  <c:v>712</c:v>
                </c:pt>
                <c:pt idx="161">
                  <c:v>608</c:v>
                </c:pt>
                <c:pt idx="162">
                  <c:v>587</c:v>
                </c:pt>
                <c:pt idx="163">
                  <c:v>595</c:v>
                </c:pt>
                <c:pt idx="164">
                  <c:v>661</c:v>
                </c:pt>
                <c:pt idx="165">
                  <c:v>724</c:v>
                </c:pt>
                <c:pt idx="166">
                  <c:v>773</c:v>
                </c:pt>
                <c:pt idx="167">
                  <c:v>855</c:v>
                </c:pt>
                <c:pt idx="168">
                  <c:v>899</c:v>
                </c:pt>
                <c:pt idx="169">
                  <c:v>977</c:v>
                </c:pt>
                <c:pt idx="170">
                  <c:v>1010</c:v>
                </c:pt>
                <c:pt idx="171">
                  <c:v>1052</c:v>
                </c:pt>
                <c:pt idx="172">
                  <c:v>1063</c:v>
                </c:pt>
                <c:pt idx="173">
                  <c:v>1201</c:v>
                </c:pt>
                <c:pt idx="174">
                  <c:v>1238</c:v>
                </c:pt>
                <c:pt idx="175">
                  <c:v>1364</c:v>
                </c:pt>
                <c:pt idx="176">
                  <c:v>1237</c:v>
                </c:pt>
                <c:pt idx="177">
                  <c:v>1273</c:v>
                </c:pt>
                <c:pt idx="178">
                  <c:v>1323</c:v>
                </c:pt>
                <c:pt idx="179">
                  <c:v>1313</c:v>
                </c:pt>
                <c:pt idx="180">
                  <c:v>1383</c:v>
                </c:pt>
                <c:pt idx="181">
                  <c:v>1392</c:v>
                </c:pt>
                <c:pt idx="182">
                  <c:v>1351</c:v>
                </c:pt>
                <c:pt idx="183">
                  <c:v>1389</c:v>
                </c:pt>
                <c:pt idx="184">
                  <c:v>1533</c:v>
                </c:pt>
                <c:pt idx="185">
                  <c:v>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B3-4163-B1C4-4C66CB851A1C}"/>
            </c:ext>
          </c:extLst>
        </c:ser>
        <c:ser>
          <c:idx val="3"/>
          <c:order val="3"/>
          <c:tx>
            <c:strRef>
              <c:f>'Figure 1sa'!$E$1</c:f>
              <c:strCache>
                <c:ptCount val="1"/>
                <c:pt idx="0">
                  <c:v>Canola oil, FOB ex-mill Dutch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1sa'!$A$2:$A$187</c:f>
              <c:numCache>
                <c:formatCode>mmm\-yyyy</c:formatCode>
                <c:ptCount val="186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  <c:pt idx="12">
                  <c:v>39356</c:v>
                </c:pt>
                <c:pt idx="13">
                  <c:v>39387</c:v>
                </c:pt>
                <c:pt idx="14">
                  <c:v>39417</c:v>
                </c:pt>
                <c:pt idx="15">
                  <c:v>39448</c:v>
                </c:pt>
                <c:pt idx="16">
                  <c:v>39479</c:v>
                </c:pt>
                <c:pt idx="17">
                  <c:v>39508</c:v>
                </c:pt>
                <c:pt idx="18">
                  <c:v>39539</c:v>
                </c:pt>
                <c:pt idx="19">
                  <c:v>39569</c:v>
                </c:pt>
                <c:pt idx="20">
                  <c:v>39600</c:v>
                </c:pt>
                <c:pt idx="21">
                  <c:v>39630</c:v>
                </c:pt>
                <c:pt idx="22">
                  <c:v>39661</c:v>
                </c:pt>
                <c:pt idx="23">
                  <c:v>39692</c:v>
                </c:pt>
                <c:pt idx="24">
                  <c:v>39722</c:v>
                </c:pt>
                <c:pt idx="25">
                  <c:v>39753</c:v>
                </c:pt>
                <c:pt idx="26">
                  <c:v>39783</c:v>
                </c:pt>
                <c:pt idx="27">
                  <c:v>39814</c:v>
                </c:pt>
                <c:pt idx="28">
                  <c:v>39845</c:v>
                </c:pt>
                <c:pt idx="29">
                  <c:v>39873</c:v>
                </c:pt>
                <c:pt idx="30">
                  <c:v>39904</c:v>
                </c:pt>
                <c:pt idx="31">
                  <c:v>39934</c:v>
                </c:pt>
                <c:pt idx="32">
                  <c:v>39965</c:v>
                </c:pt>
                <c:pt idx="33">
                  <c:v>39995</c:v>
                </c:pt>
                <c:pt idx="34">
                  <c:v>40026</c:v>
                </c:pt>
                <c:pt idx="35">
                  <c:v>40057</c:v>
                </c:pt>
                <c:pt idx="36">
                  <c:v>40087</c:v>
                </c:pt>
                <c:pt idx="37">
                  <c:v>40118</c:v>
                </c:pt>
                <c:pt idx="38">
                  <c:v>40148</c:v>
                </c:pt>
                <c:pt idx="39">
                  <c:v>40179</c:v>
                </c:pt>
                <c:pt idx="40">
                  <c:v>40210</c:v>
                </c:pt>
                <c:pt idx="41">
                  <c:v>40238</c:v>
                </c:pt>
                <c:pt idx="42">
                  <c:v>40269</c:v>
                </c:pt>
                <c:pt idx="43">
                  <c:v>40299</c:v>
                </c:pt>
                <c:pt idx="44">
                  <c:v>40330</c:v>
                </c:pt>
                <c:pt idx="45">
                  <c:v>40360</c:v>
                </c:pt>
                <c:pt idx="46">
                  <c:v>40391</c:v>
                </c:pt>
                <c:pt idx="47">
                  <c:v>40422</c:v>
                </c:pt>
                <c:pt idx="48">
                  <c:v>40452</c:v>
                </c:pt>
                <c:pt idx="49">
                  <c:v>40483</c:v>
                </c:pt>
                <c:pt idx="50">
                  <c:v>40513</c:v>
                </c:pt>
                <c:pt idx="51">
                  <c:v>40544</c:v>
                </c:pt>
                <c:pt idx="52">
                  <c:v>40575</c:v>
                </c:pt>
                <c:pt idx="53">
                  <c:v>40603</c:v>
                </c:pt>
                <c:pt idx="54">
                  <c:v>40634</c:v>
                </c:pt>
                <c:pt idx="55">
                  <c:v>40664</c:v>
                </c:pt>
                <c:pt idx="56">
                  <c:v>40695</c:v>
                </c:pt>
                <c:pt idx="57">
                  <c:v>40725</c:v>
                </c:pt>
                <c:pt idx="58">
                  <c:v>40756</c:v>
                </c:pt>
                <c:pt idx="59">
                  <c:v>40787</c:v>
                </c:pt>
                <c:pt idx="60">
                  <c:v>40817</c:v>
                </c:pt>
                <c:pt idx="61">
                  <c:v>40848</c:v>
                </c:pt>
                <c:pt idx="62">
                  <c:v>40878</c:v>
                </c:pt>
                <c:pt idx="63">
                  <c:v>40909</c:v>
                </c:pt>
                <c:pt idx="64">
                  <c:v>40940</c:v>
                </c:pt>
                <c:pt idx="65">
                  <c:v>40969</c:v>
                </c:pt>
                <c:pt idx="66">
                  <c:v>41000</c:v>
                </c:pt>
                <c:pt idx="67">
                  <c:v>41030</c:v>
                </c:pt>
                <c:pt idx="68">
                  <c:v>41061</c:v>
                </c:pt>
                <c:pt idx="69">
                  <c:v>41091</c:v>
                </c:pt>
                <c:pt idx="70">
                  <c:v>41122</c:v>
                </c:pt>
                <c:pt idx="71">
                  <c:v>41153</c:v>
                </c:pt>
                <c:pt idx="72">
                  <c:v>41183</c:v>
                </c:pt>
                <c:pt idx="73">
                  <c:v>41214</c:v>
                </c:pt>
                <c:pt idx="74">
                  <c:v>41244</c:v>
                </c:pt>
                <c:pt idx="75">
                  <c:v>41275</c:v>
                </c:pt>
                <c:pt idx="76">
                  <c:v>41306</c:v>
                </c:pt>
                <c:pt idx="77">
                  <c:v>41334</c:v>
                </c:pt>
                <c:pt idx="78">
                  <c:v>41365</c:v>
                </c:pt>
                <c:pt idx="79">
                  <c:v>41395</c:v>
                </c:pt>
                <c:pt idx="80">
                  <c:v>41426</c:v>
                </c:pt>
                <c:pt idx="81">
                  <c:v>41456</c:v>
                </c:pt>
                <c:pt idx="82">
                  <c:v>41487</c:v>
                </c:pt>
                <c:pt idx="83">
                  <c:v>41518</c:v>
                </c:pt>
                <c:pt idx="84">
                  <c:v>41548</c:v>
                </c:pt>
                <c:pt idx="85">
                  <c:v>41579</c:v>
                </c:pt>
                <c:pt idx="86">
                  <c:v>41609</c:v>
                </c:pt>
                <c:pt idx="87">
                  <c:v>41640</c:v>
                </c:pt>
                <c:pt idx="88">
                  <c:v>41671</c:v>
                </c:pt>
                <c:pt idx="89">
                  <c:v>41699</c:v>
                </c:pt>
                <c:pt idx="90">
                  <c:v>41730</c:v>
                </c:pt>
                <c:pt idx="91">
                  <c:v>41760</c:v>
                </c:pt>
                <c:pt idx="92">
                  <c:v>41791</c:v>
                </c:pt>
                <c:pt idx="93">
                  <c:v>41821</c:v>
                </c:pt>
                <c:pt idx="94">
                  <c:v>41852</c:v>
                </c:pt>
                <c:pt idx="95">
                  <c:v>41883</c:v>
                </c:pt>
                <c:pt idx="96">
                  <c:v>41913</c:v>
                </c:pt>
                <c:pt idx="97">
                  <c:v>41944</c:v>
                </c:pt>
                <c:pt idx="98">
                  <c:v>41974</c:v>
                </c:pt>
                <c:pt idx="99">
                  <c:v>42005</c:v>
                </c:pt>
                <c:pt idx="100">
                  <c:v>42036</c:v>
                </c:pt>
                <c:pt idx="101">
                  <c:v>42064</c:v>
                </c:pt>
                <c:pt idx="102">
                  <c:v>42095</c:v>
                </c:pt>
                <c:pt idx="103">
                  <c:v>42125</c:v>
                </c:pt>
                <c:pt idx="104">
                  <c:v>42156</c:v>
                </c:pt>
                <c:pt idx="105">
                  <c:v>42186</c:v>
                </c:pt>
                <c:pt idx="106">
                  <c:v>42217</c:v>
                </c:pt>
                <c:pt idx="107">
                  <c:v>42248</c:v>
                </c:pt>
                <c:pt idx="108">
                  <c:v>42278</c:v>
                </c:pt>
                <c:pt idx="109">
                  <c:v>42309</c:v>
                </c:pt>
                <c:pt idx="110">
                  <c:v>42339</c:v>
                </c:pt>
                <c:pt idx="111">
                  <c:v>42370</c:v>
                </c:pt>
                <c:pt idx="112">
                  <c:v>42401</c:v>
                </c:pt>
                <c:pt idx="113">
                  <c:v>42430</c:v>
                </c:pt>
                <c:pt idx="114">
                  <c:v>42461</c:v>
                </c:pt>
                <c:pt idx="115">
                  <c:v>42491</c:v>
                </c:pt>
                <c:pt idx="116">
                  <c:v>42522</c:v>
                </c:pt>
                <c:pt idx="117">
                  <c:v>42552</c:v>
                </c:pt>
                <c:pt idx="118">
                  <c:v>42583</c:v>
                </c:pt>
                <c:pt idx="119">
                  <c:v>42614</c:v>
                </c:pt>
                <c:pt idx="120">
                  <c:v>42644</c:v>
                </c:pt>
                <c:pt idx="121">
                  <c:v>42675</c:v>
                </c:pt>
                <c:pt idx="122">
                  <c:v>42705</c:v>
                </c:pt>
                <c:pt idx="123">
                  <c:v>42736</c:v>
                </c:pt>
                <c:pt idx="124">
                  <c:v>42767</c:v>
                </c:pt>
                <c:pt idx="125">
                  <c:v>42795</c:v>
                </c:pt>
                <c:pt idx="126">
                  <c:v>42826</c:v>
                </c:pt>
                <c:pt idx="127">
                  <c:v>42856</c:v>
                </c:pt>
                <c:pt idx="128">
                  <c:v>42887</c:v>
                </c:pt>
                <c:pt idx="129">
                  <c:v>42917</c:v>
                </c:pt>
                <c:pt idx="130">
                  <c:v>42948</c:v>
                </c:pt>
                <c:pt idx="131">
                  <c:v>42979</c:v>
                </c:pt>
                <c:pt idx="132">
                  <c:v>43009</c:v>
                </c:pt>
                <c:pt idx="133">
                  <c:v>43040</c:v>
                </c:pt>
                <c:pt idx="134">
                  <c:v>43070</c:v>
                </c:pt>
                <c:pt idx="135">
                  <c:v>43101</c:v>
                </c:pt>
                <c:pt idx="136">
                  <c:v>43132</c:v>
                </c:pt>
                <c:pt idx="137">
                  <c:v>43160</c:v>
                </c:pt>
                <c:pt idx="138">
                  <c:v>43191</c:v>
                </c:pt>
                <c:pt idx="139">
                  <c:v>43221</c:v>
                </c:pt>
                <c:pt idx="140">
                  <c:v>43252</c:v>
                </c:pt>
                <c:pt idx="141">
                  <c:v>43282</c:v>
                </c:pt>
                <c:pt idx="142">
                  <c:v>43313</c:v>
                </c:pt>
                <c:pt idx="143">
                  <c:v>43344</c:v>
                </c:pt>
                <c:pt idx="144">
                  <c:v>43374</c:v>
                </c:pt>
                <c:pt idx="145">
                  <c:v>43405</c:v>
                </c:pt>
                <c:pt idx="146">
                  <c:v>43435</c:v>
                </c:pt>
                <c:pt idx="147">
                  <c:v>43466</c:v>
                </c:pt>
                <c:pt idx="148">
                  <c:v>43497</c:v>
                </c:pt>
                <c:pt idx="149">
                  <c:v>43525</c:v>
                </c:pt>
                <c:pt idx="150">
                  <c:v>43556</c:v>
                </c:pt>
                <c:pt idx="151">
                  <c:v>43586</c:v>
                </c:pt>
                <c:pt idx="152">
                  <c:v>43617</c:v>
                </c:pt>
                <c:pt idx="153">
                  <c:v>43647</c:v>
                </c:pt>
                <c:pt idx="154">
                  <c:v>43678</c:v>
                </c:pt>
                <c:pt idx="155">
                  <c:v>43709</c:v>
                </c:pt>
                <c:pt idx="156">
                  <c:v>43739</c:v>
                </c:pt>
                <c:pt idx="157">
                  <c:v>43770</c:v>
                </c:pt>
                <c:pt idx="158">
                  <c:v>43800</c:v>
                </c:pt>
                <c:pt idx="159">
                  <c:v>43831</c:v>
                </c:pt>
                <c:pt idx="160">
                  <c:v>43862</c:v>
                </c:pt>
                <c:pt idx="161">
                  <c:v>43891</c:v>
                </c:pt>
                <c:pt idx="162">
                  <c:v>43922</c:v>
                </c:pt>
                <c:pt idx="163">
                  <c:v>43952</c:v>
                </c:pt>
                <c:pt idx="164">
                  <c:v>43983</c:v>
                </c:pt>
                <c:pt idx="165">
                  <c:v>44013</c:v>
                </c:pt>
                <c:pt idx="166">
                  <c:v>44044</c:v>
                </c:pt>
                <c:pt idx="167">
                  <c:v>44075</c:v>
                </c:pt>
                <c:pt idx="168">
                  <c:v>44105</c:v>
                </c:pt>
                <c:pt idx="169">
                  <c:v>44136</c:v>
                </c:pt>
                <c:pt idx="170">
                  <c:v>44166</c:v>
                </c:pt>
                <c:pt idx="171">
                  <c:v>44197</c:v>
                </c:pt>
                <c:pt idx="172">
                  <c:v>44228</c:v>
                </c:pt>
                <c:pt idx="173">
                  <c:v>44256</c:v>
                </c:pt>
                <c:pt idx="174">
                  <c:v>44287</c:v>
                </c:pt>
                <c:pt idx="175">
                  <c:v>44317</c:v>
                </c:pt>
                <c:pt idx="176">
                  <c:v>44348</c:v>
                </c:pt>
                <c:pt idx="177">
                  <c:v>44378</c:v>
                </c:pt>
                <c:pt idx="178">
                  <c:v>44409</c:v>
                </c:pt>
                <c:pt idx="179">
                  <c:v>44440</c:v>
                </c:pt>
                <c:pt idx="180">
                  <c:v>44470</c:v>
                </c:pt>
                <c:pt idx="181">
                  <c:v>44501</c:v>
                </c:pt>
                <c:pt idx="182">
                  <c:v>44531</c:v>
                </c:pt>
                <c:pt idx="183">
                  <c:v>44562</c:v>
                </c:pt>
                <c:pt idx="184">
                  <c:v>44593</c:v>
                </c:pt>
                <c:pt idx="185">
                  <c:v>44621</c:v>
                </c:pt>
              </c:numCache>
            </c:numRef>
          </c:cat>
          <c:val>
            <c:numRef>
              <c:f>'Figure 1sa'!$E$2:$E$187</c:f>
              <c:numCache>
                <c:formatCode>0</c:formatCode>
                <c:ptCount val="186"/>
                <c:pt idx="0">
                  <c:v>781</c:v>
                </c:pt>
                <c:pt idx="1">
                  <c:v>814</c:v>
                </c:pt>
                <c:pt idx="2">
                  <c:v>856</c:v>
                </c:pt>
                <c:pt idx="3">
                  <c:v>818</c:v>
                </c:pt>
                <c:pt idx="4">
                  <c:v>781</c:v>
                </c:pt>
                <c:pt idx="5">
                  <c:v>765</c:v>
                </c:pt>
                <c:pt idx="6">
                  <c:v>799</c:v>
                </c:pt>
                <c:pt idx="7">
                  <c:v>825</c:v>
                </c:pt>
                <c:pt idx="8">
                  <c:v>860</c:v>
                </c:pt>
                <c:pt idx="9">
                  <c:v>921</c:v>
                </c:pt>
                <c:pt idx="10">
                  <c:v>955</c:v>
                </c:pt>
                <c:pt idx="11">
                  <c:v>1051</c:v>
                </c:pt>
                <c:pt idx="12">
                  <c:v>1195</c:v>
                </c:pt>
                <c:pt idx="13">
                  <c:v>1273</c:v>
                </c:pt>
                <c:pt idx="14">
                  <c:v>1386</c:v>
                </c:pt>
                <c:pt idx="15">
                  <c:v>1428</c:v>
                </c:pt>
                <c:pt idx="16">
                  <c:v>1434</c:v>
                </c:pt>
                <c:pt idx="17">
                  <c:v>1519</c:v>
                </c:pt>
                <c:pt idx="18">
                  <c:v>1469</c:v>
                </c:pt>
                <c:pt idx="19">
                  <c:v>1510</c:v>
                </c:pt>
                <c:pt idx="20">
                  <c:v>1577</c:v>
                </c:pt>
                <c:pt idx="21">
                  <c:v>1540</c:v>
                </c:pt>
                <c:pt idx="22">
                  <c:v>1355</c:v>
                </c:pt>
                <c:pt idx="23">
                  <c:v>1238</c:v>
                </c:pt>
                <c:pt idx="24">
                  <c:v>1053</c:v>
                </c:pt>
                <c:pt idx="25">
                  <c:v>991</c:v>
                </c:pt>
                <c:pt idx="26">
                  <c:v>836</c:v>
                </c:pt>
                <c:pt idx="27">
                  <c:v>817</c:v>
                </c:pt>
                <c:pt idx="28">
                  <c:v>760</c:v>
                </c:pt>
                <c:pt idx="29">
                  <c:v>709</c:v>
                </c:pt>
                <c:pt idx="30">
                  <c:v>807</c:v>
                </c:pt>
                <c:pt idx="31">
                  <c:v>933</c:v>
                </c:pt>
                <c:pt idx="32">
                  <c:v>920</c:v>
                </c:pt>
                <c:pt idx="33">
                  <c:v>846</c:v>
                </c:pt>
                <c:pt idx="34">
                  <c:v>887</c:v>
                </c:pt>
                <c:pt idx="35">
                  <c:v>857</c:v>
                </c:pt>
                <c:pt idx="36">
                  <c:v>896</c:v>
                </c:pt>
                <c:pt idx="37">
                  <c:v>928</c:v>
                </c:pt>
                <c:pt idx="38">
                  <c:v>944</c:v>
                </c:pt>
                <c:pt idx="39">
                  <c:v>916</c:v>
                </c:pt>
                <c:pt idx="40">
                  <c:v>893</c:v>
                </c:pt>
                <c:pt idx="41">
                  <c:v>897</c:v>
                </c:pt>
                <c:pt idx="42">
                  <c:v>909</c:v>
                </c:pt>
                <c:pt idx="43">
                  <c:v>864</c:v>
                </c:pt>
                <c:pt idx="44">
                  <c:v>880</c:v>
                </c:pt>
                <c:pt idx="45">
                  <c:v>946</c:v>
                </c:pt>
                <c:pt idx="46">
                  <c:v>1013</c:v>
                </c:pt>
                <c:pt idx="47">
                  <c:v>1037</c:v>
                </c:pt>
                <c:pt idx="48">
                  <c:v>1156</c:v>
                </c:pt>
                <c:pt idx="49">
                  <c:v>1249</c:v>
                </c:pt>
                <c:pt idx="50">
                  <c:v>1396</c:v>
                </c:pt>
                <c:pt idx="51">
                  <c:v>1447</c:v>
                </c:pt>
                <c:pt idx="52">
                  <c:v>1402</c:v>
                </c:pt>
                <c:pt idx="53">
                  <c:v>1414</c:v>
                </c:pt>
                <c:pt idx="54">
                  <c:v>1450</c:v>
                </c:pt>
                <c:pt idx="55">
                  <c:v>1412</c:v>
                </c:pt>
                <c:pt idx="56">
                  <c:v>1410</c:v>
                </c:pt>
                <c:pt idx="57">
                  <c:v>1391</c:v>
                </c:pt>
                <c:pt idx="58">
                  <c:v>1363</c:v>
                </c:pt>
                <c:pt idx="59">
                  <c:v>1315</c:v>
                </c:pt>
                <c:pt idx="60">
                  <c:v>1275</c:v>
                </c:pt>
                <c:pt idx="61">
                  <c:v>1290</c:v>
                </c:pt>
                <c:pt idx="62">
                  <c:v>1252</c:v>
                </c:pt>
                <c:pt idx="63">
                  <c:v>1257</c:v>
                </c:pt>
                <c:pt idx="64">
                  <c:v>1295</c:v>
                </c:pt>
                <c:pt idx="65">
                  <c:v>1292</c:v>
                </c:pt>
                <c:pt idx="66">
                  <c:v>1305</c:v>
                </c:pt>
                <c:pt idx="67">
                  <c:v>1235</c:v>
                </c:pt>
                <c:pt idx="68">
                  <c:v>1185</c:v>
                </c:pt>
                <c:pt idx="69">
                  <c:v>1212</c:v>
                </c:pt>
                <c:pt idx="70">
                  <c:v>1232</c:v>
                </c:pt>
                <c:pt idx="71">
                  <c:v>1271</c:v>
                </c:pt>
                <c:pt idx="72">
                  <c:v>1217</c:v>
                </c:pt>
                <c:pt idx="73">
                  <c:v>1188</c:v>
                </c:pt>
                <c:pt idx="74">
                  <c:v>1190</c:v>
                </c:pt>
                <c:pt idx="75">
                  <c:v>1214</c:v>
                </c:pt>
                <c:pt idx="76">
                  <c:v>1225</c:v>
                </c:pt>
                <c:pt idx="77">
                  <c:v>1162</c:v>
                </c:pt>
                <c:pt idx="78">
                  <c:v>1136</c:v>
                </c:pt>
                <c:pt idx="79">
                  <c:v>1116</c:v>
                </c:pt>
                <c:pt idx="80">
                  <c:v>1078</c:v>
                </c:pt>
                <c:pt idx="81">
                  <c:v>1012</c:v>
                </c:pt>
                <c:pt idx="82">
                  <c:v>997</c:v>
                </c:pt>
                <c:pt idx="83">
                  <c:v>994</c:v>
                </c:pt>
                <c:pt idx="84">
                  <c:v>1011</c:v>
                </c:pt>
                <c:pt idx="85">
                  <c:v>1025</c:v>
                </c:pt>
                <c:pt idx="86">
                  <c:v>1012</c:v>
                </c:pt>
                <c:pt idx="87">
                  <c:v>952</c:v>
                </c:pt>
                <c:pt idx="88">
                  <c:v>976</c:v>
                </c:pt>
                <c:pt idx="89">
                  <c:v>1019</c:v>
                </c:pt>
                <c:pt idx="90">
                  <c:v>1018</c:v>
                </c:pt>
                <c:pt idx="91">
                  <c:v>958</c:v>
                </c:pt>
                <c:pt idx="92">
                  <c:v>922</c:v>
                </c:pt>
                <c:pt idx="93">
                  <c:v>875</c:v>
                </c:pt>
                <c:pt idx="94">
                  <c:v>853</c:v>
                </c:pt>
                <c:pt idx="95">
                  <c:v>828</c:v>
                </c:pt>
                <c:pt idx="96">
                  <c:v>836</c:v>
                </c:pt>
                <c:pt idx="97">
                  <c:v>836</c:v>
                </c:pt>
                <c:pt idx="98">
                  <c:v>814</c:v>
                </c:pt>
                <c:pt idx="99">
                  <c:v>773</c:v>
                </c:pt>
                <c:pt idx="100">
                  <c:v>751</c:v>
                </c:pt>
                <c:pt idx="101">
                  <c:v>749</c:v>
                </c:pt>
                <c:pt idx="102">
                  <c:v>742</c:v>
                </c:pt>
                <c:pt idx="103">
                  <c:v>766</c:v>
                </c:pt>
                <c:pt idx="104">
                  <c:v>806</c:v>
                </c:pt>
                <c:pt idx="105">
                  <c:v>786</c:v>
                </c:pt>
                <c:pt idx="106">
                  <c:v>755</c:v>
                </c:pt>
                <c:pt idx="107">
                  <c:v>766</c:v>
                </c:pt>
                <c:pt idx="108">
                  <c:v>802</c:v>
                </c:pt>
                <c:pt idx="109">
                  <c:v>790</c:v>
                </c:pt>
                <c:pt idx="110">
                  <c:v>818</c:v>
                </c:pt>
                <c:pt idx="111">
                  <c:v>777</c:v>
                </c:pt>
                <c:pt idx="112">
                  <c:v>781</c:v>
                </c:pt>
                <c:pt idx="113">
                  <c:v>768</c:v>
                </c:pt>
                <c:pt idx="114">
                  <c:v>811</c:v>
                </c:pt>
                <c:pt idx="115">
                  <c:v>808</c:v>
                </c:pt>
                <c:pt idx="116">
                  <c:v>792</c:v>
                </c:pt>
                <c:pt idx="117">
                  <c:v>763</c:v>
                </c:pt>
                <c:pt idx="118">
                  <c:v>819</c:v>
                </c:pt>
                <c:pt idx="119">
                  <c:v>852</c:v>
                </c:pt>
                <c:pt idx="120">
                  <c:v>896</c:v>
                </c:pt>
                <c:pt idx="121">
                  <c:v>899</c:v>
                </c:pt>
                <c:pt idx="122">
                  <c:v>918</c:v>
                </c:pt>
                <c:pt idx="123">
                  <c:v>917</c:v>
                </c:pt>
                <c:pt idx="124">
                  <c:v>878</c:v>
                </c:pt>
                <c:pt idx="125">
                  <c:v>850</c:v>
                </c:pt>
                <c:pt idx="126">
                  <c:v>824</c:v>
                </c:pt>
                <c:pt idx="127">
                  <c:v>844</c:v>
                </c:pt>
                <c:pt idx="128">
                  <c:v>813</c:v>
                </c:pt>
                <c:pt idx="129">
                  <c:v>843</c:v>
                </c:pt>
                <c:pt idx="130">
                  <c:v>875</c:v>
                </c:pt>
                <c:pt idx="131">
                  <c:v>889</c:v>
                </c:pt>
                <c:pt idx="132">
                  <c:v>889</c:v>
                </c:pt>
                <c:pt idx="133">
                  <c:v>930</c:v>
                </c:pt>
                <c:pt idx="134">
                  <c:v>879</c:v>
                </c:pt>
                <c:pt idx="135">
                  <c:v>848</c:v>
                </c:pt>
                <c:pt idx="136">
                  <c:v>829</c:v>
                </c:pt>
                <c:pt idx="137">
                  <c:v>798</c:v>
                </c:pt>
                <c:pt idx="138">
                  <c:v>794</c:v>
                </c:pt>
                <c:pt idx="139">
                  <c:v>812</c:v>
                </c:pt>
                <c:pt idx="140">
                  <c:v>817</c:v>
                </c:pt>
                <c:pt idx="141">
                  <c:v>836</c:v>
                </c:pt>
                <c:pt idx="142">
                  <c:v>853</c:v>
                </c:pt>
                <c:pt idx="143">
                  <c:v>843</c:v>
                </c:pt>
                <c:pt idx="144">
                  <c:v>875</c:v>
                </c:pt>
                <c:pt idx="145">
                  <c:v>858</c:v>
                </c:pt>
                <c:pt idx="146">
                  <c:v>831</c:v>
                </c:pt>
                <c:pt idx="147">
                  <c:v>834</c:v>
                </c:pt>
                <c:pt idx="148">
                  <c:v>823</c:v>
                </c:pt>
                <c:pt idx="149">
                  <c:v>800</c:v>
                </c:pt>
                <c:pt idx="150">
                  <c:v>802</c:v>
                </c:pt>
                <c:pt idx="151">
                  <c:v>820</c:v>
                </c:pt>
                <c:pt idx="152">
                  <c:v>833</c:v>
                </c:pt>
                <c:pt idx="153">
                  <c:v>836</c:v>
                </c:pt>
                <c:pt idx="154">
                  <c:v>877</c:v>
                </c:pt>
                <c:pt idx="155">
                  <c:v>896</c:v>
                </c:pt>
                <c:pt idx="156">
                  <c:v>883</c:v>
                </c:pt>
                <c:pt idx="157">
                  <c:v>904</c:v>
                </c:pt>
                <c:pt idx="158">
                  <c:v>923</c:v>
                </c:pt>
                <c:pt idx="159">
                  <c:v>946</c:v>
                </c:pt>
                <c:pt idx="160">
                  <c:v>899</c:v>
                </c:pt>
                <c:pt idx="161">
                  <c:v>804</c:v>
                </c:pt>
                <c:pt idx="162">
                  <c:v>765</c:v>
                </c:pt>
                <c:pt idx="163">
                  <c:v>798</c:v>
                </c:pt>
                <c:pt idx="164">
                  <c:v>857</c:v>
                </c:pt>
                <c:pt idx="165">
                  <c:v>893</c:v>
                </c:pt>
                <c:pt idx="166">
                  <c:v>930</c:v>
                </c:pt>
                <c:pt idx="167">
                  <c:v>941</c:v>
                </c:pt>
                <c:pt idx="168">
                  <c:v>924</c:v>
                </c:pt>
                <c:pt idx="169">
                  <c:v>1030</c:v>
                </c:pt>
                <c:pt idx="170">
                  <c:v>1079</c:v>
                </c:pt>
                <c:pt idx="171">
                  <c:v>1112</c:v>
                </c:pt>
                <c:pt idx="172">
                  <c:v>1245</c:v>
                </c:pt>
                <c:pt idx="173">
                  <c:v>1290</c:v>
                </c:pt>
                <c:pt idx="174">
                  <c:v>1359</c:v>
                </c:pt>
                <c:pt idx="175">
                  <c:v>1580</c:v>
                </c:pt>
                <c:pt idx="176">
                  <c:v>1577</c:v>
                </c:pt>
                <c:pt idx="177">
                  <c:v>1386</c:v>
                </c:pt>
                <c:pt idx="178">
                  <c:v>1486</c:v>
                </c:pt>
                <c:pt idx="179">
                  <c:v>1606</c:v>
                </c:pt>
                <c:pt idx="180">
                  <c:v>1778</c:v>
                </c:pt>
                <c:pt idx="181">
                  <c:v>1800</c:v>
                </c:pt>
                <c:pt idx="182">
                  <c:v>1743</c:v>
                </c:pt>
                <c:pt idx="183">
                  <c:v>1814</c:v>
                </c:pt>
                <c:pt idx="184">
                  <c:v>1739</c:v>
                </c:pt>
                <c:pt idx="185">
                  <c:v>2128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163-B1C4-4C66CB851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429585545583907"/>
              <c:y val="0.88904459294788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months"/>
      </c:date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metric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4.605079201666939E-4"/>
              <c:y val="0.12937177985487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155210081239436"/>
          <c:y val="0.10916588972913245"/>
          <c:w val="0.76897118274815068"/>
          <c:h val="7.868527370399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 sz="1100"/>
            </a:pPr>
            <a:endParaRPr lang="en-US" sz="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Global vegetable oil production in 2020/2021</a:t>
            </a: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= 206.5 million tons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4580049601911496E-2"/>
          <c:y val="1.3661725739116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21581634636863E-2"/>
          <c:y val="0.14442522916461323"/>
          <c:w val="0.93348266258425505"/>
          <c:h val="0.801874050823432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B8-42D1-BA51-583DE47556A9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B8-42D1-BA51-583DE47556A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9B8-42D1-BA51-583DE47556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9B8-42D1-BA51-583DE47556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9B8-42D1-BA51-583DE47556A9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9B8-42D1-BA51-583DE47556A9}"/>
              </c:ext>
            </c:extLst>
          </c:dPt>
          <c:dLbls>
            <c:dLbl>
              <c:idx val="0"/>
              <c:layout>
                <c:manualLayout>
                  <c:x val="-3.0644771481264332E-2"/>
                  <c:y val="2.7021030362609316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Ukrainian sunflower oil</a:t>
                    </a:r>
                  </a:p>
                  <a:p>
                    <a:r>
                      <a:rPr lang="en-US" b="1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fld id="{BE871AA2-4684-475A-98F7-EFA4D5398E00}" type="PERCENTAGE">
                      <a:rPr lang="en-US" b="1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2362853306883"/>
                      <c:h val="9.249366822027765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9B8-42D1-BA51-583DE47556A9}"/>
                </c:ext>
              </c:extLst>
            </c:dLbl>
            <c:dLbl>
              <c:idx val="1"/>
              <c:layout>
                <c:manualLayout>
                  <c:x val="-7.5039473393293837E-2"/>
                  <c:y val="0.1094241880583004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Sunflower oil, rest of world</a:t>
                    </a:r>
                  </a:p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fld id="{F6CEAF48-DF82-4761-A81D-7319BD501E4B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52149784659394"/>
                      <c:h val="9.35809235581742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B8-42D1-BA51-583DE47556A9}"/>
                </c:ext>
              </c:extLst>
            </c:dLbl>
            <c:dLbl>
              <c:idx val="2"/>
              <c:layout>
                <c:manualLayout>
                  <c:x val="-0.11999012887575619"/>
                  <c:y val="4.4942654858766189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Soybean oil </a:t>
                    </a:r>
                    <a:fld id="{5A4A52EF-E424-49CE-B382-1F91E6BEDC6A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20019407890703"/>
                      <c:h val="0.103455455140831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9B8-42D1-BA51-583DE47556A9}"/>
                </c:ext>
              </c:extLst>
            </c:dLbl>
            <c:dLbl>
              <c:idx val="3"/>
              <c:layout>
                <c:manualLayout>
                  <c:x val="-0.13750130305743263"/>
                  <c:y val="-0.33101133091805901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Canola oil </a:t>
                    </a:r>
                    <a:fld id="{A1A89584-8C49-4969-93E3-AE4B86BB2F97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08825378039957"/>
                      <c:h val="0.12371944415484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9B8-42D1-BA51-583DE47556A9}"/>
                </c:ext>
              </c:extLst>
            </c:dLbl>
            <c:dLbl>
              <c:idx val="4"/>
              <c:layout>
                <c:manualLayout>
                  <c:x val="0.21172767019463073"/>
                  <c:y val="-0.13594381958767393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Palm oil </a:t>
                    </a:r>
                  </a:p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fld id="{580033EA-6FC0-4DC5-8293-7E61EA44D042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8934191000621"/>
                      <c:h val="0.114366262715070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9B8-42D1-BA51-583DE47556A9}"/>
                </c:ext>
              </c:extLst>
            </c:dLbl>
            <c:dLbl>
              <c:idx val="5"/>
              <c:layout>
                <c:manualLayout>
                  <c:x val="9.9818776266157483E-2"/>
                  <c:y val="0.11251702830585213"/>
                </c:manualLayout>
              </c:layout>
              <c:tx>
                <c:rich>
                  <a:bodyPr/>
                  <a:lstStyle/>
                  <a:p>
                    <a:r>
                      <a:rPr lang="en-US" sz="900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Others' oil </a:t>
                    </a:r>
                    <a:fld id="{72D908A9-641E-4268-9909-84CA7BA91FC8}" type="PERCENTAGE">
                      <a:rPr lang="en-US" sz="900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sz="900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42363280252326"/>
                      <c:h val="0.109711575539733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9B8-42D1-BA51-583DE47556A9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'Figure 2sa'!$B$1:$G$1</c:f>
              <c:strCache>
                <c:ptCount val="6"/>
                <c:pt idx="0">
                  <c:v>Ukrainian sunflower oil</c:v>
                </c:pt>
                <c:pt idx="1">
                  <c:v>Sunflower oil, rest of world</c:v>
                </c:pt>
                <c:pt idx="2">
                  <c:v>Soybean oil </c:v>
                </c:pt>
                <c:pt idx="3">
                  <c:v>Canola oil </c:v>
                </c:pt>
                <c:pt idx="4">
                  <c:v>Palm oil </c:v>
                </c:pt>
                <c:pt idx="5">
                  <c:v>Others' oil</c:v>
                </c:pt>
              </c:strCache>
            </c:strRef>
          </c:cat>
          <c:val>
            <c:numRef>
              <c:f>'Figure 2sa'!$B$2:$G$2</c:f>
              <c:numCache>
                <c:formatCode>_(* #,##0.00_);_(* \(#,##0.00\);_(* "-"_);_(@_)</c:formatCode>
                <c:ptCount val="6"/>
                <c:pt idx="0">
                  <c:v>5.9130000000000003</c:v>
                </c:pt>
                <c:pt idx="1">
                  <c:v>13.157</c:v>
                </c:pt>
                <c:pt idx="2">
                  <c:v>59.155000000000001</c:v>
                </c:pt>
                <c:pt idx="3">
                  <c:v>29.216999999999999</c:v>
                </c:pt>
                <c:pt idx="4">
                  <c:v>73.105000000000004</c:v>
                </c:pt>
                <c:pt idx="5">
                  <c:v>25.96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B8-42D1-BA51-583DE4755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Ukrainian sunflower oil production share in global major vegetable oils production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6.1295971978984239E-3"/>
          <c:y val="9.02786567516035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35322064465011E-2"/>
          <c:y val="0.1774169281079287"/>
          <c:w val="0.90740947440465147"/>
          <c:h val="0.52107325103675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3sa'!$B$1</c:f>
              <c:strCache>
                <c:ptCount val="1"/>
                <c:pt idx="0">
                  <c:v>Ukrainian sunflower oil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3sa'!$B$2:$B$7</c:f>
              <c:numCache>
                <c:formatCode>_(* #,##0.00_);_(* \(#,##0.00\);_(* "-"_);_(@_)</c:formatCode>
                <c:ptCount val="6"/>
                <c:pt idx="0">
                  <c:v>6.351</c:v>
                </c:pt>
                <c:pt idx="1">
                  <c:v>5.9130000000000003</c:v>
                </c:pt>
                <c:pt idx="2">
                  <c:v>6.3639999999999999</c:v>
                </c:pt>
                <c:pt idx="3">
                  <c:v>7.39</c:v>
                </c:pt>
                <c:pt idx="4">
                  <c:v>5.9130000000000003</c:v>
                </c:pt>
                <c:pt idx="5">
                  <c:v>5.6760000000000002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7-448B-9E4B-529265989A78}"/>
            </c:ext>
          </c:extLst>
        </c:ser>
        <c:ser>
          <c:idx val="2"/>
          <c:order val="1"/>
          <c:tx>
            <c:strRef>
              <c:f>'Figure 3sa'!$C$1</c:f>
              <c:strCache>
                <c:ptCount val="1"/>
                <c:pt idx="0">
                  <c:v>Sunflower oil, rest of world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3sa'!$C$2:$C$7</c:f>
              <c:numCache>
                <c:formatCode>_(* #,##0.00_);_(* \(#,##0.00\);_(* "-"_);_(@_)</c:formatCode>
                <c:ptCount val="6"/>
                <c:pt idx="0">
                  <c:v>11.949</c:v>
                </c:pt>
                <c:pt idx="1">
                  <c:v>12.664999999999999</c:v>
                </c:pt>
                <c:pt idx="2">
                  <c:v>13.236000000000001</c:v>
                </c:pt>
                <c:pt idx="3">
                  <c:v>13.749000000000001</c:v>
                </c:pt>
                <c:pt idx="4">
                  <c:v>13.157</c:v>
                </c:pt>
                <c:pt idx="5">
                  <c:v>14.717000000000001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7-448B-9E4B-529265989A78}"/>
            </c:ext>
          </c:extLst>
        </c:ser>
        <c:ser>
          <c:idx val="0"/>
          <c:order val="2"/>
          <c:tx>
            <c:strRef>
              <c:f>'Figure 3sa'!$D$1</c:f>
              <c:strCache>
                <c:ptCount val="1"/>
                <c:pt idx="0">
                  <c:v>Soybean oil 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3sa'!$D$2:$D$7</c:f>
              <c:numCache>
                <c:formatCode>_(* #,##0.00_);_(* \(#,##0.00\);_(* "-"_);_(@_)</c:formatCode>
                <c:ptCount val="6"/>
                <c:pt idx="0">
                  <c:v>53.84</c:v>
                </c:pt>
                <c:pt idx="1">
                  <c:v>55.231999999999999</c:v>
                </c:pt>
                <c:pt idx="2">
                  <c:v>56.04</c:v>
                </c:pt>
                <c:pt idx="3">
                  <c:v>58.523000000000003</c:v>
                </c:pt>
                <c:pt idx="4">
                  <c:v>59.155000000000001</c:v>
                </c:pt>
                <c:pt idx="5">
                  <c:v>58.968000000000004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7-448B-9E4B-529265989A78}"/>
            </c:ext>
          </c:extLst>
        </c:ser>
        <c:ser>
          <c:idx val="3"/>
          <c:order val="3"/>
          <c:tx>
            <c:strRef>
              <c:f>'Figure 3sa'!$E$1</c:f>
              <c:strCache>
                <c:ptCount val="1"/>
                <c:pt idx="0">
                  <c:v>Canola oil </c:v>
                </c:pt>
              </c:strCache>
            </c:strRef>
          </c:tx>
          <c:spPr>
            <a:solidFill>
              <a:srgbClr val="FFCF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3sa'!$E$2:$E$7</c:f>
              <c:numCache>
                <c:formatCode>_(* #,##0.00_);_(* \(#,##0.00\);_(* "-"_);_(@_)</c:formatCode>
                <c:ptCount val="6"/>
                <c:pt idx="0">
                  <c:v>27.603000000000002</c:v>
                </c:pt>
                <c:pt idx="1">
                  <c:v>28.132999999999999</c:v>
                </c:pt>
                <c:pt idx="2">
                  <c:v>27.794</c:v>
                </c:pt>
                <c:pt idx="3">
                  <c:v>28.100999999999999</c:v>
                </c:pt>
                <c:pt idx="4">
                  <c:v>29.216999999999999</c:v>
                </c:pt>
                <c:pt idx="5">
                  <c:v>28.484999999999999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7-448B-9E4B-529265989A78}"/>
            </c:ext>
          </c:extLst>
        </c:ser>
        <c:ser>
          <c:idx val="4"/>
          <c:order val="4"/>
          <c:tx>
            <c:strRef>
              <c:f>'Figure 3sa'!$F$1</c:f>
              <c:strCache>
                <c:ptCount val="1"/>
                <c:pt idx="0">
                  <c:v>Palm oil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3sa'!$F$2:$F$7</c:f>
              <c:numCache>
                <c:formatCode>_(* #,##0.00_);_(* \(#,##0.00\);_(* "-"_);_(@_)</c:formatCode>
                <c:ptCount val="6"/>
                <c:pt idx="0">
                  <c:v>65.262</c:v>
                </c:pt>
                <c:pt idx="1">
                  <c:v>70.605999999999995</c:v>
                </c:pt>
                <c:pt idx="2">
                  <c:v>74.248999999999995</c:v>
                </c:pt>
                <c:pt idx="3">
                  <c:v>73.031000000000006</c:v>
                </c:pt>
                <c:pt idx="4">
                  <c:v>73.105000000000004</c:v>
                </c:pt>
                <c:pt idx="5">
                  <c:v>77.046999999999997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67-448B-9E4B-529265989A78}"/>
            </c:ext>
          </c:extLst>
        </c:ser>
        <c:ser>
          <c:idx val="5"/>
          <c:order val="5"/>
          <c:tx>
            <c:strRef>
              <c:f>'Figure 3sa'!$G$1</c:f>
              <c:strCache>
                <c:ptCount val="1"/>
                <c:pt idx="0">
                  <c:v>Others' oil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3sa'!$G$2:$G$7</c:f>
              <c:numCache>
                <c:formatCode>_(* #,##0.00_);_(* \(#,##0.00\);_(* "-"_);_(@_)</c:formatCode>
                <c:ptCount val="6"/>
                <c:pt idx="0">
                  <c:v>23.486999999999998</c:v>
                </c:pt>
                <c:pt idx="1">
                  <c:v>26.082000000000001</c:v>
                </c:pt>
                <c:pt idx="2">
                  <c:v>26.22</c:v>
                </c:pt>
                <c:pt idx="3">
                  <c:v>26.484999999999999</c:v>
                </c:pt>
                <c:pt idx="4">
                  <c:v>25.96</c:v>
                </c:pt>
                <c:pt idx="5">
                  <c:v>27.146999999999991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B-4490-82E2-A1C848BDCF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5972546486121E-3"/>
              <c:y val="0.12257566873289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6921636539904923E-2"/>
          <c:y val="0.17058742625260623"/>
          <c:w val="0.91100975471186718"/>
          <c:h val="8.4610080059915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</a:p>
          <a:p>
            <a:pPr algn="l">
              <a:defRPr sz="1100"/>
            </a:pPr>
            <a:endParaRPr lang="en-US" sz="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05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Global vegetable oils food consumption in 2020/2021</a:t>
            </a:r>
          </a:p>
          <a:p>
            <a:pPr algn="l">
              <a:defRPr sz="1100"/>
            </a:pPr>
            <a:r>
              <a:rPr lang="en-US" sz="105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= 152.17 million tons</a:t>
            </a:r>
            <a:endParaRPr lang="en-U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0063263377710947E-2"/>
          <c:y val="1.6018631734624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0366847010117429E-2"/>
          <c:y val="0.16685587106021496"/>
          <c:w val="0.86328435907630297"/>
          <c:h val="0.740361522912358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2C-49E1-86CB-6491334A5232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2C-49E1-86CB-6491334A523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E2C-49E1-86CB-6491334A52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E2C-49E1-86CB-6491334A52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E2C-49E1-86CB-6491334A5232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E2C-49E1-86CB-6491334A5232}"/>
              </c:ext>
            </c:extLst>
          </c:dPt>
          <c:dLbls>
            <c:dLbl>
              <c:idx val="0"/>
              <c:layout>
                <c:manualLayout>
                  <c:x val="-9.6743289193912674E-3"/>
                  <c:y val="3.9042966763151325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Ukrainian sunflower oil export</a:t>
                    </a:r>
                  </a:p>
                  <a:p>
                    <a:r>
                      <a:rPr lang="en-US" b="1" baseline="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130787645016581"/>
                      <c:h val="8.862208851632306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6E2C-49E1-86CB-6491334A5232}"/>
                </c:ext>
              </c:extLst>
            </c:dLbl>
            <c:dLbl>
              <c:idx val="1"/>
              <c:layout>
                <c:manualLayout>
                  <c:x val="-9.3634379183444874E-2"/>
                  <c:y val="0.12443024871030549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Sunflower oil, rest of world</a:t>
                    </a:r>
                  </a:p>
                  <a:p>
                    <a:fld id="{F6CEAF48-DF82-4761-A81D-7319BD501E4B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84940472977746"/>
                      <c:h val="0.106723626860581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E2C-49E1-86CB-6491334A5232}"/>
                </c:ext>
              </c:extLst>
            </c:dLbl>
            <c:dLbl>
              <c:idx val="2"/>
              <c:layout>
                <c:manualLayout>
                  <c:x val="-0.15619438702865096"/>
                  <c:y val="-6.5522487471523796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Soybean oil </a:t>
                    </a:r>
                    <a:fld id="{5A4A52EF-E424-49CE-B382-1F91E6BEDC6A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20019407890703"/>
                      <c:h val="0.103455455140831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E2C-49E1-86CB-6491334A5232}"/>
                </c:ext>
              </c:extLst>
            </c:dLbl>
            <c:dLbl>
              <c:idx val="3"/>
              <c:layout>
                <c:manualLayout>
                  <c:x val="-5.3024699476150045E-2"/>
                  <c:y val="-0.29447303701007449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Canola oil </a:t>
                    </a:r>
                    <a:fld id="{A1A89584-8C49-4969-93E3-AE4B86BB2F97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08825378039957"/>
                      <c:h val="0.12371944415484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E2C-49E1-86CB-6491334A5232}"/>
                </c:ext>
              </c:extLst>
            </c:dLbl>
            <c:dLbl>
              <c:idx val="4"/>
              <c:layout>
                <c:manualLayout>
                  <c:x val="0.21172763299030828"/>
                  <c:y val="-0.13273813565589837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Palm oil </a:t>
                    </a:r>
                  </a:p>
                  <a:p>
                    <a:r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fld id="{580033EA-6FC0-4DC5-8293-7E61EA44D042}" type="PERCENTAGE">
                      <a:rPr lang="en-US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8934191000621"/>
                      <c:h val="0.114366262715070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2C-49E1-86CB-6491334A5232}"/>
                </c:ext>
              </c:extLst>
            </c:dLbl>
            <c:dLbl>
              <c:idx val="5"/>
              <c:layout>
                <c:manualLayout>
                  <c:x val="8.5358047759973188E-2"/>
                  <c:y val="0.12840432835304261"/>
                </c:manualLayout>
              </c:layout>
              <c:tx>
                <c:rich>
                  <a:bodyPr/>
                  <a:lstStyle/>
                  <a:p>
                    <a:r>
                      <a:rPr lang="en-US" sz="900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Others' oil </a:t>
                    </a:r>
                    <a:fld id="{72D908A9-641E-4268-9909-84CA7BA91FC8}" type="PERCENTAGE">
                      <a:rPr lang="en-US" sz="900" b="1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[PERCENTAGE]</a:t>
                    </a:fld>
                    <a:endParaRPr lang="en-US" sz="900" b="1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59897845076944"/>
                      <c:h val="8.583432388503929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E2C-49E1-86CB-6491334A5232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'Figure 4sa'!$B$1:$G$1</c:f>
              <c:strCache>
                <c:ptCount val="6"/>
                <c:pt idx="0">
                  <c:v>Ukrainian sunflower oil export</c:v>
                </c:pt>
                <c:pt idx="1">
                  <c:v>Sunflower oil, rest of world</c:v>
                </c:pt>
                <c:pt idx="2">
                  <c:v>Soybean oil </c:v>
                </c:pt>
                <c:pt idx="3">
                  <c:v>Canola oil </c:v>
                </c:pt>
                <c:pt idx="4">
                  <c:v>Palm oil </c:v>
                </c:pt>
                <c:pt idx="5">
                  <c:v>Others' oil</c:v>
                </c:pt>
              </c:strCache>
            </c:strRef>
          </c:cat>
          <c:val>
            <c:numRef>
              <c:f>'Figure 4sa'!$B$2:$G$2</c:f>
              <c:numCache>
                <c:formatCode>0.00</c:formatCode>
                <c:ptCount val="6"/>
                <c:pt idx="0">
                  <c:v>5.2729999999999997</c:v>
                </c:pt>
                <c:pt idx="1">
                  <c:v>11.951000000000001</c:v>
                </c:pt>
                <c:pt idx="2">
                  <c:v>47.417000000000002</c:v>
                </c:pt>
                <c:pt idx="3">
                  <c:v>20.349</c:v>
                </c:pt>
                <c:pt idx="4">
                  <c:v>49.423000000000002</c:v>
                </c:pt>
                <c:pt idx="5">
                  <c:v>17.757000000000001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2C-49E1-86CB-6491334A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5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Ukrainian sunflower oil export contribution to global consumption of major vegetable oils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6.0540690943282783E-3"/>
          <c:y val="1.578665327778232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89374236425149E-2"/>
          <c:y val="0.2143687511164109"/>
          <c:w val="0.92365642810083359"/>
          <c:h val="0.490417211797023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5sa'!$B$1</c:f>
              <c:strCache>
                <c:ptCount val="1"/>
                <c:pt idx="0">
                  <c:v>Sunflower oil, Ukrainian export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5sa'!$B$2:$B$7</c:f>
              <c:numCache>
                <c:formatCode>_(* #,##0.00_);_(* \(#,##0.00\);_(* "-"??_);_(@_)</c:formatCode>
                <c:ptCount val="6"/>
                <c:pt idx="0">
                  <c:v>5.851</c:v>
                </c:pt>
                <c:pt idx="1">
                  <c:v>5.3419999999999996</c:v>
                </c:pt>
                <c:pt idx="2">
                  <c:v>6.0629999999999997</c:v>
                </c:pt>
                <c:pt idx="3">
                  <c:v>6.6859999999999999</c:v>
                </c:pt>
                <c:pt idx="4">
                  <c:v>5.2729999999999997</c:v>
                </c:pt>
                <c:pt idx="5">
                  <c:v>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9-439D-AFB6-E6F4A840F8C7}"/>
            </c:ext>
          </c:extLst>
        </c:ser>
        <c:ser>
          <c:idx val="2"/>
          <c:order val="1"/>
          <c:tx>
            <c:strRef>
              <c:f>'Figure 5sa'!$C$1</c:f>
              <c:strCache>
                <c:ptCount val="1"/>
                <c:pt idx="0">
                  <c:v>Sunflower oil, rest of world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5sa'!$C$2:$C$7</c:f>
              <c:numCache>
                <c:formatCode>_(* #,##0.00_);_(* \(#,##0.00\);_(* "-"??_);_(@_)</c:formatCode>
                <c:ptCount val="6"/>
                <c:pt idx="0">
                  <c:v>9.6310000000000002</c:v>
                </c:pt>
                <c:pt idx="1">
                  <c:v>11.134</c:v>
                </c:pt>
                <c:pt idx="2">
                  <c:v>11.034000000000002</c:v>
                </c:pt>
                <c:pt idx="3">
                  <c:v>11.143999999999998</c:v>
                </c:pt>
                <c:pt idx="4">
                  <c:v>11.951000000000001</c:v>
                </c:pt>
                <c:pt idx="5">
                  <c:v>12.757000000000001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9-439D-AFB6-E6F4A840F8C7}"/>
            </c:ext>
          </c:extLst>
        </c:ser>
        <c:ser>
          <c:idx val="0"/>
          <c:order val="2"/>
          <c:tx>
            <c:strRef>
              <c:f>'Figure 5sa'!$D$1</c:f>
              <c:strCache>
                <c:ptCount val="1"/>
                <c:pt idx="0">
                  <c:v>Soybean oil 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5sa'!$D$2:$D$7</c:f>
              <c:numCache>
                <c:formatCode>_(* #,##0.00_);_(* \(#,##0.00\);_(* "-"??_);_(@_)</c:formatCode>
                <c:ptCount val="6"/>
                <c:pt idx="0">
                  <c:v>43.795999999999999</c:v>
                </c:pt>
                <c:pt idx="1">
                  <c:v>43.832000000000001</c:v>
                </c:pt>
                <c:pt idx="2">
                  <c:v>43.924999999999997</c:v>
                </c:pt>
                <c:pt idx="3">
                  <c:v>45.790999999999997</c:v>
                </c:pt>
                <c:pt idx="4">
                  <c:v>47.417000000000002</c:v>
                </c:pt>
                <c:pt idx="5">
                  <c:v>47.616999999999997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9-439D-AFB6-E6F4A840F8C7}"/>
            </c:ext>
          </c:extLst>
        </c:ser>
        <c:ser>
          <c:idx val="3"/>
          <c:order val="3"/>
          <c:tx>
            <c:strRef>
              <c:f>'Figure 5sa'!$E$1</c:f>
              <c:strCache>
                <c:ptCount val="1"/>
                <c:pt idx="0">
                  <c:v>Canola oil </c:v>
                </c:pt>
              </c:strCache>
            </c:strRef>
          </c:tx>
          <c:spPr>
            <a:solidFill>
              <a:srgbClr val="FFCF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5sa'!$E$2:$E$7</c:f>
              <c:numCache>
                <c:formatCode>_(* #,##0.00_);_(* \(#,##0.00\);_(* "-"??_);_(@_)</c:formatCode>
                <c:ptCount val="6"/>
                <c:pt idx="0">
                  <c:v>20.370999999999999</c:v>
                </c:pt>
                <c:pt idx="1">
                  <c:v>20.37</c:v>
                </c:pt>
                <c:pt idx="2">
                  <c:v>20.135000000000002</c:v>
                </c:pt>
                <c:pt idx="3">
                  <c:v>20.053000000000001</c:v>
                </c:pt>
                <c:pt idx="4">
                  <c:v>20.349</c:v>
                </c:pt>
                <c:pt idx="5">
                  <c:v>21.236000000000001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E9-439D-AFB6-E6F4A840F8C7}"/>
            </c:ext>
          </c:extLst>
        </c:ser>
        <c:ser>
          <c:idx val="4"/>
          <c:order val="4"/>
          <c:tx>
            <c:strRef>
              <c:f>'Figure 5sa'!$F$1</c:f>
              <c:strCache>
                <c:ptCount val="1"/>
                <c:pt idx="0">
                  <c:v>Palm oil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5sa'!$F$2:$F$7</c:f>
              <c:numCache>
                <c:formatCode>_(* #,##0.00_);_(* \(#,##0.00\);_(* "-"??_);_(@_)</c:formatCode>
                <c:ptCount val="6"/>
                <c:pt idx="0">
                  <c:v>43.654000000000003</c:v>
                </c:pt>
                <c:pt idx="1">
                  <c:v>45.744</c:v>
                </c:pt>
                <c:pt idx="2">
                  <c:v>47.805</c:v>
                </c:pt>
                <c:pt idx="3">
                  <c:v>47.771999999999998</c:v>
                </c:pt>
                <c:pt idx="4">
                  <c:v>49.423000000000002</c:v>
                </c:pt>
                <c:pt idx="5">
                  <c:v>50.2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E9-439D-AFB6-E6F4A840F8C7}"/>
            </c:ext>
          </c:extLst>
        </c:ser>
        <c:ser>
          <c:idx val="5"/>
          <c:order val="5"/>
          <c:tx>
            <c:strRef>
              <c:f>'Figure 5sa'!$G$1</c:f>
              <c:strCache>
                <c:ptCount val="1"/>
                <c:pt idx="0">
                  <c:v>Others' oil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5sa'!$A$2:$A$7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April.*</c:v>
                </c:pt>
              </c:strCache>
            </c:strRef>
          </c:cat>
          <c:val>
            <c:numRef>
              <c:f>'Figure 5sa'!$G$2:$G$7</c:f>
              <c:numCache>
                <c:formatCode>0.00</c:formatCode>
                <c:ptCount val="6"/>
                <c:pt idx="0">
                  <c:v>15.591999999999999</c:v>
                </c:pt>
                <c:pt idx="1">
                  <c:v>16.745999999999999</c:v>
                </c:pt>
                <c:pt idx="2">
                  <c:v>16.918999999999997</c:v>
                </c:pt>
                <c:pt idx="3">
                  <c:v>17.526</c:v>
                </c:pt>
                <c:pt idx="4">
                  <c:v>17.757000000000001</c:v>
                </c:pt>
                <c:pt idx="5">
                  <c:v>17.835999999999999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0-4EF0-BD9C-4C1F852248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0985883060312018E-4"/>
              <c:y val="0.15127138077697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044810249652991"/>
          <c:y val="0.14569132990851533"/>
          <c:w val="0.8009653824750379"/>
          <c:h val="0.11124142735561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6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Ukrainian sunflower oil exports by countries in marketing year 2020/21</a:t>
            </a:r>
            <a:endParaRPr lang="en-US" sz="1050" b="1"/>
          </a:p>
        </c:rich>
      </c:tx>
      <c:layout>
        <c:manualLayout>
          <c:xMode val="edge"/>
          <c:yMode val="edge"/>
          <c:x val="5.3884608255971397E-2"/>
          <c:y val="4.0321710834445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981321404962246E-2"/>
          <c:y val="0.13544554407015322"/>
          <c:w val="0.91755823268470305"/>
          <c:h val="0.60479386807507896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'Figure 6sa'!$A$7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6sa'!$B$1</c:f>
              <c:strCache>
                <c:ptCount val="1"/>
                <c:pt idx="0">
                  <c:v>2020/2021</c:v>
                </c:pt>
              </c:strCache>
            </c:strRef>
          </c:cat>
          <c:val>
            <c:numRef>
              <c:f>'Figure 6sa'!$B$7</c:f>
              <c:numCache>
                <c:formatCode>_(* #,##0.00_);_(* \(#,##0.00\);_(* "-"??_);_(@_)</c:formatCode>
                <c:ptCount val="1"/>
                <c:pt idx="0">
                  <c:v>8.1294738000000005E-2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C6-46BC-BA2B-06A744EF1317}"/>
            </c:ext>
          </c:extLst>
        </c:ser>
        <c:ser>
          <c:idx val="3"/>
          <c:order val="1"/>
          <c:tx>
            <c:strRef>
              <c:f>'Figure 6sa'!$A$6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6sa'!$B$1</c:f>
              <c:strCache>
                <c:ptCount val="1"/>
                <c:pt idx="0">
                  <c:v>2020/2021</c:v>
                </c:pt>
              </c:strCache>
            </c:strRef>
          </c:cat>
          <c:val>
            <c:numRef>
              <c:f>'Figure 6sa'!$B$6</c:f>
              <c:numCache>
                <c:formatCode>_(* #,##0.00_);_(* \(#,##0.00\);_(* "-"??_);_(@_)</c:formatCode>
                <c:ptCount val="1"/>
                <c:pt idx="0">
                  <c:v>0.29762824599999999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C6-46BC-BA2B-06A744EF1317}"/>
            </c:ext>
          </c:extLst>
        </c:ser>
        <c:ser>
          <c:idx val="5"/>
          <c:order val="2"/>
          <c:tx>
            <c:strRef>
              <c:f>'Figure 6sa'!$A$5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6sa'!$B$1</c:f>
              <c:strCache>
                <c:ptCount val="1"/>
                <c:pt idx="0">
                  <c:v>2020/2021</c:v>
                </c:pt>
              </c:strCache>
            </c:strRef>
          </c:cat>
          <c:val>
            <c:numRef>
              <c:f>'Figure 6sa'!$B$5</c:f>
              <c:numCache>
                <c:formatCode>_(* #,##0.00_);_(* \(#,##0.00\);_(* "-"??_);_(@_)</c:formatCode>
                <c:ptCount val="1"/>
                <c:pt idx="0">
                  <c:v>0.79873936800000078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C6-46BC-BA2B-06A744EF1317}"/>
            </c:ext>
          </c:extLst>
        </c:ser>
        <c:ser>
          <c:idx val="1"/>
          <c:order val="3"/>
          <c:tx>
            <c:strRef>
              <c:f>'Figure 6sa'!$A$4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2-47C6-46BC-BA2B-06A744EF13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6sa'!$B$1</c:f>
              <c:strCache>
                <c:ptCount val="1"/>
                <c:pt idx="0">
                  <c:v>2020/2021</c:v>
                </c:pt>
              </c:strCache>
            </c:strRef>
          </c:cat>
          <c:val>
            <c:numRef>
              <c:f>'Figure 6sa'!$B$4</c:f>
              <c:numCache>
                <c:formatCode>_(* #,##0.00_);_(* \(#,##0.00\);_(* "-"??_);_(@_)</c:formatCode>
                <c:ptCount val="1"/>
                <c:pt idx="0">
                  <c:v>0.97720815800000005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7C6-46BC-BA2B-06A744EF1317}"/>
            </c:ext>
          </c:extLst>
        </c:ser>
        <c:ser>
          <c:idx val="2"/>
          <c:order val="4"/>
          <c:tx>
            <c:strRef>
              <c:f>'Figure 6sa'!$A$3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6sa'!$B$1</c:f>
              <c:strCache>
                <c:ptCount val="1"/>
                <c:pt idx="0">
                  <c:v>2020/2021</c:v>
                </c:pt>
              </c:strCache>
            </c:strRef>
          </c:cat>
          <c:val>
            <c:numRef>
              <c:f>'Figure 6sa'!$B$3</c:f>
              <c:numCache>
                <c:formatCode>_(* #,##0.00_);_(* \(#,##0.00\);_(* "-"??_);_(@_)</c:formatCode>
                <c:ptCount val="1"/>
                <c:pt idx="0">
                  <c:v>1.5214100279999998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C6-46BC-BA2B-06A744EF1317}"/>
            </c:ext>
          </c:extLst>
        </c:ser>
        <c:ser>
          <c:idx val="0"/>
          <c:order val="5"/>
          <c:tx>
            <c:strRef>
              <c:f>'Figure 6sa'!$A$2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775624401576133E-3"/>
                  <c:y val="6.480530852429638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C6-46BC-BA2B-06A744EF13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6sa'!$B$1</c:f>
              <c:strCache>
                <c:ptCount val="1"/>
                <c:pt idx="0">
                  <c:v>2020/2021</c:v>
                </c:pt>
              </c:strCache>
            </c:strRef>
          </c:cat>
          <c:val>
            <c:numRef>
              <c:f>'Figure 6sa'!$B$2</c:f>
              <c:numCache>
                <c:formatCode>_(* #,##0.00_);_(* \(#,##0.00\);_(* "-"??_);_(@_)</c:formatCode>
                <c:ptCount val="1"/>
                <c:pt idx="0">
                  <c:v>1.5703012249999999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6-46BC-BA2B-06A744EF1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  <c:extLst/>
      </c:barChart>
      <c:catAx>
        <c:axId val="667172272"/>
        <c:scaling>
          <c:orientation val="minMax"/>
        </c:scaling>
        <c:delete val="1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</a:t>
                </a:r>
                <a:r>
                  <a:rPr lang="en-US" sz="900" baseline="0"/>
                  <a:t>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5592500359483729"/>
              <c:y val="0.79745560070949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55246</xdr:colOff>
      <xdr:row>0</xdr:row>
      <xdr:rowOff>95250</xdr:rowOff>
    </xdr:from>
    <xdr:to>
      <xdr:col>14</xdr:col>
      <xdr:colOff>38100</xdr:colOff>
      <xdr:row>22</xdr:row>
      <xdr:rowOff>47625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9E6E4DDD-3EB6-4DB1-A07C-45ACC51FE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0.00254</cdr:x>
      <cdr:y>0.9018</cdr:y>
    </cdr:from>
    <cdr:to>
      <cdr:x>0.99393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3365" y="3421380"/>
          <a:ext cx="5216508" cy="372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April 2022.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24343</xdr:colOff>
      <xdr:row>0</xdr:row>
      <xdr:rowOff>71966</xdr:rowOff>
    </xdr:from>
    <xdr:to>
      <xdr:col>17</xdr:col>
      <xdr:colOff>524935</xdr:colOff>
      <xdr:row>23</xdr:row>
      <xdr:rowOff>42333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9FA13-8DFE-4241-9DEB-32E5EEB75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April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594360</xdr:colOff>
      <xdr:row>0</xdr:row>
      <xdr:rowOff>0</xdr:rowOff>
    </xdr:from>
    <xdr:to>
      <xdr:col>16</xdr:col>
      <xdr:colOff>232612</xdr:colOff>
      <xdr:row>21</xdr:row>
      <xdr:rowOff>105877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61650B-E054-4B01-9305-D361C76E8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0.00254</cdr:x>
      <cdr:y>0.90381</cdr:y>
    </cdr:from>
    <cdr:to>
      <cdr:x>0.99393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3365" y="3429000"/>
          <a:ext cx="5216508" cy="364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April 2022.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233891</xdr:colOff>
      <xdr:row>0</xdr:row>
      <xdr:rowOff>241300</xdr:rowOff>
    </xdr:from>
    <xdr:to>
      <xdr:col>18</xdr:col>
      <xdr:colOff>222039</xdr:colOff>
      <xdr:row>23</xdr:row>
      <xdr:rowOff>159173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474FEF-771F-4251-9C09-D515FF917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April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0</xdr:row>
      <xdr:rowOff>0</xdr:rowOff>
    </xdr:from>
    <xdr:to>
      <xdr:col>14</xdr:col>
      <xdr:colOff>330200</xdr:colOff>
      <xdr:row>24</xdr:row>
      <xdr:rowOff>24765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2BAE6AC-9229-4F43-BEB4-29B424A47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0.89455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657600"/>
          <a:ext cx="6112933" cy="406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Trade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 Monitor, April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89960</xdr:colOff>
      <xdr:row>0</xdr:row>
      <xdr:rowOff>10581</xdr:rowOff>
    </xdr:from>
    <xdr:to>
      <xdr:col>16</xdr:col>
      <xdr:colOff>78106</xdr:colOff>
      <xdr:row>22</xdr:row>
      <xdr:rowOff>97790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AF833149-DEE1-4512-83D6-D096F89AF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0.8665</cdr:y>
    </cdr:from>
    <cdr:to>
      <cdr:x>0.98077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400424"/>
          <a:ext cx="655983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forecasts.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World Agricultural Outlook Board,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April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173355</xdr:colOff>
      <xdr:row>0</xdr:row>
      <xdr:rowOff>36195</xdr:rowOff>
    </xdr:from>
    <xdr:to>
      <xdr:col>12</xdr:col>
      <xdr:colOff>142875</xdr:colOff>
      <xdr:row>21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E3232-A9BD-468F-A8CC-7FE2A9C5D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0.00254</cdr:x>
      <cdr:y>0.77376</cdr:y>
    </cdr:from>
    <cdr:to>
      <cdr:x>0.99393</cdr:x>
      <cdr:y>0.99321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3365" y="2606039"/>
          <a:ext cx="5216508" cy="739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Delta: Arkansas, Louisiana, Mississippi, Eastern Corn Belt: Illinois, Indiana, Ohio, Michigan, and Wisconsin, Western Corn Belt: Iowa, Minnesota, Missouri, and Central Plains: Kansas and Nebraska, Northern Plains: North Dakota and South Dakota. 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March 1 planting intentions.</a:t>
          </a: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 Service Quick Stats </a:t>
          </a:r>
          <a:r>
            <a:rPr lang="en-US" sz="90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0.01448</cdr:x>
      <cdr:y>0.13363</cdr:y>
    </cdr:from>
    <cdr:to>
      <cdr:x>0.16654</cdr:x>
      <cdr:y>0.1804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F2DE771-20AE-430C-AADC-FDC5E004D32C}"/>
            </a:ext>
          </a:extLst>
        </cdr:cNvPr>
        <cdr:cNvSpPr/>
      </cdr:nvSpPr>
      <cdr:spPr bwMode="auto">
        <a:xfrm xmlns:a="http://schemas.openxmlformats.org/drawingml/2006/main">
          <a:off x="76191" y="457200"/>
          <a:ext cx="800111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Million acres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187327</xdr:colOff>
      <xdr:row>0</xdr:row>
      <xdr:rowOff>63500</xdr:rowOff>
    </xdr:from>
    <xdr:to>
      <xdr:col>14</xdr:col>
      <xdr:colOff>61384</xdr:colOff>
      <xdr:row>24</xdr:row>
      <xdr:rowOff>23283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FC6EBF-3C86-4A8F-A311-2B1F2B687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April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353483</xdr:colOff>
      <xdr:row>1</xdr:row>
      <xdr:rowOff>124884</xdr:rowOff>
    </xdr:from>
    <xdr:to>
      <xdr:col>16</xdr:col>
      <xdr:colOff>378884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24C7FF-CDD7-4B11-9797-1F019152F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0.91515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35399"/>
          <a:ext cx="7359348" cy="355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Notes: RBD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: refined bleached deodorized. FOB: Free On Board.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International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Grains Council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Oil World.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260985</xdr:colOff>
      <xdr:row>0</xdr:row>
      <xdr:rowOff>60960</xdr:rowOff>
    </xdr:from>
    <xdr:to>
      <xdr:col>16</xdr:col>
      <xdr:colOff>508837</xdr:colOff>
      <xdr:row>21</xdr:row>
      <xdr:rowOff>166837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EBE82F-1989-408A-8BAC-CCA1C15B1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>
      <selection activeCell="A10" sqref="A10"/>
    </sheetView>
  </sheetViews>
  <sheetFormatPr defaultColWidth="9.6640625" defaultRowHeight="13.8"/>
  <cols>
    <col min="1" max="1" width="166.88671875" style="13" bestFit="1" customWidth="1"/>
    <col min="2" max="16384" width="9.6640625" style="1"/>
  </cols>
  <sheetData>
    <row r="1" spans="1:3">
      <c r="A1" s="8" t="s">
        <v>0</v>
      </c>
      <c r="B1" s="135"/>
      <c r="C1" s="135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35"/>
    </row>
    <row r="5" spans="1:3">
      <c r="A5" s="11" t="s">
        <v>3</v>
      </c>
      <c r="B5" s="4"/>
      <c r="C5" s="135"/>
    </row>
    <row r="6" spans="1:3">
      <c r="A6" s="11" t="s">
        <v>4</v>
      </c>
      <c r="B6" s="4"/>
      <c r="C6" s="135"/>
    </row>
    <row r="7" spans="1:3">
      <c r="A7" s="11" t="s">
        <v>5</v>
      </c>
      <c r="B7" s="4"/>
      <c r="C7" s="135"/>
    </row>
    <row r="8" spans="1:3">
      <c r="A8" s="11" t="s">
        <v>6</v>
      </c>
      <c r="B8" s="4"/>
      <c r="C8" s="135"/>
    </row>
    <row r="9" spans="1:3">
      <c r="A9" s="11" t="s">
        <v>7</v>
      </c>
      <c r="B9" s="4"/>
      <c r="C9" s="135"/>
    </row>
    <row r="10" spans="1:3">
      <c r="A10" s="11" t="s">
        <v>8</v>
      </c>
      <c r="B10" s="4"/>
      <c r="C10" s="135"/>
    </row>
    <row r="11" spans="1:3">
      <c r="A11" s="11" t="s">
        <v>9</v>
      </c>
      <c r="B11" s="4"/>
      <c r="C11" s="135"/>
    </row>
    <row r="12" spans="1:3">
      <c r="A12" s="11" t="s">
        <v>10</v>
      </c>
      <c r="B12" s="4"/>
      <c r="C12" s="135"/>
    </row>
    <row r="13" spans="1:3">
      <c r="A13" s="12" t="s">
        <v>11</v>
      </c>
      <c r="B13" s="4"/>
      <c r="C13" s="135"/>
    </row>
    <row r="14" spans="1:3" ht="13.2">
      <c r="A14" s="135"/>
      <c r="B14" s="135"/>
      <c r="C14" s="135"/>
    </row>
    <row r="15" spans="1:3">
      <c r="A15" s="8" t="s">
        <v>12</v>
      </c>
      <c r="B15" s="136"/>
      <c r="C15" s="135"/>
    </row>
    <row r="16" spans="1:3">
      <c r="A16" s="10">
        <f ca="1">TODAY()</f>
        <v>44662</v>
      </c>
      <c r="B16" s="135"/>
      <c r="C16" s="13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8A99-0751-432A-BD01-378E93189591}">
  <dimension ref="A1:C91"/>
  <sheetViews>
    <sheetView topLeftCell="D1" zoomScaleNormal="100" workbookViewId="0">
      <selection activeCell="E24" sqref="E24"/>
    </sheetView>
  </sheetViews>
  <sheetFormatPr defaultColWidth="9.109375" defaultRowHeight="13.2"/>
  <cols>
    <col min="1" max="1" width="14.6640625" bestFit="1" customWidth="1"/>
    <col min="2" max="2" width="12.33203125" customWidth="1"/>
    <col min="3" max="3" width="8.6640625" bestFit="1" customWidth="1"/>
  </cols>
  <sheetData>
    <row r="1" spans="1:3">
      <c r="A1" s="144" t="s">
        <v>154</v>
      </c>
      <c r="B1" s="144" t="s">
        <v>54</v>
      </c>
      <c r="C1" s="144" t="s">
        <v>157</v>
      </c>
    </row>
    <row r="2" spans="1:3">
      <c r="A2" s="179" t="s">
        <v>158</v>
      </c>
      <c r="B2" s="190">
        <v>6.34</v>
      </c>
      <c r="C2" s="190">
        <v>6.8</v>
      </c>
    </row>
    <row r="3" spans="1:3">
      <c r="A3" s="139" t="s">
        <v>159</v>
      </c>
      <c r="B3" s="191">
        <v>25.4</v>
      </c>
      <c r="C3" s="191">
        <v>26.65</v>
      </c>
    </row>
    <row r="4" spans="1:3">
      <c r="A4" s="139" t="s">
        <v>160</v>
      </c>
      <c r="B4" s="161">
        <v>23.45</v>
      </c>
      <c r="C4" s="161">
        <v>24.5</v>
      </c>
    </row>
    <row r="5" spans="1:3">
      <c r="A5" s="139" t="s">
        <v>161</v>
      </c>
      <c r="B5" s="191">
        <v>10.45</v>
      </c>
      <c r="C5" s="191">
        <v>10.7</v>
      </c>
    </row>
    <row r="6" spans="1:3">
      <c r="A6" s="139" t="s">
        <v>162</v>
      </c>
      <c r="B6" s="191">
        <v>12.7</v>
      </c>
      <c r="C6" s="191">
        <v>12.7</v>
      </c>
    </row>
    <row r="7" spans="1:3">
      <c r="A7" s="139" t="s">
        <v>163</v>
      </c>
      <c r="B7" s="191">
        <v>8.8550000000000004</v>
      </c>
      <c r="C7" s="191">
        <v>9.6050000000000004</v>
      </c>
    </row>
    <row r="8" spans="1:3">
      <c r="A8" s="142"/>
      <c r="B8" s="154"/>
      <c r="C8" s="154"/>
    </row>
    <row r="9" spans="1:3">
      <c r="A9" s="143"/>
      <c r="B9" s="180"/>
      <c r="C9" s="180"/>
    </row>
    <row r="10" spans="1:3">
      <c r="A10" s="139"/>
      <c r="B10" s="180"/>
      <c r="C10" s="180"/>
    </row>
    <row r="11" spans="1:3">
      <c r="A11" s="142"/>
      <c r="B11" s="180"/>
      <c r="C11" s="180"/>
    </row>
    <row r="12" spans="1:3">
      <c r="A12" s="181"/>
      <c r="B12" s="180"/>
      <c r="C12" s="180"/>
    </row>
    <row r="13" spans="1:3">
      <c r="A13" s="140"/>
      <c r="B13" s="180"/>
      <c r="C13" s="180"/>
    </row>
    <row r="14" spans="1:3">
      <c r="A14" s="140"/>
      <c r="B14" s="180"/>
      <c r="C14" s="180"/>
    </row>
    <row r="15" spans="1:3">
      <c r="A15" s="140"/>
      <c r="B15" s="180"/>
      <c r="C15" s="180"/>
    </row>
    <row r="16" spans="1:3">
      <c r="A16" s="132"/>
      <c r="B16" s="145"/>
      <c r="C16" s="145"/>
    </row>
    <row r="17" spans="1:3">
      <c r="A17" s="132"/>
      <c r="B17" s="145"/>
      <c r="C17" s="145"/>
    </row>
    <row r="18" spans="1:3">
      <c r="A18" s="132"/>
      <c r="B18" s="132"/>
      <c r="C18" s="132"/>
    </row>
    <row r="19" spans="1:3">
      <c r="A19" s="132"/>
      <c r="B19" s="132"/>
      <c r="C19" s="132"/>
    </row>
    <row r="20" spans="1:3">
      <c r="A20" s="132"/>
      <c r="B20" s="132"/>
      <c r="C20" s="132"/>
    </row>
    <row r="21" spans="1:3">
      <c r="A21" s="132"/>
      <c r="B21" s="132"/>
      <c r="C21" s="132"/>
    </row>
    <row r="22" spans="1:3">
      <c r="A22" s="132"/>
      <c r="B22" s="132"/>
      <c r="C22" s="132"/>
    </row>
    <row r="23" spans="1:3">
      <c r="A23" s="132"/>
      <c r="B23" s="132"/>
      <c r="C23" s="132"/>
    </row>
    <row r="24" spans="1:3">
      <c r="A24" s="132"/>
      <c r="B24" s="132"/>
      <c r="C24" s="132"/>
    </row>
    <row r="25" spans="1:3">
      <c r="A25" s="132"/>
      <c r="B25" s="132"/>
      <c r="C25" s="132"/>
    </row>
    <row r="26" spans="1:3">
      <c r="A26" s="132"/>
      <c r="B26" s="132"/>
      <c r="C26" s="132"/>
    </row>
    <row r="27" spans="1:3">
      <c r="A27" s="132"/>
      <c r="B27" s="132"/>
      <c r="C27" s="132"/>
    </row>
    <row r="28" spans="1:3">
      <c r="A28" s="132"/>
      <c r="B28" s="132"/>
      <c r="C28" s="132"/>
    </row>
    <row r="29" spans="1:3">
      <c r="A29" s="132"/>
      <c r="B29" s="132"/>
      <c r="C29" s="132"/>
    </row>
    <row r="30" spans="1:3">
      <c r="A30" s="132"/>
      <c r="B30" s="132"/>
      <c r="C30" s="132"/>
    </row>
    <row r="31" spans="1:3">
      <c r="A31" s="132"/>
      <c r="B31" s="132"/>
      <c r="C31" s="132"/>
    </row>
    <row r="32" spans="1:3">
      <c r="A32" s="132"/>
      <c r="B32" s="132"/>
      <c r="C32" s="132"/>
    </row>
    <row r="33" spans="1:3">
      <c r="A33" s="132"/>
      <c r="B33" s="132"/>
      <c r="C33" s="132"/>
    </row>
    <row r="34" spans="1:3">
      <c r="A34" s="132"/>
      <c r="B34" s="132"/>
      <c r="C34" s="132"/>
    </row>
    <row r="35" spans="1:3">
      <c r="A35" s="132"/>
      <c r="B35" s="132"/>
      <c r="C35" s="132"/>
    </row>
    <row r="36" spans="1:3">
      <c r="A36" s="132"/>
      <c r="B36" s="132"/>
      <c r="C36" s="132"/>
    </row>
    <row r="37" spans="1:3">
      <c r="A37" s="132"/>
      <c r="B37" s="132"/>
      <c r="C37" s="132"/>
    </row>
    <row r="38" spans="1:3">
      <c r="A38" s="132"/>
      <c r="B38" s="132"/>
      <c r="C38" s="132"/>
    </row>
    <row r="39" spans="1:3">
      <c r="A39" s="132"/>
      <c r="B39" s="132"/>
      <c r="C39" s="132"/>
    </row>
    <row r="40" spans="1:3">
      <c r="A40" s="132"/>
      <c r="B40" s="132"/>
      <c r="C40" s="132"/>
    </row>
    <row r="41" spans="1:3">
      <c r="A41" s="132"/>
      <c r="B41" s="132"/>
      <c r="C41" s="132"/>
    </row>
    <row r="42" spans="1:3">
      <c r="A42" s="132"/>
      <c r="B42" s="132"/>
      <c r="C42" s="132"/>
    </row>
    <row r="43" spans="1:3">
      <c r="A43" s="132"/>
      <c r="B43" s="132"/>
      <c r="C43" s="132"/>
    </row>
    <row r="44" spans="1:3">
      <c r="A44" s="132"/>
      <c r="B44" s="132"/>
      <c r="C44" s="132"/>
    </row>
    <row r="45" spans="1:3">
      <c r="A45" s="132"/>
      <c r="B45" s="132"/>
      <c r="C45" s="132"/>
    </row>
    <row r="46" spans="1:3">
      <c r="A46" s="132"/>
      <c r="B46" s="132"/>
      <c r="C46" s="132"/>
    </row>
    <row r="47" spans="1:3">
      <c r="A47" s="132"/>
      <c r="B47" s="132"/>
      <c r="C47" s="132"/>
    </row>
    <row r="48" spans="1:3">
      <c r="A48" s="132"/>
      <c r="B48" s="132"/>
      <c r="C48" s="132"/>
    </row>
    <row r="49" spans="1:3">
      <c r="A49" s="132"/>
      <c r="B49" s="132"/>
      <c r="C49" s="132"/>
    </row>
    <row r="50" spans="1:3">
      <c r="A50" s="132"/>
      <c r="B50" s="132"/>
      <c r="C50" s="132"/>
    </row>
    <row r="51" spans="1:3">
      <c r="A51" s="132"/>
      <c r="B51" s="132"/>
      <c r="C51" s="132"/>
    </row>
    <row r="52" spans="1:3">
      <c r="A52" s="132"/>
      <c r="B52" s="132"/>
      <c r="C52" s="132"/>
    </row>
    <row r="53" spans="1:3">
      <c r="A53" s="132"/>
      <c r="B53" s="132"/>
      <c r="C53" s="132"/>
    </row>
    <row r="54" spans="1:3">
      <c r="A54" s="132"/>
      <c r="B54" s="132"/>
      <c r="C54" s="132"/>
    </row>
    <row r="55" spans="1:3">
      <c r="A55" s="132"/>
      <c r="B55" s="132"/>
      <c r="C55" s="132"/>
    </row>
    <row r="56" spans="1:3">
      <c r="A56" s="132"/>
      <c r="B56" s="132"/>
      <c r="C56" s="132"/>
    </row>
    <row r="57" spans="1:3">
      <c r="A57" s="132"/>
      <c r="B57" s="132"/>
      <c r="C57" s="132"/>
    </row>
    <row r="58" spans="1:3">
      <c r="A58" s="132"/>
      <c r="B58" s="132"/>
      <c r="C58" s="132"/>
    </row>
    <row r="59" spans="1:3">
      <c r="A59" s="132"/>
      <c r="B59" s="132"/>
      <c r="C59" s="132"/>
    </row>
    <row r="60" spans="1:3">
      <c r="A60" s="132"/>
      <c r="B60" s="132"/>
      <c r="C60" s="132"/>
    </row>
    <row r="61" spans="1:3">
      <c r="A61" s="132"/>
      <c r="B61" s="132"/>
      <c r="C61" s="132"/>
    </row>
    <row r="62" spans="1:3">
      <c r="A62" s="132"/>
      <c r="B62" s="132"/>
      <c r="C62" s="132"/>
    </row>
    <row r="63" spans="1:3">
      <c r="A63" s="132"/>
      <c r="B63" s="132"/>
      <c r="C63" s="132"/>
    </row>
    <row r="64" spans="1:3">
      <c r="A64" s="132"/>
      <c r="B64" s="132"/>
      <c r="C64" s="132"/>
    </row>
    <row r="65" spans="1:3">
      <c r="A65" s="132"/>
      <c r="B65" s="132"/>
      <c r="C65" s="132"/>
    </row>
    <row r="66" spans="1:3">
      <c r="A66" s="132"/>
      <c r="B66" s="132"/>
      <c r="C66" s="132"/>
    </row>
    <row r="67" spans="1:3">
      <c r="A67" s="132"/>
      <c r="B67" s="132"/>
      <c r="C67" s="132"/>
    </row>
    <row r="68" spans="1:3">
      <c r="A68" s="132"/>
      <c r="B68" s="132"/>
      <c r="C68" s="132"/>
    </row>
    <row r="69" spans="1:3">
      <c r="A69" s="132"/>
      <c r="B69" s="132"/>
      <c r="C69" s="132"/>
    </row>
    <row r="70" spans="1:3">
      <c r="A70" s="132"/>
      <c r="B70" s="132"/>
      <c r="C70" s="132"/>
    </row>
    <row r="71" spans="1:3">
      <c r="A71" s="132"/>
      <c r="B71" s="132"/>
      <c r="C71" s="132"/>
    </row>
    <row r="72" spans="1:3">
      <c r="A72" s="132"/>
      <c r="B72" s="132"/>
      <c r="C72" s="132"/>
    </row>
    <row r="73" spans="1:3">
      <c r="A73" s="132"/>
      <c r="B73" s="132"/>
      <c r="C73" s="132"/>
    </row>
    <row r="74" spans="1:3">
      <c r="A74" s="132"/>
      <c r="B74" s="132"/>
      <c r="C74" s="132"/>
    </row>
    <row r="75" spans="1:3">
      <c r="A75" s="132"/>
      <c r="B75" s="132"/>
      <c r="C75" s="132"/>
    </row>
    <row r="76" spans="1:3">
      <c r="A76" s="132"/>
      <c r="B76" s="132"/>
      <c r="C76" s="132"/>
    </row>
    <row r="77" spans="1:3">
      <c r="A77" s="132"/>
      <c r="B77" s="132"/>
      <c r="C77" s="132"/>
    </row>
    <row r="78" spans="1:3">
      <c r="A78" s="132"/>
      <c r="B78" s="132"/>
      <c r="C78" s="132"/>
    </row>
    <row r="79" spans="1:3">
      <c r="A79" s="132"/>
      <c r="B79" s="132"/>
      <c r="C79" s="132"/>
    </row>
    <row r="80" spans="1:3">
      <c r="A80" s="132"/>
      <c r="B80" s="132"/>
      <c r="C80" s="132"/>
    </row>
    <row r="81" spans="1:3">
      <c r="A81" s="132"/>
      <c r="B81" s="132"/>
      <c r="C81" s="132"/>
    </row>
    <row r="82" spans="1:3">
      <c r="A82" s="132"/>
      <c r="B82" s="132"/>
      <c r="C82" s="132"/>
    </row>
    <row r="83" spans="1:3">
      <c r="A83" s="132"/>
      <c r="B83" s="132"/>
      <c r="C83" s="132"/>
    </row>
    <row r="84" spans="1:3">
      <c r="A84" s="132"/>
      <c r="B84" s="132"/>
      <c r="C84" s="132"/>
    </row>
    <row r="85" spans="1:3">
      <c r="A85" s="132"/>
      <c r="B85" s="132"/>
      <c r="C85" s="132"/>
    </row>
    <row r="86" spans="1:3">
      <c r="A86" s="132"/>
      <c r="B86" s="132"/>
      <c r="C86" s="132"/>
    </row>
    <row r="87" spans="1:3">
      <c r="A87" s="132"/>
      <c r="B87" s="132"/>
      <c r="C87" s="132"/>
    </row>
    <row r="88" spans="1:3">
      <c r="A88" s="132"/>
      <c r="B88" s="132"/>
      <c r="C88" s="132"/>
    </row>
    <row r="89" spans="1:3">
      <c r="A89" s="132"/>
      <c r="B89" s="132"/>
      <c r="C89" s="132"/>
    </row>
    <row r="90" spans="1:3">
      <c r="A90" s="132"/>
      <c r="B90" s="132"/>
      <c r="C90" s="132"/>
    </row>
    <row r="91" spans="1:3">
      <c r="A91" s="132"/>
      <c r="B91" s="132"/>
      <c r="C91" s="13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BCA3-42F5-4263-AFD3-A116A6071F7D}">
  <dimension ref="A1:E85"/>
  <sheetViews>
    <sheetView zoomScale="90" zoomScaleNormal="90" workbookViewId="0">
      <selection activeCell="C21" sqref="C21"/>
    </sheetView>
  </sheetViews>
  <sheetFormatPr defaultColWidth="9.109375" defaultRowHeight="13.2"/>
  <cols>
    <col min="1" max="1" width="13.44140625" style="148" bestFit="1" customWidth="1"/>
    <col min="2" max="2" width="10.88671875" style="133" customWidth="1"/>
    <col min="3" max="4" width="11.109375" style="133" customWidth="1"/>
    <col min="5" max="16384" width="9.109375" style="133"/>
  </cols>
  <sheetData>
    <row r="1" spans="1:5" ht="39.6">
      <c r="A1" s="146" t="s">
        <v>164</v>
      </c>
      <c r="B1" s="126" t="s">
        <v>165</v>
      </c>
      <c r="C1" s="126" t="s">
        <v>166</v>
      </c>
      <c r="D1" s="126" t="s">
        <v>167</v>
      </c>
    </row>
    <row r="2" spans="1:5">
      <c r="A2" s="142" t="s">
        <v>115</v>
      </c>
      <c r="B2" s="153">
        <v>36</v>
      </c>
      <c r="C2" s="153">
        <v>18.858000000000001</v>
      </c>
      <c r="D2" s="153">
        <v>10.405000000000001</v>
      </c>
    </row>
    <row r="3" spans="1:5">
      <c r="A3" s="142" t="s">
        <v>116</v>
      </c>
      <c r="B3" s="153">
        <v>39.5</v>
      </c>
      <c r="C3" s="153">
        <v>19.683</v>
      </c>
      <c r="D3" s="153">
        <v>11.422999999999995</v>
      </c>
    </row>
    <row r="4" spans="1:5">
      <c r="A4" s="142" t="s">
        <v>117</v>
      </c>
      <c r="B4" s="153">
        <v>41.5</v>
      </c>
      <c r="C4" s="153">
        <v>20.8</v>
      </c>
      <c r="D4" s="153">
        <v>11.948999999999998</v>
      </c>
    </row>
    <row r="5" spans="1:5">
      <c r="A5" s="142" t="s">
        <v>34</v>
      </c>
      <c r="B5" s="153">
        <v>42.5</v>
      </c>
      <c r="C5" s="153">
        <v>19.254999999999999</v>
      </c>
      <c r="D5" s="153">
        <v>11.27600000000001</v>
      </c>
    </row>
    <row r="6" spans="1:5">
      <c r="A6" s="142" t="s">
        <v>37</v>
      </c>
      <c r="B6" s="153">
        <v>43.5</v>
      </c>
      <c r="C6" s="153">
        <v>17.853999999999999</v>
      </c>
      <c r="D6" s="153">
        <v>11.751000000000005</v>
      </c>
    </row>
    <row r="7" spans="1:5">
      <c r="A7" s="142" t="s">
        <v>168</v>
      </c>
      <c r="B7" s="186">
        <v>44.5</v>
      </c>
      <c r="C7" s="186">
        <v>18.7</v>
      </c>
      <c r="D7" s="153">
        <v>9.9050000000000011</v>
      </c>
    </row>
    <row r="8" spans="1:5">
      <c r="A8" s="142" t="s">
        <v>169</v>
      </c>
      <c r="B8" s="153">
        <v>45.5</v>
      </c>
      <c r="C8" s="153">
        <v>19</v>
      </c>
      <c r="D8" s="153">
        <v>12.546999999999997</v>
      </c>
      <c r="E8" s="187"/>
    </row>
    <row r="9" spans="1:5">
      <c r="B9" s="147"/>
    </row>
    <row r="10" spans="1:5">
      <c r="B10" s="147"/>
      <c r="C10" s="147"/>
      <c r="D10" s="147"/>
    </row>
    <row r="11" spans="1:5">
      <c r="B11" s="147"/>
      <c r="C11" s="147"/>
      <c r="D11" s="147"/>
    </row>
    <row r="12" spans="1:5">
      <c r="B12" s="147"/>
      <c r="C12" s="147"/>
      <c r="D12" s="147"/>
    </row>
    <row r="13" spans="1:5">
      <c r="B13" s="147"/>
      <c r="C13" s="147"/>
      <c r="D13" s="147"/>
    </row>
    <row r="14" spans="1:5">
      <c r="B14" s="147"/>
      <c r="C14" s="147"/>
      <c r="D14" s="147"/>
    </row>
    <row r="15" spans="1:5">
      <c r="B15" s="147"/>
      <c r="C15" s="147"/>
      <c r="D15" s="147"/>
    </row>
    <row r="16" spans="1:5">
      <c r="B16" s="147"/>
      <c r="C16" s="147"/>
      <c r="D16" s="147"/>
    </row>
    <row r="17" spans="2:4">
      <c r="B17" s="147"/>
      <c r="C17" s="147"/>
      <c r="D17" s="147"/>
    </row>
    <row r="18" spans="2:4">
      <c r="B18" s="147"/>
      <c r="C18" s="147"/>
      <c r="D18" s="147"/>
    </row>
    <row r="19" spans="2:4">
      <c r="B19" s="147"/>
      <c r="C19" s="147"/>
      <c r="D19" s="147"/>
    </row>
    <row r="20" spans="2:4">
      <c r="B20" s="134"/>
    </row>
    <row r="21" spans="2:4">
      <c r="B21" s="134"/>
    </row>
    <row r="22" spans="2:4">
      <c r="B22" s="134"/>
    </row>
    <row r="23" spans="2:4">
      <c r="B23" s="134"/>
    </row>
    <row r="24" spans="2:4">
      <c r="B24" s="134"/>
    </row>
    <row r="25" spans="2:4">
      <c r="B25" s="134"/>
    </row>
    <row r="26" spans="2:4">
      <c r="B26" s="134"/>
    </row>
    <row r="27" spans="2:4">
      <c r="B27" s="134"/>
    </row>
    <row r="28" spans="2:4">
      <c r="B28" s="134"/>
    </row>
    <row r="29" spans="2:4">
      <c r="B29" s="134"/>
    </row>
    <row r="30" spans="2:4">
      <c r="B30" s="134"/>
    </row>
    <row r="31" spans="2:4">
      <c r="B31" s="134"/>
    </row>
    <row r="32" spans="2:4">
      <c r="B32" s="134"/>
    </row>
    <row r="33" spans="2:2">
      <c r="B33" s="134"/>
    </row>
    <row r="34" spans="2:2">
      <c r="B34" s="134"/>
    </row>
    <row r="35" spans="2:2">
      <c r="B35" s="134"/>
    </row>
    <row r="36" spans="2:2">
      <c r="B36" s="134"/>
    </row>
    <row r="37" spans="2:2">
      <c r="B37" s="134"/>
    </row>
    <row r="38" spans="2:2">
      <c r="B38" s="134"/>
    </row>
    <row r="39" spans="2:2">
      <c r="B39" s="134"/>
    </row>
    <row r="40" spans="2:2">
      <c r="B40" s="134"/>
    </row>
    <row r="41" spans="2:2">
      <c r="B41" s="134"/>
    </row>
    <row r="42" spans="2:2">
      <c r="B42" s="134"/>
    </row>
    <row r="43" spans="2:2">
      <c r="B43" s="134"/>
    </row>
    <row r="44" spans="2:2">
      <c r="B44" s="134"/>
    </row>
    <row r="45" spans="2:2">
      <c r="B45" s="134"/>
    </row>
    <row r="46" spans="2:2">
      <c r="B46" s="134"/>
    </row>
    <row r="47" spans="2:2">
      <c r="B47" s="134"/>
    </row>
    <row r="48" spans="2:2">
      <c r="B48" s="134"/>
    </row>
    <row r="49" spans="2:2">
      <c r="B49" s="134"/>
    </row>
    <row r="50" spans="2:2">
      <c r="B50" s="134"/>
    </row>
    <row r="51" spans="2:2">
      <c r="B51" s="134"/>
    </row>
    <row r="52" spans="2:2">
      <c r="B52" s="134"/>
    </row>
    <row r="53" spans="2:2">
      <c r="B53" s="134"/>
    </row>
    <row r="54" spans="2:2">
      <c r="B54" s="134"/>
    </row>
    <row r="55" spans="2:2">
      <c r="B55" s="134"/>
    </row>
    <row r="56" spans="2:2">
      <c r="B56" s="134"/>
    </row>
    <row r="57" spans="2:2">
      <c r="B57" s="134"/>
    </row>
    <row r="58" spans="2:2">
      <c r="B58" s="134"/>
    </row>
    <row r="59" spans="2:2">
      <c r="B59" s="134"/>
    </row>
    <row r="60" spans="2:2">
      <c r="B60" s="134"/>
    </row>
    <row r="61" spans="2:2">
      <c r="B61" s="134"/>
    </row>
    <row r="62" spans="2:2">
      <c r="B62" s="134"/>
    </row>
    <row r="63" spans="2:2">
      <c r="B63" s="134"/>
    </row>
    <row r="64" spans="2:2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D61DC-B682-4129-B0A2-7F03B6EB5C16}">
  <dimension ref="A1:K199"/>
  <sheetViews>
    <sheetView zoomScale="90" zoomScaleNormal="90" workbookViewId="0">
      <pane xSplit="1" ySplit="1" topLeftCell="D5" activePane="bottomRight" state="frozen"/>
      <selection pane="topRight"/>
      <selection pane="bottomLeft"/>
      <selection pane="bottomRight" activeCell="G32" sqref="F32:G32"/>
    </sheetView>
  </sheetViews>
  <sheetFormatPr defaultColWidth="8.88671875" defaultRowHeight="13.2"/>
  <cols>
    <col min="1" max="1" width="15.6640625" style="127" bestFit="1" customWidth="1"/>
    <col min="2" max="2" width="10" style="127" customWidth="1"/>
    <col min="3" max="3" width="11.6640625" style="127" customWidth="1"/>
    <col min="4" max="4" width="16.44140625" style="167" customWidth="1"/>
    <col min="5" max="5" width="10.6640625" style="127" customWidth="1"/>
    <col min="6" max="16384" width="8.88671875" style="127"/>
  </cols>
  <sheetData>
    <row r="1" spans="1:11" ht="39.6">
      <c r="A1" s="126" t="s">
        <v>170</v>
      </c>
      <c r="B1" s="126" t="s">
        <v>171</v>
      </c>
      <c r="C1" s="126" t="s">
        <v>172</v>
      </c>
      <c r="D1" s="173" t="s">
        <v>199</v>
      </c>
      <c r="E1" s="126" t="s">
        <v>173</v>
      </c>
    </row>
    <row r="2" spans="1:11">
      <c r="A2" s="171">
        <v>38991</v>
      </c>
      <c r="B2" s="168">
        <v>450</v>
      </c>
      <c r="C2" s="168">
        <v>544</v>
      </c>
      <c r="D2" s="168">
        <v>666</v>
      </c>
      <c r="E2" s="169">
        <v>781</v>
      </c>
    </row>
    <row r="3" spans="1:11">
      <c r="A3" s="171">
        <v>39022</v>
      </c>
      <c r="B3" s="168">
        <v>511</v>
      </c>
      <c r="C3" s="168">
        <v>629</v>
      </c>
      <c r="D3" s="168">
        <v>722</v>
      </c>
      <c r="E3" s="169">
        <v>814</v>
      </c>
      <c r="G3" s="174" t="s">
        <v>174</v>
      </c>
      <c r="H3" s="174" t="s">
        <v>175</v>
      </c>
      <c r="I3" s="175"/>
      <c r="J3" s="175"/>
      <c r="K3" s="174"/>
    </row>
    <row r="4" spans="1:11">
      <c r="A4" s="171">
        <v>39052</v>
      </c>
      <c r="B4" s="168">
        <v>559</v>
      </c>
      <c r="C4" s="168">
        <v>629</v>
      </c>
      <c r="D4" s="168">
        <v>730</v>
      </c>
      <c r="E4" s="169">
        <v>856</v>
      </c>
      <c r="G4" s="174" t="s">
        <v>176</v>
      </c>
      <c r="H4" s="174" t="s">
        <v>177</v>
      </c>
      <c r="I4" s="175"/>
      <c r="J4" s="175"/>
      <c r="K4" s="174"/>
    </row>
    <row r="5" spans="1:11">
      <c r="A5" s="171">
        <v>39083</v>
      </c>
      <c r="B5" s="168">
        <v>569</v>
      </c>
      <c r="C5" s="168">
        <v>620</v>
      </c>
      <c r="D5" s="168">
        <v>719</v>
      </c>
      <c r="E5" s="169">
        <v>818</v>
      </c>
      <c r="G5" s="174" t="s">
        <v>178</v>
      </c>
      <c r="H5" s="174" t="s">
        <v>179</v>
      </c>
      <c r="I5" s="175"/>
      <c r="J5" s="175"/>
      <c r="K5" s="174"/>
    </row>
    <row r="6" spans="1:11">
      <c r="A6" s="171">
        <v>39114</v>
      </c>
      <c r="B6" s="168">
        <v>573</v>
      </c>
      <c r="C6" s="168">
        <v>605</v>
      </c>
      <c r="D6" s="168">
        <v>709</v>
      </c>
      <c r="E6" s="169">
        <v>781</v>
      </c>
      <c r="G6" s="174" t="s">
        <v>180</v>
      </c>
      <c r="H6" s="174" t="s">
        <v>181</v>
      </c>
      <c r="I6" s="175"/>
      <c r="J6" s="175"/>
      <c r="K6" s="174"/>
    </row>
    <row r="7" spans="1:11">
      <c r="A7" s="171">
        <v>39142</v>
      </c>
      <c r="B7" s="169">
        <v>593</v>
      </c>
      <c r="C7" s="167">
        <v>605</v>
      </c>
      <c r="D7" s="167">
        <v>713</v>
      </c>
      <c r="E7" s="169">
        <v>765</v>
      </c>
      <c r="G7" s="174"/>
      <c r="H7" s="174" t="s">
        <v>182</v>
      </c>
      <c r="I7" s="175"/>
      <c r="J7" s="175"/>
      <c r="K7" s="174"/>
    </row>
    <row r="8" spans="1:11">
      <c r="A8" s="171">
        <v>39173</v>
      </c>
      <c r="B8" s="172">
        <v>684</v>
      </c>
      <c r="C8" s="167">
        <v>645</v>
      </c>
      <c r="D8" s="167">
        <v>755</v>
      </c>
      <c r="E8" s="169">
        <v>799</v>
      </c>
    </row>
    <row r="9" spans="1:11">
      <c r="A9" s="171">
        <v>39203</v>
      </c>
      <c r="B9" s="172">
        <v>770</v>
      </c>
      <c r="C9" s="167">
        <v>637</v>
      </c>
      <c r="D9" s="167">
        <v>831</v>
      </c>
      <c r="E9" s="169">
        <v>825</v>
      </c>
    </row>
    <row r="10" spans="1:11">
      <c r="A10" s="171">
        <v>39234</v>
      </c>
      <c r="B10" s="172">
        <v>781</v>
      </c>
      <c r="C10" s="167">
        <v>745</v>
      </c>
      <c r="D10" s="167">
        <v>916</v>
      </c>
      <c r="E10" s="169">
        <v>860</v>
      </c>
    </row>
    <row r="11" spans="1:11">
      <c r="A11" s="171">
        <v>39264</v>
      </c>
      <c r="B11" s="172">
        <v>789</v>
      </c>
      <c r="C11" s="167">
        <v>780</v>
      </c>
      <c r="D11" s="167">
        <v>999</v>
      </c>
      <c r="E11" s="169">
        <v>921</v>
      </c>
    </row>
    <row r="12" spans="1:11">
      <c r="A12" s="171">
        <v>39295</v>
      </c>
      <c r="B12" s="172">
        <v>782</v>
      </c>
      <c r="C12" s="167">
        <v>810</v>
      </c>
      <c r="D12" s="167">
        <v>1114</v>
      </c>
      <c r="E12" s="169">
        <v>955</v>
      </c>
    </row>
    <row r="13" spans="1:11">
      <c r="A13" s="171">
        <v>39326</v>
      </c>
      <c r="B13" s="167">
        <v>798</v>
      </c>
      <c r="C13" s="167">
        <v>829</v>
      </c>
      <c r="D13" s="167">
        <v>1279</v>
      </c>
      <c r="E13" s="169">
        <v>1051</v>
      </c>
    </row>
    <row r="14" spans="1:11">
      <c r="A14" s="171">
        <v>39356</v>
      </c>
      <c r="B14" s="167">
        <v>848</v>
      </c>
      <c r="C14" s="167">
        <v>896</v>
      </c>
      <c r="D14" s="167">
        <v>1358</v>
      </c>
      <c r="E14" s="169">
        <v>1195</v>
      </c>
    </row>
    <row r="15" spans="1:11">
      <c r="A15" s="171">
        <v>39387</v>
      </c>
      <c r="B15" s="167">
        <v>935</v>
      </c>
      <c r="C15" s="167">
        <v>1020</v>
      </c>
      <c r="D15" s="167">
        <v>1401</v>
      </c>
      <c r="E15" s="169">
        <v>1273</v>
      </c>
    </row>
    <row r="16" spans="1:11">
      <c r="A16" s="171">
        <v>39417</v>
      </c>
      <c r="B16" s="167">
        <v>948</v>
      </c>
      <c r="C16" s="167">
        <v>1045</v>
      </c>
      <c r="D16" s="167">
        <v>1469</v>
      </c>
      <c r="E16" s="169">
        <v>1386</v>
      </c>
    </row>
    <row r="17" spans="1:5">
      <c r="A17" s="171">
        <v>39448</v>
      </c>
      <c r="B17" s="167">
        <v>1053</v>
      </c>
      <c r="C17" s="167">
        <v>1177</v>
      </c>
      <c r="D17" s="167">
        <v>1709</v>
      </c>
      <c r="E17" s="169">
        <v>1428</v>
      </c>
    </row>
    <row r="18" spans="1:5">
      <c r="A18" s="171">
        <v>39479</v>
      </c>
      <c r="B18" s="167">
        <v>1192</v>
      </c>
      <c r="C18" s="167">
        <v>1354</v>
      </c>
      <c r="D18" s="167">
        <v>1839</v>
      </c>
      <c r="E18" s="169">
        <v>1434</v>
      </c>
    </row>
    <row r="19" spans="1:5">
      <c r="A19" s="171">
        <v>39508</v>
      </c>
      <c r="B19" s="168">
        <v>1291</v>
      </c>
      <c r="C19" s="168">
        <v>1346</v>
      </c>
      <c r="D19" s="168">
        <v>1863</v>
      </c>
      <c r="E19" s="169">
        <v>1519</v>
      </c>
    </row>
    <row r="20" spans="1:5">
      <c r="A20" s="171">
        <v>39539</v>
      </c>
      <c r="B20" s="168">
        <v>1247</v>
      </c>
      <c r="C20" s="167">
        <v>1320</v>
      </c>
      <c r="D20" s="167">
        <v>1838</v>
      </c>
      <c r="E20" s="167">
        <v>1469</v>
      </c>
    </row>
    <row r="21" spans="1:5">
      <c r="A21" s="171">
        <v>39569</v>
      </c>
      <c r="B21" s="168">
        <v>1250</v>
      </c>
      <c r="C21" s="168">
        <v>1322</v>
      </c>
      <c r="D21" s="168">
        <v>1962</v>
      </c>
      <c r="E21" s="168">
        <v>1510</v>
      </c>
    </row>
    <row r="22" spans="1:5">
      <c r="A22" s="171">
        <v>39600</v>
      </c>
      <c r="B22" s="170">
        <v>1199</v>
      </c>
      <c r="C22" s="170">
        <v>1382</v>
      </c>
      <c r="D22" s="170">
        <v>2045</v>
      </c>
      <c r="E22" s="170">
        <v>1577</v>
      </c>
    </row>
    <row r="23" spans="1:5">
      <c r="A23" s="171">
        <v>39630</v>
      </c>
      <c r="B23" s="168">
        <v>1115</v>
      </c>
      <c r="C23" s="167">
        <v>1326</v>
      </c>
      <c r="D23" s="167">
        <v>1692</v>
      </c>
      <c r="E23" s="167">
        <v>1540</v>
      </c>
    </row>
    <row r="24" spans="1:5">
      <c r="A24" s="171">
        <v>39661</v>
      </c>
      <c r="B24" s="168">
        <v>879</v>
      </c>
      <c r="C24" s="167">
        <v>1110</v>
      </c>
      <c r="D24" s="167">
        <v>1319</v>
      </c>
      <c r="E24" s="167">
        <v>1355</v>
      </c>
    </row>
    <row r="25" spans="1:5">
      <c r="A25" s="171">
        <v>39692</v>
      </c>
      <c r="B25" s="168">
        <v>743</v>
      </c>
      <c r="C25" s="167">
        <v>987</v>
      </c>
      <c r="D25" s="167">
        <v>1176</v>
      </c>
      <c r="E25" s="167">
        <v>1238</v>
      </c>
    </row>
    <row r="26" spans="1:5">
      <c r="A26" s="171">
        <v>39722</v>
      </c>
      <c r="B26" s="168">
        <v>564</v>
      </c>
      <c r="C26" s="167">
        <v>769</v>
      </c>
      <c r="D26" s="167">
        <v>950</v>
      </c>
      <c r="E26" s="167">
        <v>1053</v>
      </c>
    </row>
    <row r="27" spans="1:5">
      <c r="A27" s="171">
        <v>39753</v>
      </c>
      <c r="B27" s="168">
        <v>489</v>
      </c>
      <c r="C27" s="167">
        <v>698</v>
      </c>
      <c r="D27" s="167">
        <v>835</v>
      </c>
      <c r="E27" s="167">
        <v>991</v>
      </c>
    </row>
    <row r="28" spans="1:5">
      <c r="A28" s="171">
        <v>39783</v>
      </c>
      <c r="B28" s="168">
        <v>511</v>
      </c>
      <c r="C28" s="167">
        <v>627</v>
      </c>
      <c r="D28" s="167">
        <v>759</v>
      </c>
      <c r="E28" s="167">
        <v>836</v>
      </c>
    </row>
    <row r="29" spans="1:5">
      <c r="A29" s="171">
        <v>39814</v>
      </c>
      <c r="B29" s="168">
        <v>566</v>
      </c>
      <c r="C29" s="167">
        <v>700</v>
      </c>
      <c r="D29" s="167">
        <v>817</v>
      </c>
      <c r="E29" s="167">
        <v>817</v>
      </c>
    </row>
    <row r="30" spans="1:5">
      <c r="A30" s="171">
        <v>39845</v>
      </c>
      <c r="B30" s="168">
        <v>577</v>
      </c>
      <c r="C30" s="167">
        <v>665</v>
      </c>
      <c r="D30" s="167">
        <v>805</v>
      </c>
      <c r="E30" s="167">
        <v>760</v>
      </c>
    </row>
    <row r="31" spans="1:5">
      <c r="A31" s="171">
        <v>39873</v>
      </c>
      <c r="B31" s="168">
        <v>595</v>
      </c>
      <c r="C31" s="167">
        <v>655</v>
      </c>
      <c r="D31" s="167">
        <v>757</v>
      </c>
      <c r="E31" s="167">
        <v>709</v>
      </c>
    </row>
    <row r="32" spans="1:5">
      <c r="A32" s="171">
        <v>39904</v>
      </c>
      <c r="B32" s="168">
        <v>716</v>
      </c>
      <c r="C32" s="167">
        <v>762</v>
      </c>
      <c r="D32" s="167">
        <v>843</v>
      </c>
      <c r="E32" s="167">
        <v>807</v>
      </c>
    </row>
    <row r="33" spans="1:5">
      <c r="A33" s="171">
        <v>39934</v>
      </c>
      <c r="B33" s="168">
        <v>799</v>
      </c>
      <c r="C33" s="167">
        <v>847</v>
      </c>
      <c r="D33" s="167">
        <v>941</v>
      </c>
      <c r="E33" s="167">
        <v>933</v>
      </c>
    </row>
    <row r="34" spans="1:5">
      <c r="A34" s="171">
        <v>39965</v>
      </c>
      <c r="B34" s="168">
        <v>732</v>
      </c>
      <c r="C34" s="167">
        <v>832</v>
      </c>
      <c r="D34" s="167">
        <v>907</v>
      </c>
      <c r="E34" s="167">
        <v>920</v>
      </c>
    </row>
    <row r="35" spans="1:5">
      <c r="A35" s="171">
        <v>39995</v>
      </c>
      <c r="B35" s="168">
        <v>647</v>
      </c>
      <c r="C35" s="167">
        <v>751</v>
      </c>
      <c r="D35" s="167">
        <v>804</v>
      </c>
      <c r="E35" s="167">
        <v>846</v>
      </c>
    </row>
    <row r="36" spans="1:5">
      <c r="A36" s="171">
        <v>40026</v>
      </c>
      <c r="B36" s="168">
        <v>719</v>
      </c>
      <c r="C36" s="167">
        <v>814</v>
      </c>
      <c r="D36" s="167">
        <v>820</v>
      </c>
      <c r="E36" s="167">
        <v>887</v>
      </c>
    </row>
    <row r="37" spans="1:5">
      <c r="A37" s="171">
        <v>40057</v>
      </c>
      <c r="B37" s="168">
        <v>675</v>
      </c>
      <c r="C37" s="167">
        <v>759</v>
      </c>
      <c r="D37" s="167">
        <v>809</v>
      </c>
      <c r="E37" s="167">
        <v>857</v>
      </c>
    </row>
    <row r="38" spans="1:5">
      <c r="A38" s="171">
        <v>40087</v>
      </c>
      <c r="B38" s="168">
        <v>663</v>
      </c>
      <c r="C38" s="167">
        <v>802</v>
      </c>
      <c r="D38" s="167">
        <v>846</v>
      </c>
      <c r="E38" s="167">
        <v>896</v>
      </c>
    </row>
    <row r="39" spans="1:5">
      <c r="A39" s="171">
        <v>40118</v>
      </c>
      <c r="B39" s="168">
        <v>703</v>
      </c>
      <c r="C39" s="167">
        <v>855</v>
      </c>
      <c r="D39" s="167">
        <v>921</v>
      </c>
      <c r="E39" s="167">
        <v>928</v>
      </c>
    </row>
    <row r="40" spans="1:5">
      <c r="A40" s="171">
        <v>40148</v>
      </c>
      <c r="B40" s="168">
        <v>766</v>
      </c>
      <c r="C40" s="167">
        <v>857</v>
      </c>
      <c r="D40" s="167">
        <v>986</v>
      </c>
      <c r="E40" s="167">
        <v>944</v>
      </c>
    </row>
    <row r="41" spans="1:5">
      <c r="A41" s="171">
        <v>40179</v>
      </c>
      <c r="B41" s="168">
        <v>774</v>
      </c>
      <c r="C41" s="167">
        <v>845</v>
      </c>
      <c r="D41" s="167">
        <v>969</v>
      </c>
      <c r="E41" s="167">
        <v>916</v>
      </c>
    </row>
    <row r="42" spans="1:5">
      <c r="A42" s="171">
        <v>40210</v>
      </c>
      <c r="B42" s="168">
        <v>778</v>
      </c>
      <c r="C42" s="167">
        <v>840</v>
      </c>
      <c r="D42" s="167">
        <v>948</v>
      </c>
      <c r="E42" s="167">
        <v>893</v>
      </c>
    </row>
    <row r="43" spans="1:5">
      <c r="A43" s="171">
        <v>40238</v>
      </c>
      <c r="B43" s="168">
        <v>809</v>
      </c>
      <c r="C43" s="167">
        <v>820</v>
      </c>
      <c r="D43" s="167">
        <v>949</v>
      </c>
      <c r="E43" s="167">
        <v>897</v>
      </c>
    </row>
    <row r="44" spans="1:5">
      <c r="A44" s="171">
        <v>40269</v>
      </c>
      <c r="B44" s="167">
        <v>811</v>
      </c>
      <c r="C44" s="167">
        <v>817</v>
      </c>
      <c r="D44" s="167">
        <v>924</v>
      </c>
      <c r="E44" s="167">
        <v>909</v>
      </c>
    </row>
    <row r="45" spans="1:5">
      <c r="A45" s="171">
        <v>40299</v>
      </c>
      <c r="B45" s="167">
        <v>798</v>
      </c>
      <c r="C45" s="167">
        <v>820</v>
      </c>
      <c r="D45" s="167">
        <v>910</v>
      </c>
      <c r="E45" s="167">
        <v>864</v>
      </c>
    </row>
    <row r="46" spans="1:5">
      <c r="A46" s="171">
        <v>40330</v>
      </c>
      <c r="B46" s="167">
        <v>787</v>
      </c>
      <c r="C46" s="167">
        <v>808</v>
      </c>
      <c r="D46" s="167">
        <v>889</v>
      </c>
      <c r="E46" s="167">
        <v>880</v>
      </c>
    </row>
    <row r="47" spans="1:5">
      <c r="A47" s="171">
        <v>40360</v>
      </c>
      <c r="B47" s="167">
        <v>801</v>
      </c>
      <c r="C47" s="167">
        <v>856</v>
      </c>
      <c r="D47" s="167">
        <v>937</v>
      </c>
      <c r="E47" s="167">
        <v>946</v>
      </c>
    </row>
    <row r="48" spans="1:5">
      <c r="A48" s="171">
        <v>40391</v>
      </c>
      <c r="B48" s="167">
        <v>915</v>
      </c>
      <c r="C48" s="167">
        <v>915</v>
      </c>
      <c r="D48" s="167">
        <v>1074</v>
      </c>
      <c r="E48" s="167">
        <v>1013</v>
      </c>
    </row>
    <row r="49" spans="1:5">
      <c r="A49" s="171">
        <v>40422</v>
      </c>
      <c r="B49" s="167">
        <v>906</v>
      </c>
      <c r="C49" s="167">
        <v>940</v>
      </c>
      <c r="D49" s="167">
        <v>1114</v>
      </c>
      <c r="E49" s="167">
        <v>1037</v>
      </c>
    </row>
    <row r="50" spans="1:5">
      <c r="A50" s="171">
        <v>40452</v>
      </c>
      <c r="B50" s="167">
        <v>997</v>
      </c>
      <c r="C50" s="167">
        <v>1040</v>
      </c>
      <c r="D50" s="167">
        <v>1284</v>
      </c>
      <c r="E50" s="167">
        <v>1156</v>
      </c>
    </row>
    <row r="51" spans="1:5">
      <c r="A51" s="171">
        <v>40483</v>
      </c>
      <c r="B51" s="167">
        <v>1107</v>
      </c>
      <c r="C51" s="167">
        <v>1130</v>
      </c>
      <c r="D51" s="167">
        <v>1441</v>
      </c>
      <c r="E51" s="167">
        <v>1249</v>
      </c>
    </row>
    <row r="52" spans="1:5">
      <c r="A52" s="171">
        <v>40513</v>
      </c>
      <c r="B52" s="167">
        <v>1196</v>
      </c>
      <c r="C52" s="167">
        <v>1208</v>
      </c>
      <c r="D52" s="167">
        <v>1454</v>
      </c>
      <c r="E52" s="167">
        <v>1396</v>
      </c>
    </row>
    <row r="53" spans="1:5">
      <c r="A53" s="171">
        <v>40544</v>
      </c>
      <c r="B53" s="167">
        <v>1256</v>
      </c>
      <c r="C53" s="167">
        <v>1269</v>
      </c>
      <c r="D53" s="167">
        <v>1492</v>
      </c>
      <c r="E53" s="167">
        <v>1447</v>
      </c>
    </row>
    <row r="54" spans="1:5">
      <c r="A54" s="171">
        <v>40575</v>
      </c>
      <c r="B54" s="167">
        <v>1282</v>
      </c>
      <c r="C54" s="167">
        <v>1280</v>
      </c>
      <c r="D54" s="167">
        <v>1456</v>
      </c>
      <c r="E54" s="167">
        <v>1402</v>
      </c>
    </row>
    <row r="55" spans="1:5">
      <c r="A55" s="171">
        <v>40603</v>
      </c>
      <c r="B55" s="167">
        <v>1196</v>
      </c>
      <c r="C55" s="167">
        <v>1232</v>
      </c>
      <c r="D55" s="167">
        <v>1389</v>
      </c>
      <c r="E55" s="167">
        <v>1414</v>
      </c>
    </row>
    <row r="56" spans="1:5">
      <c r="A56" s="171">
        <v>40634</v>
      </c>
      <c r="B56" s="167">
        <v>1167</v>
      </c>
      <c r="C56" s="167">
        <v>1229</v>
      </c>
      <c r="D56" s="167">
        <v>1405</v>
      </c>
      <c r="E56" s="167">
        <v>1450</v>
      </c>
    </row>
    <row r="57" spans="1:5">
      <c r="A57" s="171">
        <v>40664</v>
      </c>
      <c r="B57" s="167">
        <v>1199</v>
      </c>
      <c r="C57" s="167">
        <v>1210</v>
      </c>
      <c r="D57" s="167">
        <v>1411</v>
      </c>
      <c r="E57" s="167">
        <v>1412</v>
      </c>
    </row>
    <row r="58" spans="1:5">
      <c r="A58" s="171">
        <v>40695</v>
      </c>
      <c r="B58" s="167">
        <v>1123</v>
      </c>
      <c r="C58" s="167">
        <v>1226</v>
      </c>
      <c r="D58" s="167">
        <v>1461</v>
      </c>
      <c r="E58" s="167">
        <v>1410</v>
      </c>
    </row>
    <row r="59" spans="1:5">
      <c r="A59" s="171">
        <v>40725</v>
      </c>
      <c r="B59" s="167">
        <v>1123</v>
      </c>
      <c r="C59" s="167">
        <v>1242</v>
      </c>
      <c r="D59" s="167">
        <v>1433</v>
      </c>
      <c r="E59" s="167">
        <v>1391</v>
      </c>
    </row>
    <row r="60" spans="1:5">
      <c r="A60" s="171">
        <v>40756</v>
      </c>
      <c r="B60" s="167">
        <v>1133</v>
      </c>
      <c r="C60" s="167">
        <v>1243</v>
      </c>
      <c r="D60" s="167">
        <v>1327</v>
      </c>
      <c r="E60" s="167">
        <v>1363</v>
      </c>
    </row>
    <row r="61" spans="1:5">
      <c r="A61" s="171">
        <v>40787</v>
      </c>
      <c r="B61" s="167">
        <v>1066</v>
      </c>
      <c r="C61" s="167">
        <v>1210</v>
      </c>
      <c r="D61" s="167">
        <v>1299</v>
      </c>
      <c r="E61" s="167">
        <v>1315</v>
      </c>
    </row>
    <row r="62" spans="1:5">
      <c r="A62" s="171">
        <v>40817</v>
      </c>
      <c r="B62" s="167">
        <v>970</v>
      </c>
      <c r="C62" s="167">
        <v>1118</v>
      </c>
      <c r="D62" s="167">
        <v>1212</v>
      </c>
      <c r="E62" s="167">
        <v>1275</v>
      </c>
    </row>
    <row r="63" spans="1:5">
      <c r="A63" s="171">
        <v>40848</v>
      </c>
      <c r="B63" s="167">
        <v>1034</v>
      </c>
      <c r="C63" s="167">
        <v>1124</v>
      </c>
      <c r="D63" s="167">
        <v>1248</v>
      </c>
      <c r="E63" s="167">
        <v>1290</v>
      </c>
    </row>
    <row r="64" spans="1:5">
      <c r="A64" s="171">
        <v>40878</v>
      </c>
      <c r="B64" s="167">
        <v>1053</v>
      </c>
      <c r="C64" s="167">
        <v>1100</v>
      </c>
      <c r="D64" s="167">
        <v>1190</v>
      </c>
      <c r="E64" s="167">
        <v>1252</v>
      </c>
    </row>
    <row r="65" spans="1:5">
      <c r="A65" s="171">
        <v>40909</v>
      </c>
      <c r="B65" s="167">
        <v>1056</v>
      </c>
      <c r="C65" s="167">
        <v>1112</v>
      </c>
      <c r="D65" s="167">
        <v>1208</v>
      </c>
      <c r="E65" s="167">
        <v>1257</v>
      </c>
    </row>
    <row r="66" spans="1:5">
      <c r="A66" s="171">
        <v>40940</v>
      </c>
      <c r="B66" s="167">
        <v>1070</v>
      </c>
      <c r="C66" s="167">
        <v>1169</v>
      </c>
      <c r="D66" s="167">
        <v>1249</v>
      </c>
      <c r="E66" s="167">
        <v>1295</v>
      </c>
    </row>
    <row r="67" spans="1:5">
      <c r="A67" s="171">
        <v>40969</v>
      </c>
      <c r="B67" s="167">
        <v>1126</v>
      </c>
      <c r="C67" s="167">
        <v>1180</v>
      </c>
      <c r="D67" s="167">
        <v>1266</v>
      </c>
      <c r="E67" s="167">
        <v>1292</v>
      </c>
    </row>
    <row r="68" spans="1:5">
      <c r="A68" s="171">
        <v>41000</v>
      </c>
      <c r="B68" s="167">
        <v>1166</v>
      </c>
      <c r="C68" s="167">
        <v>1241</v>
      </c>
      <c r="D68" s="167">
        <v>1324</v>
      </c>
      <c r="E68" s="167">
        <v>1305</v>
      </c>
    </row>
    <row r="69" spans="1:5">
      <c r="A69" s="171">
        <v>41030</v>
      </c>
      <c r="B69" s="167">
        <v>1062</v>
      </c>
      <c r="C69" s="167">
        <v>1142</v>
      </c>
      <c r="D69" s="167">
        <v>1275</v>
      </c>
      <c r="E69" s="167">
        <v>1235</v>
      </c>
    </row>
    <row r="70" spans="1:5">
      <c r="A70" s="171">
        <v>41061</v>
      </c>
      <c r="B70" s="167">
        <v>965</v>
      </c>
      <c r="C70" s="167">
        <v>1112</v>
      </c>
      <c r="D70" s="167">
        <v>1192</v>
      </c>
      <c r="E70" s="167">
        <v>1185</v>
      </c>
    </row>
    <row r="71" spans="1:5">
      <c r="A71" s="171">
        <v>41091</v>
      </c>
      <c r="B71" s="167">
        <v>990</v>
      </c>
      <c r="C71" s="167">
        <v>1192</v>
      </c>
      <c r="D71" s="167">
        <v>1258</v>
      </c>
      <c r="E71" s="167">
        <v>1212</v>
      </c>
    </row>
    <row r="72" spans="1:5">
      <c r="A72" s="171">
        <v>41122</v>
      </c>
      <c r="B72" s="167">
        <v>960</v>
      </c>
      <c r="C72" s="167">
        <v>1214</v>
      </c>
      <c r="D72" s="167">
        <v>1300</v>
      </c>
      <c r="E72" s="167">
        <v>1232</v>
      </c>
    </row>
    <row r="73" spans="1:5">
      <c r="A73" s="171">
        <v>41153</v>
      </c>
      <c r="B73" s="167">
        <v>935</v>
      </c>
      <c r="C73" s="167">
        <v>1234</v>
      </c>
      <c r="D73" s="167">
        <v>1331</v>
      </c>
      <c r="E73" s="167">
        <v>1271</v>
      </c>
    </row>
    <row r="74" spans="1:5">
      <c r="A74" s="171">
        <v>41183</v>
      </c>
      <c r="B74" s="167">
        <v>823</v>
      </c>
      <c r="C74" s="167">
        <v>1095</v>
      </c>
      <c r="D74" s="167">
        <v>1245</v>
      </c>
      <c r="E74" s="167">
        <v>1217</v>
      </c>
    </row>
    <row r="75" spans="1:5">
      <c r="A75" s="171">
        <v>41214</v>
      </c>
      <c r="B75" s="167">
        <v>799</v>
      </c>
      <c r="C75" s="167">
        <v>1080</v>
      </c>
      <c r="D75" s="167">
        <v>1237</v>
      </c>
      <c r="E75" s="167">
        <v>1188</v>
      </c>
    </row>
    <row r="76" spans="1:5">
      <c r="A76" s="171">
        <v>41244</v>
      </c>
      <c r="B76" s="167">
        <v>763</v>
      </c>
      <c r="C76" s="167">
        <v>1106</v>
      </c>
      <c r="D76" s="167">
        <v>1269</v>
      </c>
      <c r="E76" s="167">
        <v>1190</v>
      </c>
    </row>
    <row r="77" spans="1:5">
      <c r="A77" s="171">
        <v>41275</v>
      </c>
      <c r="B77" s="167">
        <v>812</v>
      </c>
      <c r="C77" s="167">
        <v>1108</v>
      </c>
      <c r="D77" s="167">
        <v>1269</v>
      </c>
      <c r="E77" s="167">
        <v>1214</v>
      </c>
    </row>
    <row r="78" spans="1:5">
      <c r="A78" s="171">
        <v>41306</v>
      </c>
      <c r="B78" s="167">
        <v>828</v>
      </c>
      <c r="C78" s="167">
        <v>1106</v>
      </c>
      <c r="D78" s="167">
        <v>1275</v>
      </c>
      <c r="E78" s="167">
        <v>1225</v>
      </c>
    </row>
    <row r="79" spans="1:5">
      <c r="A79" s="171">
        <v>41334</v>
      </c>
      <c r="B79" s="167">
        <v>804</v>
      </c>
      <c r="C79" s="167">
        <v>1042</v>
      </c>
      <c r="D79" s="167">
        <v>1221</v>
      </c>
      <c r="E79" s="167">
        <v>1162</v>
      </c>
    </row>
    <row r="80" spans="1:5">
      <c r="A80" s="171">
        <v>41365</v>
      </c>
      <c r="B80" s="167">
        <v>793</v>
      </c>
      <c r="C80" s="167">
        <v>1012</v>
      </c>
      <c r="D80" s="167">
        <v>1201</v>
      </c>
      <c r="E80" s="167">
        <v>1136</v>
      </c>
    </row>
    <row r="81" spans="1:5">
      <c r="A81" s="171">
        <v>41395</v>
      </c>
      <c r="B81" s="167">
        <v>795</v>
      </c>
      <c r="C81" s="167">
        <v>991</v>
      </c>
      <c r="D81" s="167">
        <v>1227</v>
      </c>
      <c r="E81" s="167">
        <v>1116</v>
      </c>
    </row>
    <row r="82" spans="1:5">
      <c r="A82" s="171">
        <v>41426</v>
      </c>
      <c r="B82" s="167">
        <v>796</v>
      </c>
      <c r="C82" s="167">
        <v>942</v>
      </c>
      <c r="D82" s="167">
        <v>1228</v>
      </c>
      <c r="E82" s="167">
        <v>1078</v>
      </c>
    </row>
    <row r="83" spans="1:5">
      <c r="A83" s="171">
        <v>41456</v>
      </c>
      <c r="B83" s="167">
        <v>765</v>
      </c>
      <c r="C83" s="167">
        <v>880</v>
      </c>
      <c r="D83" s="167">
        <v>1178</v>
      </c>
      <c r="E83" s="167">
        <v>1012</v>
      </c>
    </row>
    <row r="84" spans="1:5">
      <c r="A84" s="171">
        <v>41487</v>
      </c>
      <c r="B84" s="167">
        <v>757</v>
      </c>
      <c r="C84" s="167">
        <v>876</v>
      </c>
      <c r="D84" s="167">
        <v>959</v>
      </c>
      <c r="E84" s="167">
        <v>997</v>
      </c>
    </row>
    <row r="85" spans="1:5">
      <c r="A85" s="171">
        <v>41518</v>
      </c>
      <c r="B85" s="167">
        <v>760</v>
      </c>
      <c r="C85" s="167">
        <v>902</v>
      </c>
      <c r="D85" s="167">
        <v>962</v>
      </c>
      <c r="E85" s="167">
        <v>994</v>
      </c>
    </row>
    <row r="86" spans="1:5">
      <c r="A86" s="171">
        <v>41548</v>
      </c>
      <c r="B86" s="167">
        <v>795</v>
      </c>
      <c r="C86" s="167">
        <v>915</v>
      </c>
      <c r="D86" s="167">
        <v>988</v>
      </c>
      <c r="E86" s="167">
        <v>1011</v>
      </c>
    </row>
    <row r="87" spans="1:5">
      <c r="A87" s="171">
        <v>41579</v>
      </c>
      <c r="B87" s="167">
        <v>835</v>
      </c>
      <c r="C87" s="167">
        <v>924</v>
      </c>
      <c r="D87" s="167">
        <v>998</v>
      </c>
      <c r="E87" s="167">
        <v>1025</v>
      </c>
    </row>
    <row r="88" spans="1:5">
      <c r="A88" s="171">
        <v>41609</v>
      </c>
      <c r="B88" s="167">
        <v>813</v>
      </c>
      <c r="C88" s="167">
        <v>884</v>
      </c>
      <c r="D88" s="167">
        <v>982</v>
      </c>
      <c r="E88" s="167">
        <v>1012</v>
      </c>
    </row>
    <row r="89" spans="1:5">
      <c r="A89" s="171">
        <v>41640</v>
      </c>
      <c r="B89" s="167">
        <v>796</v>
      </c>
      <c r="C89" s="167">
        <v>841</v>
      </c>
      <c r="D89" s="167">
        <v>920</v>
      </c>
      <c r="E89" s="167">
        <v>952</v>
      </c>
    </row>
    <row r="90" spans="1:5">
      <c r="A90" s="171">
        <v>41671</v>
      </c>
      <c r="B90" s="167">
        <v>846</v>
      </c>
      <c r="C90" s="167">
        <v>878</v>
      </c>
      <c r="D90" s="167">
        <v>945</v>
      </c>
      <c r="E90" s="167">
        <v>976</v>
      </c>
    </row>
    <row r="91" spans="1:5">
      <c r="A91" s="171">
        <v>41699</v>
      </c>
      <c r="B91" s="167">
        <v>890</v>
      </c>
      <c r="C91" s="167">
        <v>922</v>
      </c>
      <c r="D91" s="167">
        <v>964</v>
      </c>
      <c r="E91" s="167">
        <v>1019</v>
      </c>
    </row>
    <row r="92" spans="1:5">
      <c r="A92" s="171">
        <v>41730</v>
      </c>
      <c r="B92" s="167">
        <v>858</v>
      </c>
      <c r="C92" s="167">
        <v>909</v>
      </c>
      <c r="D92" s="167">
        <v>941</v>
      </c>
      <c r="E92" s="167">
        <v>1018</v>
      </c>
    </row>
    <row r="93" spans="1:5">
      <c r="A93" s="171">
        <v>41760</v>
      </c>
      <c r="B93" s="167">
        <v>828</v>
      </c>
      <c r="C93" s="167">
        <v>880</v>
      </c>
      <c r="D93" s="167">
        <v>943</v>
      </c>
      <c r="E93" s="167">
        <v>958</v>
      </c>
    </row>
    <row r="94" spans="1:5">
      <c r="A94" s="171">
        <v>41791</v>
      </c>
      <c r="B94" s="167">
        <v>793</v>
      </c>
      <c r="C94" s="167">
        <v>880</v>
      </c>
      <c r="D94" s="167">
        <v>928</v>
      </c>
      <c r="E94" s="167">
        <v>922</v>
      </c>
    </row>
    <row r="95" spans="1:5">
      <c r="A95" s="171">
        <v>41821</v>
      </c>
      <c r="B95" s="167">
        <v>782</v>
      </c>
      <c r="C95" s="167">
        <v>861</v>
      </c>
      <c r="D95" s="167">
        <v>887</v>
      </c>
      <c r="E95" s="167">
        <v>875</v>
      </c>
    </row>
    <row r="96" spans="1:5">
      <c r="A96" s="171">
        <v>41852</v>
      </c>
      <c r="B96" s="167">
        <v>701</v>
      </c>
      <c r="C96" s="167">
        <v>804</v>
      </c>
      <c r="D96" s="167">
        <v>828</v>
      </c>
      <c r="E96" s="167">
        <v>853</v>
      </c>
    </row>
    <row r="97" spans="1:5">
      <c r="A97" s="171">
        <v>41883</v>
      </c>
      <c r="B97" s="167">
        <v>694</v>
      </c>
      <c r="C97" s="167">
        <v>751</v>
      </c>
      <c r="D97" s="167">
        <v>823</v>
      </c>
      <c r="E97" s="167">
        <v>828</v>
      </c>
    </row>
    <row r="98" spans="1:5">
      <c r="A98" s="171">
        <v>41913</v>
      </c>
      <c r="B98" s="167">
        <v>693</v>
      </c>
      <c r="C98" s="167">
        <v>764</v>
      </c>
      <c r="D98" s="167">
        <v>874</v>
      </c>
      <c r="E98" s="167">
        <v>836</v>
      </c>
    </row>
    <row r="99" spans="1:5">
      <c r="A99" s="171">
        <v>41944</v>
      </c>
      <c r="B99" s="167">
        <v>693</v>
      </c>
      <c r="C99" s="167">
        <v>765</v>
      </c>
      <c r="D99" s="167">
        <v>892</v>
      </c>
      <c r="E99" s="167">
        <v>836</v>
      </c>
    </row>
    <row r="100" spans="1:5">
      <c r="A100" s="171">
        <v>41974</v>
      </c>
      <c r="B100" s="167">
        <v>656</v>
      </c>
      <c r="C100" s="167">
        <v>772</v>
      </c>
      <c r="D100" s="167">
        <v>877</v>
      </c>
      <c r="E100" s="167">
        <v>814</v>
      </c>
    </row>
    <row r="101" spans="1:5">
      <c r="A101" s="171">
        <v>42005</v>
      </c>
      <c r="B101" s="167">
        <v>652</v>
      </c>
      <c r="C101" s="167">
        <v>773</v>
      </c>
      <c r="D101" s="167">
        <v>837</v>
      </c>
      <c r="E101" s="167">
        <v>773</v>
      </c>
    </row>
    <row r="102" spans="1:5">
      <c r="A102" s="171">
        <v>42036</v>
      </c>
      <c r="B102" s="167">
        <v>662</v>
      </c>
      <c r="C102" s="167">
        <v>725</v>
      </c>
      <c r="D102" s="167">
        <v>802</v>
      </c>
      <c r="E102" s="167">
        <v>751</v>
      </c>
    </row>
    <row r="103" spans="1:5">
      <c r="A103" s="171">
        <v>42064</v>
      </c>
      <c r="B103" s="167">
        <v>629</v>
      </c>
      <c r="C103" s="167">
        <v>676</v>
      </c>
      <c r="D103" s="167">
        <v>801</v>
      </c>
      <c r="E103" s="167">
        <v>749</v>
      </c>
    </row>
    <row r="104" spans="1:5">
      <c r="A104" s="171">
        <v>42095</v>
      </c>
      <c r="B104" s="167">
        <v>610</v>
      </c>
      <c r="C104" s="167">
        <v>670</v>
      </c>
      <c r="D104" s="167">
        <v>838</v>
      </c>
      <c r="E104" s="167">
        <v>742</v>
      </c>
    </row>
    <row r="105" spans="1:5">
      <c r="A105" s="171">
        <v>42125</v>
      </c>
      <c r="B105" s="167">
        <v>628</v>
      </c>
      <c r="C105" s="167">
        <v>704</v>
      </c>
      <c r="D105" s="167">
        <v>904</v>
      </c>
      <c r="E105" s="167">
        <v>766</v>
      </c>
    </row>
    <row r="106" spans="1:5">
      <c r="A106" s="171">
        <v>42156</v>
      </c>
      <c r="B106" s="167">
        <v>638</v>
      </c>
      <c r="C106" s="167">
        <v>712</v>
      </c>
      <c r="D106" s="167">
        <v>918</v>
      </c>
      <c r="E106" s="167">
        <v>806</v>
      </c>
    </row>
    <row r="107" spans="1:5">
      <c r="A107" s="171">
        <v>42186</v>
      </c>
      <c r="B107" s="167">
        <v>610</v>
      </c>
      <c r="C107" s="167">
        <v>658</v>
      </c>
      <c r="D107" s="167">
        <v>832</v>
      </c>
      <c r="E107" s="167">
        <v>786</v>
      </c>
    </row>
    <row r="108" spans="1:5">
      <c r="A108" s="171">
        <v>42217</v>
      </c>
      <c r="B108" s="167">
        <v>524</v>
      </c>
      <c r="C108" s="167">
        <v>633</v>
      </c>
      <c r="D108" s="167">
        <v>812</v>
      </c>
      <c r="E108" s="167">
        <v>755</v>
      </c>
    </row>
    <row r="109" spans="1:5">
      <c r="A109" s="171">
        <v>42248</v>
      </c>
      <c r="B109" s="167">
        <v>521</v>
      </c>
      <c r="C109" s="167">
        <v>614</v>
      </c>
      <c r="D109" s="167">
        <v>815</v>
      </c>
      <c r="E109" s="167">
        <v>766</v>
      </c>
    </row>
    <row r="110" spans="1:5">
      <c r="A110" s="171">
        <v>42278</v>
      </c>
      <c r="B110" s="167">
        <v>565</v>
      </c>
      <c r="C110" s="167">
        <v>673</v>
      </c>
      <c r="D110" s="167">
        <v>883</v>
      </c>
      <c r="E110" s="167">
        <v>802</v>
      </c>
    </row>
    <row r="111" spans="1:5">
      <c r="A111" s="171">
        <v>42309</v>
      </c>
      <c r="B111" s="167">
        <v>541</v>
      </c>
      <c r="C111" s="167">
        <v>678</v>
      </c>
      <c r="D111" s="167">
        <v>862</v>
      </c>
      <c r="E111" s="167">
        <v>790</v>
      </c>
    </row>
    <row r="112" spans="1:5">
      <c r="A112" s="171">
        <v>42339</v>
      </c>
      <c r="B112" s="167">
        <v>539</v>
      </c>
      <c r="C112" s="167">
        <v>677</v>
      </c>
      <c r="D112" s="167">
        <v>852</v>
      </c>
      <c r="E112" s="167">
        <v>818</v>
      </c>
    </row>
    <row r="113" spans="1:5">
      <c r="A113" s="171">
        <v>42370</v>
      </c>
      <c r="B113" s="167">
        <v>550</v>
      </c>
      <c r="C113" s="167">
        <v>658</v>
      </c>
      <c r="D113" s="167">
        <v>846</v>
      </c>
      <c r="E113" s="167">
        <v>777</v>
      </c>
    </row>
    <row r="114" spans="1:5">
      <c r="A114" s="171">
        <v>42401</v>
      </c>
      <c r="B114" s="167">
        <v>613</v>
      </c>
      <c r="C114" s="167">
        <v>680</v>
      </c>
      <c r="D114" s="167">
        <v>869</v>
      </c>
      <c r="E114" s="167">
        <v>781</v>
      </c>
    </row>
    <row r="115" spans="1:5">
      <c r="A115" s="171">
        <v>42430</v>
      </c>
      <c r="B115" s="167">
        <v>654</v>
      </c>
      <c r="C115" s="167">
        <v>691</v>
      </c>
      <c r="D115" s="167">
        <v>842</v>
      </c>
      <c r="E115" s="167">
        <v>768</v>
      </c>
    </row>
    <row r="116" spans="1:5">
      <c r="A116" s="171">
        <v>42461</v>
      </c>
      <c r="B116" s="167">
        <v>707</v>
      </c>
      <c r="C116" s="167">
        <v>740</v>
      </c>
      <c r="D116" s="167">
        <v>857</v>
      </c>
      <c r="E116" s="167">
        <v>811</v>
      </c>
    </row>
    <row r="117" spans="1:5">
      <c r="A117" s="171">
        <v>42491</v>
      </c>
      <c r="B117" s="167">
        <v>686</v>
      </c>
      <c r="C117" s="167">
        <v>721</v>
      </c>
      <c r="D117" s="167">
        <v>868</v>
      </c>
      <c r="E117" s="167">
        <v>808</v>
      </c>
    </row>
    <row r="118" spans="1:5">
      <c r="A118" s="171">
        <v>42522</v>
      </c>
      <c r="B118" s="167">
        <v>640</v>
      </c>
      <c r="C118" s="167">
        <v>714</v>
      </c>
      <c r="D118" s="167">
        <v>851</v>
      </c>
      <c r="E118" s="167">
        <v>792</v>
      </c>
    </row>
    <row r="119" spans="1:5">
      <c r="A119" s="171">
        <v>42552</v>
      </c>
      <c r="B119" s="167">
        <v>615</v>
      </c>
      <c r="C119" s="167">
        <v>694</v>
      </c>
      <c r="D119" s="167">
        <v>816</v>
      </c>
      <c r="E119" s="167">
        <v>763</v>
      </c>
    </row>
    <row r="120" spans="1:5">
      <c r="A120" s="171">
        <v>42583</v>
      </c>
      <c r="B120" s="167">
        <v>704</v>
      </c>
      <c r="C120" s="167">
        <v>753</v>
      </c>
      <c r="D120" s="167">
        <v>815</v>
      </c>
      <c r="E120" s="167">
        <v>819</v>
      </c>
    </row>
    <row r="121" spans="1:5">
      <c r="A121" s="171">
        <v>42614</v>
      </c>
      <c r="B121" s="167">
        <v>716</v>
      </c>
      <c r="C121" s="167">
        <v>764</v>
      </c>
      <c r="D121" s="167">
        <v>823</v>
      </c>
      <c r="E121" s="167">
        <v>852</v>
      </c>
    </row>
    <row r="122" spans="1:5">
      <c r="A122" s="171">
        <v>42644</v>
      </c>
      <c r="B122" s="167">
        <v>677</v>
      </c>
      <c r="C122" s="167">
        <v>797</v>
      </c>
      <c r="D122" s="167">
        <v>830</v>
      </c>
      <c r="E122" s="167">
        <v>896</v>
      </c>
    </row>
    <row r="123" spans="1:5">
      <c r="A123" s="171">
        <v>42675</v>
      </c>
      <c r="B123" s="167">
        <v>708</v>
      </c>
      <c r="C123" s="167">
        <v>803</v>
      </c>
      <c r="D123" s="167">
        <v>830</v>
      </c>
      <c r="E123" s="167">
        <v>899</v>
      </c>
    </row>
    <row r="124" spans="1:5">
      <c r="A124" s="171">
        <v>42705</v>
      </c>
      <c r="B124" s="167">
        <v>745</v>
      </c>
      <c r="C124" s="167">
        <v>826</v>
      </c>
      <c r="D124" s="167">
        <v>844</v>
      </c>
      <c r="E124" s="167">
        <v>918</v>
      </c>
    </row>
    <row r="125" spans="1:5">
      <c r="A125" s="171">
        <v>42736</v>
      </c>
      <c r="B125" s="167">
        <v>759</v>
      </c>
      <c r="C125" s="167">
        <v>798</v>
      </c>
      <c r="D125" s="167">
        <v>817</v>
      </c>
      <c r="E125" s="167">
        <v>917</v>
      </c>
    </row>
    <row r="126" spans="1:5">
      <c r="A126" s="171">
        <v>42767</v>
      </c>
      <c r="B126" s="167">
        <v>740</v>
      </c>
      <c r="C126" s="167">
        <v>761</v>
      </c>
      <c r="D126" s="167">
        <v>808</v>
      </c>
      <c r="E126" s="167">
        <v>878</v>
      </c>
    </row>
    <row r="127" spans="1:5">
      <c r="A127" s="171">
        <v>42795</v>
      </c>
      <c r="B127" s="167">
        <v>713</v>
      </c>
      <c r="C127" s="167">
        <v>734</v>
      </c>
      <c r="D127" s="167">
        <v>783</v>
      </c>
      <c r="E127" s="167">
        <v>850</v>
      </c>
    </row>
    <row r="128" spans="1:5">
      <c r="A128" s="171">
        <v>42826</v>
      </c>
      <c r="B128" s="167">
        <v>681</v>
      </c>
      <c r="C128" s="167">
        <v>704</v>
      </c>
      <c r="D128" s="167">
        <v>784</v>
      </c>
      <c r="E128" s="167">
        <v>824</v>
      </c>
    </row>
    <row r="129" spans="1:5">
      <c r="A129" s="171">
        <v>42856</v>
      </c>
      <c r="B129" s="167">
        <v>698</v>
      </c>
      <c r="C129" s="167">
        <v>734</v>
      </c>
      <c r="D129" s="167">
        <v>797</v>
      </c>
      <c r="E129" s="167">
        <v>844</v>
      </c>
    </row>
    <row r="130" spans="1:5">
      <c r="A130" s="171">
        <v>42887</v>
      </c>
      <c r="B130" s="167">
        <v>670</v>
      </c>
      <c r="C130" s="167">
        <v>739</v>
      </c>
      <c r="D130" s="167">
        <v>780</v>
      </c>
      <c r="E130" s="167">
        <v>813</v>
      </c>
    </row>
    <row r="131" spans="1:5">
      <c r="A131" s="171">
        <v>42917</v>
      </c>
      <c r="B131" s="167">
        <v>658</v>
      </c>
      <c r="C131" s="167">
        <v>747</v>
      </c>
      <c r="D131" s="167">
        <v>793</v>
      </c>
      <c r="E131" s="167">
        <v>843</v>
      </c>
    </row>
    <row r="132" spans="1:5">
      <c r="A132" s="171">
        <v>42948</v>
      </c>
      <c r="B132" s="167">
        <v>651</v>
      </c>
      <c r="C132" s="167">
        <v>760</v>
      </c>
      <c r="D132" s="167">
        <v>806</v>
      </c>
      <c r="E132" s="167">
        <v>875</v>
      </c>
    </row>
    <row r="133" spans="1:5">
      <c r="A133" s="171">
        <v>42979</v>
      </c>
      <c r="B133" s="167">
        <v>690</v>
      </c>
      <c r="C133" s="167">
        <v>779</v>
      </c>
      <c r="D133" s="167">
        <v>810</v>
      </c>
      <c r="E133" s="167">
        <v>889</v>
      </c>
    </row>
    <row r="134" spans="1:5">
      <c r="A134" s="171">
        <v>43009</v>
      </c>
      <c r="B134" s="167">
        <v>681</v>
      </c>
      <c r="C134" s="167">
        <v>770</v>
      </c>
      <c r="D134" s="167">
        <v>788</v>
      </c>
      <c r="E134" s="167">
        <v>889</v>
      </c>
    </row>
    <row r="135" spans="1:5">
      <c r="A135" s="171">
        <v>43040</v>
      </c>
      <c r="B135" s="167">
        <v>670</v>
      </c>
      <c r="C135" s="167">
        <v>781</v>
      </c>
      <c r="D135" s="167">
        <v>795</v>
      </c>
      <c r="E135" s="167">
        <v>930</v>
      </c>
    </row>
    <row r="136" spans="1:5">
      <c r="A136" s="171">
        <v>43070</v>
      </c>
      <c r="B136" s="167">
        <v>619</v>
      </c>
      <c r="C136" s="167">
        <v>753</v>
      </c>
      <c r="D136" s="167">
        <v>787</v>
      </c>
      <c r="E136" s="167">
        <v>879</v>
      </c>
    </row>
    <row r="137" spans="1:5">
      <c r="A137" s="171">
        <v>43101</v>
      </c>
      <c r="B137" s="167">
        <v>650</v>
      </c>
      <c r="C137" s="167">
        <v>759</v>
      </c>
      <c r="D137" s="167">
        <v>784</v>
      </c>
      <c r="E137" s="167">
        <v>848</v>
      </c>
    </row>
    <row r="138" spans="1:5">
      <c r="A138" s="171">
        <v>43132</v>
      </c>
      <c r="B138" s="167">
        <v>654</v>
      </c>
      <c r="C138" s="167">
        <v>748</v>
      </c>
      <c r="D138" s="167">
        <v>794</v>
      </c>
      <c r="E138" s="167">
        <v>829</v>
      </c>
    </row>
    <row r="139" spans="1:5">
      <c r="A139" s="171">
        <v>43160</v>
      </c>
      <c r="B139" s="167">
        <v>658</v>
      </c>
      <c r="C139" s="167">
        <v>747</v>
      </c>
      <c r="D139" s="167">
        <v>790</v>
      </c>
      <c r="E139" s="167">
        <v>798</v>
      </c>
    </row>
    <row r="140" spans="1:5">
      <c r="A140" s="171">
        <v>43191</v>
      </c>
      <c r="B140" s="167">
        <v>651</v>
      </c>
      <c r="C140" s="167">
        <v>730</v>
      </c>
      <c r="D140" s="167">
        <v>802</v>
      </c>
      <c r="E140" s="167">
        <v>794</v>
      </c>
    </row>
    <row r="141" spans="1:5">
      <c r="A141" s="171">
        <v>43221</v>
      </c>
      <c r="B141" s="167">
        <v>639</v>
      </c>
      <c r="C141" s="167">
        <v>710</v>
      </c>
      <c r="D141" s="167">
        <v>782</v>
      </c>
      <c r="E141" s="167">
        <v>812</v>
      </c>
    </row>
    <row r="142" spans="1:5">
      <c r="A142" s="171">
        <v>43252</v>
      </c>
      <c r="B142" s="167">
        <v>605</v>
      </c>
      <c r="C142" s="167">
        <v>685</v>
      </c>
      <c r="D142" s="167">
        <v>759</v>
      </c>
      <c r="E142" s="167">
        <v>817</v>
      </c>
    </row>
    <row r="143" spans="1:5">
      <c r="A143" s="171">
        <v>43282</v>
      </c>
      <c r="B143" s="167">
        <v>570</v>
      </c>
      <c r="C143" s="167">
        <v>666</v>
      </c>
      <c r="D143" s="167">
        <v>774</v>
      </c>
      <c r="E143" s="167">
        <v>836</v>
      </c>
    </row>
    <row r="144" spans="1:5">
      <c r="A144" s="171">
        <v>43313</v>
      </c>
      <c r="B144" s="167">
        <v>559</v>
      </c>
      <c r="C144" s="167">
        <v>657</v>
      </c>
      <c r="D144" s="167">
        <v>739</v>
      </c>
      <c r="E144" s="167">
        <v>853</v>
      </c>
    </row>
    <row r="145" spans="1:5">
      <c r="A145" s="171">
        <v>43344</v>
      </c>
      <c r="B145" s="167">
        <v>552</v>
      </c>
      <c r="C145" s="167">
        <v>653</v>
      </c>
      <c r="D145" s="167">
        <v>713</v>
      </c>
      <c r="E145" s="167">
        <v>843</v>
      </c>
    </row>
    <row r="146" spans="1:5">
      <c r="A146" s="171">
        <v>43374</v>
      </c>
      <c r="B146" s="167">
        <v>539</v>
      </c>
      <c r="C146" s="167">
        <v>676</v>
      </c>
      <c r="D146" s="167">
        <v>712</v>
      </c>
      <c r="E146" s="167">
        <v>875</v>
      </c>
    </row>
    <row r="147" spans="1:5">
      <c r="A147" s="171">
        <v>43405</v>
      </c>
      <c r="B147" s="167">
        <v>492</v>
      </c>
      <c r="C147" s="167">
        <v>645</v>
      </c>
      <c r="D147" s="167">
        <v>678</v>
      </c>
      <c r="E147" s="167">
        <v>858</v>
      </c>
    </row>
    <row r="148" spans="1:5">
      <c r="A148" s="171">
        <v>43435</v>
      </c>
      <c r="B148" s="167">
        <v>489</v>
      </c>
      <c r="C148" s="167">
        <v>633</v>
      </c>
      <c r="D148" s="167">
        <v>676</v>
      </c>
      <c r="E148" s="167">
        <v>831</v>
      </c>
    </row>
    <row r="149" spans="1:5">
      <c r="A149" s="171">
        <v>43466</v>
      </c>
      <c r="B149" s="167">
        <v>538</v>
      </c>
      <c r="C149" s="167">
        <v>652</v>
      </c>
      <c r="D149" s="167">
        <v>689</v>
      </c>
      <c r="E149" s="167">
        <v>834</v>
      </c>
    </row>
    <row r="150" spans="1:5">
      <c r="A150" s="171">
        <v>43497</v>
      </c>
      <c r="B150" s="167">
        <v>556</v>
      </c>
      <c r="C150" s="167">
        <v>683</v>
      </c>
      <c r="D150" s="167">
        <v>706</v>
      </c>
      <c r="E150" s="167">
        <v>823</v>
      </c>
    </row>
    <row r="151" spans="1:5">
      <c r="A151" s="171">
        <v>43525</v>
      </c>
      <c r="B151" s="167">
        <v>523</v>
      </c>
      <c r="C151" s="167">
        <v>641</v>
      </c>
      <c r="D151" s="167">
        <v>700</v>
      </c>
      <c r="E151" s="167">
        <v>800</v>
      </c>
    </row>
    <row r="152" spans="1:5">
      <c r="A152" s="171">
        <v>43556</v>
      </c>
      <c r="B152" s="167">
        <v>538</v>
      </c>
      <c r="C152" s="167">
        <v>627</v>
      </c>
      <c r="D152" s="167">
        <v>701</v>
      </c>
      <c r="E152" s="167">
        <v>802</v>
      </c>
    </row>
    <row r="153" spans="1:5">
      <c r="A153" s="171">
        <v>43586</v>
      </c>
      <c r="B153" s="167">
        <v>511</v>
      </c>
      <c r="C153" s="167">
        <v>626</v>
      </c>
      <c r="D153" s="167">
        <v>726</v>
      </c>
      <c r="E153" s="167">
        <v>820</v>
      </c>
    </row>
    <row r="154" spans="1:5">
      <c r="A154" s="171">
        <v>43617</v>
      </c>
      <c r="B154" s="167">
        <v>502</v>
      </c>
      <c r="C154" s="167">
        <v>637</v>
      </c>
      <c r="D154" s="167">
        <v>738</v>
      </c>
      <c r="E154" s="167">
        <v>833</v>
      </c>
    </row>
    <row r="155" spans="1:5">
      <c r="A155" s="171">
        <v>43647</v>
      </c>
      <c r="B155" s="167">
        <v>494</v>
      </c>
      <c r="C155" s="167">
        <v>638</v>
      </c>
      <c r="D155" s="167">
        <v>772</v>
      </c>
      <c r="E155" s="167">
        <v>836</v>
      </c>
    </row>
    <row r="156" spans="1:5">
      <c r="A156" s="171">
        <v>43678</v>
      </c>
      <c r="B156" s="167">
        <v>536</v>
      </c>
      <c r="C156" s="167">
        <v>676</v>
      </c>
      <c r="D156" s="167">
        <v>772</v>
      </c>
      <c r="E156" s="167">
        <v>877</v>
      </c>
    </row>
    <row r="157" spans="1:5">
      <c r="A157" s="171">
        <v>43709</v>
      </c>
      <c r="B157" s="167">
        <v>532</v>
      </c>
      <c r="C157" s="167">
        <v>677</v>
      </c>
      <c r="D157" s="167">
        <v>756</v>
      </c>
      <c r="E157" s="167">
        <v>896</v>
      </c>
    </row>
    <row r="158" spans="1:5">
      <c r="A158" s="171">
        <v>43739</v>
      </c>
      <c r="B158" s="167">
        <v>547</v>
      </c>
      <c r="C158" s="167">
        <v>677</v>
      </c>
      <c r="D158" s="167">
        <v>738</v>
      </c>
      <c r="E158" s="167">
        <v>883</v>
      </c>
    </row>
    <row r="159" spans="1:5">
      <c r="A159" s="171">
        <v>43770</v>
      </c>
      <c r="B159" s="167">
        <v>641</v>
      </c>
      <c r="C159" s="167">
        <v>704</v>
      </c>
      <c r="D159" s="167">
        <v>763</v>
      </c>
      <c r="E159" s="167">
        <v>904</v>
      </c>
    </row>
    <row r="160" spans="1:5">
      <c r="A160" s="171">
        <v>43800</v>
      </c>
      <c r="B160" s="167">
        <v>718</v>
      </c>
      <c r="C160" s="167">
        <v>778</v>
      </c>
      <c r="D160" s="167">
        <v>802</v>
      </c>
      <c r="E160" s="167">
        <v>923</v>
      </c>
    </row>
    <row r="161" spans="1:5">
      <c r="A161" s="171">
        <v>43831</v>
      </c>
      <c r="B161" s="167">
        <v>761</v>
      </c>
      <c r="C161" s="167">
        <v>790</v>
      </c>
      <c r="D161" s="167">
        <v>830</v>
      </c>
      <c r="E161" s="167">
        <v>946</v>
      </c>
    </row>
    <row r="162" spans="1:5">
      <c r="A162" s="171">
        <v>43862</v>
      </c>
      <c r="B162" s="167">
        <v>677</v>
      </c>
      <c r="C162" s="167">
        <v>712</v>
      </c>
      <c r="D162" s="167">
        <v>759</v>
      </c>
      <c r="E162" s="167">
        <v>899</v>
      </c>
    </row>
    <row r="163" spans="1:5">
      <c r="A163" s="171">
        <v>43891</v>
      </c>
      <c r="B163" s="167">
        <v>589</v>
      </c>
      <c r="C163" s="167">
        <v>608</v>
      </c>
      <c r="D163" s="167">
        <v>706</v>
      </c>
      <c r="E163" s="167">
        <v>804</v>
      </c>
    </row>
    <row r="164" spans="1:5">
      <c r="A164" s="171">
        <v>43922</v>
      </c>
      <c r="B164" s="167">
        <v>563</v>
      </c>
      <c r="C164" s="167">
        <v>587</v>
      </c>
      <c r="D164" s="167">
        <v>728</v>
      </c>
      <c r="E164" s="167">
        <v>765</v>
      </c>
    </row>
    <row r="165" spans="1:5">
      <c r="A165" s="171">
        <v>43952</v>
      </c>
      <c r="B165" s="167">
        <v>529</v>
      </c>
      <c r="C165" s="167">
        <v>595</v>
      </c>
      <c r="D165" s="167">
        <v>751</v>
      </c>
      <c r="E165" s="167">
        <v>798</v>
      </c>
    </row>
    <row r="166" spans="1:5">
      <c r="A166" s="171">
        <v>43983</v>
      </c>
      <c r="B166" s="167">
        <v>605</v>
      </c>
      <c r="C166" s="167">
        <v>661</v>
      </c>
      <c r="D166" s="167">
        <v>807</v>
      </c>
      <c r="E166" s="167">
        <v>857</v>
      </c>
    </row>
    <row r="167" spans="1:5">
      <c r="A167" s="171">
        <v>44013</v>
      </c>
      <c r="B167" s="167">
        <v>643</v>
      </c>
      <c r="C167" s="167">
        <v>724</v>
      </c>
      <c r="D167" s="167">
        <v>817</v>
      </c>
      <c r="E167" s="167">
        <v>893</v>
      </c>
    </row>
    <row r="168" spans="1:5">
      <c r="A168" s="171">
        <v>44044</v>
      </c>
      <c r="B168" s="167">
        <v>715</v>
      </c>
      <c r="C168" s="167">
        <v>773</v>
      </c>
      <c r="D168" s="167">
        <v>842</v>
      </c>
      <c r="E168" s="167">
        <v>930</v>
      </c>
    </row>
    <row r="169" spans="1:5">
      <c r="A169" s="171">
        <v>44075</v>
      </c>
      <c r="B169" s="167">
        <v>746</v>
      </c>
      <c r="C169" s="167">
        <v>855</v>
      </c>
      <c r="D169" s="167">
        <v>1000</v>
      </c>
      <c r="E169" s="167">
        <v>941</v>
      </c>
    </row>
    <row r="170" spans="1:5">
      <c r="A170" s="171">
        <v>44105</v>
      </c>
      <c r="B170" s="167">
        <v>767</v>
      </c>
      <c r="C170" s="167">
        <v>899</v>
      </c>
      <c r="D170" s="167">
        <v>999</v>
      </c>
      <c r="E170" s="167">
        <v>924</v>
      </c>
    </row>
    <row r="171" spans="1:5">
      <c r="A171" s="171">
        <v>44136</v>
      </c>
      <c r="B171" s="167">
        <v>878</v>
      </c>
      <c r="C171" s="167">
        <v>977</v>
      </c>
      <c r="D171" s="167">
        <v>1129</v>
      </c>
      <c r="E171" s="167">
        <v>1030</v>
      </c>
    </row>
    <row r="172" spans="1:5">
      <c r="A172" s="171">
        <v>44166</v>
      </c>
      <c r="B172" s="167">
        <v>929</v>
      </c>
      <c r="C172" s="167">
        <v>1010</v>
      </c>
      <c r="D172" s="167">
        <v>1191</v>
      </c>
      <c r="E172" s="167">
        <v>1079</v>
      </c>
    </row>
    <row r="173" spans="1:5">
      <c r="A173" s="171">
        <v>44197</v>
      </c>
      <c r="B173" s="167">
        <v>980</v>
      </c>
      <c r="C173" s="167">
        <v>1052</v>
      </c>
      <c r="D173" s="167">
        <v>1299</v>
      </c>
      <c r="E173" s="167">
        <v>1112</v>
      </c>
    </row>
    <row r="174" spans="1:5">
      <c r="A174" s="171">
        <v>44228</v>
      </c>
      <c r="B174" s="167">
        <v>1017</v>
      </c>
      <c r="C174" s="167">
        <v>1063</v>
      </c>
      <c r="D174" s="167">
        <v>1387</v>
      </c>
      <c r="E174" s="167">
        <v>1245</v>
      </c>
    </row>
    <row r="175" spans="1:5">
      <c r="A175" s="171">
        <v>44256</v>
      </c>
      <c r="B175" s="167">
        <v>1036</v>
      </c>
      <c r="C175" s="167">
        <v>1201</v>
      </c>
      <c r="D175" s="167">
        <v>1640</v>
      </c>
      <c r="E175" s="167">
        <v>1290</v>
      </c>
    </row>
    <row r="176" spans="1:5">
      <c r="A176" s="171">
        <v>44287</v>
      </c>
      <c r="B176" s="167">
        <v>1075</v>
      </c>
      <c r="C176" s="167">
        <v>1238</v>
      </c>
      <c r="D176" s="167">
        <v>1601</v>
      </c>
      <c r="E176" s="167">
        <v>1359</v>
      </c>
    </row>
    <row r="177" spans="1:7">
      <c r="A177" s="171">
        <v>44317</v>
      </c>
      <c r="B177" s="167">
        <v>1149</v>
      </c>
      <c r="C177" s="167">
        <v>1364</v>
      </c>
      <c r="D177" s="167">
        <v>1613</v>
      </c>
      <c r="E177" s="167">
        <v>1580</v>
      </c>
    </row>
    <row r="178" spans="1:7">
      <c r="A178" s="171">
        <v>44348</v>
      </c>
      <c r="B178" s="167">
        <v>1015</v>
      </c>
      <c r="C178" s="167">
        <v>1237</v>
      </c>
      <c r="D178" s="167">
        <v>1320</v>
      </c>
      <c r="E178" s="167">
        <v>1577</v>
      </c>
    </row>
    <row r="179" spans="1:7">
      <c r="A179" s="171">
        <v>44378</v>
      </c>
      <c r="B179" s="167">
        <v>1072</v>
      </c>
      <c r="C179" s="167">
        <v>1273</v>
      </c>
      <c r="D179" s="167">
        <v>1305</v>
      </c>
      <c r="E179" s="167">
        <v>1386</v>
      </c>
    </row>
    <row r="180" spans="1:7">
      <c r="A180" s="171">
        <v>44409</v>
      </c>
      <c r="B180" s="167">
        <v>1151</v>
      </c>
      <c r="C180" s="167">
        <v>1323</v>
      </c>
      <c r="D180" s="167">
        <v>1380</v>
      </c>
      <c r="E180" s="167">
        <v>1486</v>
      </c>
    </row>
    <row r="181" spans="1:7">
      <c r="A181" s="171">
        <v>44440</v>
      </c>
      <c r="B181" s="167">
        <v>1187</v>
      </c>
      <c r="C181" s="167">
        <v>1313</v>
      </c>
      <c r="D181" s="167">
        <v>1333</v>
      </c>
      <c r="E181" s="167">
        <v>1606</v>
      </c>
    </row>
    <row r="182" spans="1:7">
      <c r="A182" s="171">
        <v>44470</v>
      </c>
      <c r="B182" s="167">
        <v>1318</v>
      </c>
      <c r="C182" s="167">
        <v>1383</v>
      </c>
      <c r="D182" s="167">
        <v>1446</v>
      </c>
      <c r="E182" s="167">
        <v>1778</v>
      </c>
    </row>
    <row r="183" spans="1:7">
      <c r="A183" s="171">
        <v>44501</v>
      </c>
      <c r="B183" s="167">
        <v>1338</v>
      </c>
      <c r="C183" s="167">
        <v>1392</v>
      </c>
      <c r="D183" s="167">
        <v>1441</v>
      </c>
      <c r="E183" s="167">
        <v>1800</v>
      </c>
    </row>
    <row r="184" spans="1:7">
      <c r="A184" s="171">
        <v>44531</v>
      </c>
      <c r="B184" s="167">
        <v>1259</v>
      </c>
      <c r="C184" s="167">
        <v>1351</v>
      </c>
      <c r="D184" s="167">
        <v>1396</v>
      </c>
      <c r="E184" s="167">
        <v>1743</v>
      </c>
    </row>
    <row r="185" spans="1:7">
      <c r="A185" s="171">
        <v>44562</v>
      </c>
      <c r="B185" s="167">
        <v>1358</v>
      </c>
      <c r="C185" s="167">
        <v>1389</v>
      </c>
      <c r="D185" s="167">
        <v>1413</v>
      </c>
      <c r="E185" s="167">
        <v>1814</v>
      </c>
    </row>
    <row r="186" spans="1:7">
      <c r="A186" s="171">
        <v>44593</v>
      </c>
      <c r="B186" s="167">
        <v>1540</v>
      </c>
      <c r="C186" s="167">
        <v>1533</v>
      </c>
      <c r="D186" s="167">
        <v>1500</v>
      </c>
      <c r="E186" s="167">
        <v>1739</v>
      </c>
    </row>
    <row r="187" spans="1:7">
      <c r="A187" s="183">
        <v>44621</v>
      </c>
      <c r="B187" s="167">
        <v>1778</v>
      </c>
      <c r="C187" s="167">
        <v>1752</v>
      </c>
      <c r="D187" s="167">
        <v>2570</v>
      </c>
      <c r="E187" s="167">
        <v>2128</v>
      </c>
      <c r="F187" s="167"/>
      <c r="G187" s="185"/>
    </row>
    <row r="188" spans="1:7">
      <c r="A188" s="171"/>
      <c r="E188" s="167"/>
    </row>
    <row r="189" spans="1:7">
      <c r="B189" s="184"/>
      <c r="C189" s="184"/>
      <c r="D189" s="184"/>
      <c r="E189" s="184"/>
    </row>
    <row r="190" spans="1:7">
      <c r="E190" s="167"/>
    </row>
    <row r="196" spans="5:5">
      <c r="E196" s="167"/>
    </row>
    <row r="197" spans="5:5">
      <c r="E197" s="167"/>
    </row>
    <row r="198" spans="5:5">
      <c r="E198" s="167"/>
    </row>
    <row r="199" spans="5:5">
      <c r="E199" s="16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B71C-27D4-42A9-A7B3-C812AD88DEEB}">
  <dimension ref="A1:H93"/>
  <sheetViews>
    <sheetView zoomScaleNormal="100" workbookViewId="0">
      <selection activeCell="G2" sqref="G2"/>
    </sheetView>
  </sheetViews>
  <sheetFormatPr defaultColWidth="9.109375" defaultRowHeight="13.2"/>
  <cols>
    <col min="1" max="1" width="14.6640625" bestFit="1" customWidth="1"/>
    <col min="2" max="2" width="13.6640625" customWidth="1"/>
    <col min="3" max="3" width="17.77734375" customWidth="1"/>
    <col min="4" max="4" width="13.33203125" customWidth="1"/>
    <col min="5" max="5" width="13.21875" customWidth="1"/>
    <col min="7" max="7" width="12.44140625" customWidth="1"/>
  </cols>
  <sheetData>
    <row r="1" spans="1:8" ht="26.4">
      <c r="A1" s="144" t="s">
        <v>154</v>
      </c>
      <c r="B1" s="144" t="s">
        <v>201</v>
      </c>
      <c r="C1" s="144" t="s">
        <v>200</v>
      </c>
      <c r="D1" s="144" t="s">
        <v>197</v>
      </c>
      <c r="E1" s="144" t="s">
        <v>198</v>
      </c>
      <c r="F1" s="144" t="s">
        <v>196</v>
      </c>
      <c r="G1" s="144" t="s">
        <v>207</v>
      </c>
    </row>
    <row r="2" spans="1:8">
      <c r="A2" s="143" t="s">
        <v>37</v>
      </c>
      <c r="B2" s="154">
        <v>5.9130000000000003</v>
      </c>
      <c r="C2" s="154">
        <v>13.157</v>
      </c>
      <c r="D2" s="154">
        <v>59.155000000000001</v>
      </c>
      <c r="E2" s="188">
        <v>29.216999999999999</v>
      </c>
      <c r="F2" s="188">
        <v>73.105000000000004</v>
      </c>
      <c r="G2" s="188">
        <v>25.96</v>
      </c>
      <c r="H2" s="189"/>
    </row>
    <row r="3" spans="1:8">
      <c r="A3" s="139"/>
      <c r="B3" s="198"/>
      <c r="C3" s="198"/>
      <c r="D3" s="198"/>
      <c r="E3" s="198"/>
      <c r="F3" s="198"/>
      <c r="G3" s="198"/>
    </row>
    <row r="4" spans="1:8">
      <c r="A4" s="132"/>
      <c r="B4" s="153"/>
      <c r="C4" s="153"/>
      <c r="D4" s="153"/>
    </row>
    <row r="5" spans="1:8">
      <c r="A5" s="132"/>
      <c r="B5" s="153"/>
      <c r="C5" s="153"/>
      <c r="D5" s="153"/>
    </row>
    <row r="6" spans="1:8">
      <c r="A6" s="132"/>
      <c r="B6" s="153"/>
      <c r="C6" s="153"/>
      <c r="D6" s="153"/>
    </row>
    <row r="7" spans="1:8">
      <c r="A7" s="132"/>
      <c r="B7" s="153"/>
      <c r="C7" s="153"/>
      <c r="D7" s="153"/>
    </row>
    <row r="8" spans="1:8">
      <c r="A8" s="132"/>
      <c r="B8" s="153"/>
      <c r="C8" s="196"/>
      <c r="D8" s="153"/>
    </row>
    <row r="9" spans="1:8">
      <c r="A9" s="142"/>
      <c r="B9" s="153"/>
      <c r="C9" s="153"/>
      <c r="D9" s="153"/>
    </row>
    <row r="10" spans="1:8">
      <c r="A10" s="132"/>
      <c r="B10" s="153"/>
      <c r="C10" s="153"/>
      <c r="D10" s="153"/>
    </row>
    <row r="11" spans="1:8">
      <c r="A11" s="140"/>
      <c r="B11" s="153"/>
      <c r="C11" s="153"/>
      <c r="D11" s="153"/>
    </row>
    <row r="12" spans="1:8">
      <c r="A12" s="140"/>
      <c r="B12" s="153"/>
      <c r="C12" s="153"/>
      <c r="D12" s="153"/>
    </row>
    <row r="13" spans="1:8">
      <c r="A13" s="142"/>
      <c r="B13" s="153"/>
      <c r="C13" s="153"/>
      <c r="D13" s="153"/>
    </row>
    <row r="14" spans="1:8">
      <c r="A14" s="142"/>
      <c r="B14" s="153"/>
      <c r="C14" s="153"/>
      <c r="D14" s="153"/>
    </row>
    <row r="15" spans="1:8">
      <c r="A15" s="140"/>
      <c r="B15" s="145"/>
      <c r="C15" s="145"/>
      <c r="D15" s="145"/>
    </row>
    <row r="16" spans="1:8">
      <c r="A16" s="140"/>
      <c r="B16" s="145"/>
      <c r="C16" s="145"/>
      <c r="D16" s="145"/>
    </row>
    <row r="17" spans="1:4">
      <c r="A17" s="140"/>
      <c r="B17" s="145"/>
      <c r="C17" s="145"/>
      <c r="D17" s="145"/>
    </row>
    <row r="18" spans="1:4">
      <c r="A18" s="132"/>
      <c r="B18" s="145"/>
      <c r="C18" s="145"/>
      <c r="D18" s="145"/>
    </row>
    <row r="19" spans="1:4">
      <c r="A19" s="132"/>
      <c r="B19" s="145"/>
      <c r="C19" s="145"/>
      <c r="D19" s="145"/>
    </row>
    <row r="20" spans="1:4">
      <c r="A20" s="132"/>
      <c r="B20" s="132"/>
      <c r="C20" s="132"/>
      <c r="D20" s="132"/>
    </row>
    <row r="21" spans="1:4">
      <c r="A21" s="132"/>
      <c r="B21" s="132"/>
      <c r="C21" s="132"/>
      <c r="D21" s="132"/>
    </row>
    <row r="22" spans="1:4">
      <c r="A22" s="132"/>
      <c r="B22" s="132"/>
      <c r="C22" s="132"/>
      <c r="D22" s="132"/>
    </row>
    <row r="23" spans="1:4">
      <c r="A23" s="132"/>
      <c r="B23" s="132"/>
      <c r="C23" s="132"/>
      <c r="D23" s="132"/>
    </row>
    <row r="24" spans="1:4">
      <c r="A24" s="132"/>
      <c r="B24" s="132"/>
      <c r="C24" s="132"/>
      <c r="D24" s="132"/>
    </row>
    <row r="25" spans="1:4">
      <c r="A25" s="132"/>
      <c r="B25" s="132"/>
      <c r="C25" s="132"/>
      <c r="D25" s="132"/>
    </row>
    <row r="26" spans="1:4">
      <c r="A26" s="132"/>
      <c r="B26" s="132"/>
      <c r="C26" s="132"/>
      <c r="D26" s="132"/>
    </row>
    <row r="27" spans="1:4">
      <c r="A27" s="132"/>
      <c r="B27" s="132"/>
      <c r="C27" s="132"/>
      <c r="D27" s="132"/>
    </row>
    <row r="28" spans="1:4">
      <c r="A28" s="132"/>
      <c r="B28" s="132"/>
      <c r="C28" s="132"/>
      <c r="D28" s="132"/>
    </row>
    <row r="29" spans="1:4">
      <c r="A29" s="132"/>
      <c r="B29" s="132"/>
      <c r="C29" s="132"/>
      <c r="D29" s="132"/>
    </row>
    <row r="30" spans="1:4">
      <c r="A30" s="132"/>
      <c r="B30" s="132"/>
      <c r="C30" s="132"/>
      <c r="D30" s="132"/>
    </row>
    <row r="31" spans="1:4">
      <c r="A31" s="132"/>
      <c r="B31" s="132"/>
      <c r="C31" s="132"/>
      <c r="D31" s="132"/>
    </row>
    <row r="32" spans="1:4">
      <c r="A32" s="132"/>
      <c r="B32" s="132"/>
      <c r="C32" s="132"/>
      <c r="D32" s="132"/>
    </row>
    <row r="33" spans="1:4">
      <c r="A33" s="132"/>
      <c r="B33" s="132"/>
      <c r="C33" s="132"/>
      <c r="D33" s="132"/>
    </row>
    <row r="34" spans="1:4">
      <c r="A34" s="132"/>
      <c r="B34" s="132"/>
      <c r="C34" s="132"/>
      <c r="D34" s="132"/>
    </row>
    <row r="35" spans="1:4">
      <c r="A35" s="132"/>
      <c r="B35" s="132"/>
      <c r="C35" s="132"/>
      <c r="D35" s="132"/>
    </row>
    <row r="36" spans="1:4">
      <c r="A36" s="132"/>
      <c r="B36" s="132"/>
      <c r="C36" s="132"/>
      <c r="D36" s="132"/>
    </row>
    <row r="37" spans="1:4">
      <c r="A37" s="132"/>
      <c r="B37" s="132"/>
      <c r="C37" s="132"/>
      <c r="D37" s="132"/>
    </row>
    <row r="38" spans="1:4">
      <c r="A38" s="132"/>
      <c r="B38" s="132"/>
      <c r="C38" s="132"/>
      <c r="D38" s="132"/>
    </row>
    <row r="39" spans="1:4">
      <c r="A39" s="132"/>
      <c r="B39" s="132"/>
      <c r="C39" s="132"/>
      <c r="D39" s="132"/>
    </row>
    <row r="40" spans="1:4">
      <c r="A40" s="132"/>
      <c r="B40" s="132"/>
      <c r="C40" s="132"/>
      <c r="D40" s="132"/>
    </row>
    <row r="41" spans="1:4">
      <c r="A41" s="132"/>
      <c r="B41" s="132"/>
      <c r="C41" s="132"/>
      <c r="D41" s="132"/>
    </row>
    <row r="42" spans="1:4">
      <c r="A42" s="132"/>
      <c r="B42" s="132"/>
      <c r="C42" s="132"/>
      <c r="D42" s="132"/>
    </row>
    <row r="43" spans="1:4">
      <c r="A43" s="132"/>
      <c r="B43" s="132"/>
      <c r="C43" s="132"/>
      <c r="D43" s="132"/>
    </row>
    <row r="44" spans="1:4">
      <c r="A44" s="132"/>
      <c r="B44" s="132"/>
      <c r="C44" s="132"/>
      <c r="D44" s="132"/>
    </row>
    <row r="45" spans="1:4">
      <c r="A45" s="132"/>
      <c r="B45" s="132"/>
      <c r="C45" s="132"/>
      <c r="D45" s="132"/>
    </row>
    <row r="46" spans="1:4">
      <c r="A46" s="132"/>
      <c r="B46" s="132"/>
      <c r="C46" s="132"/>
      <c r="D46" s="132"/>
    </row>
    <row r="47" spans="1:4">
      <c r="A47" s="132"/>
      <c r="B47" s="132"/>
      <c r="C47" s="132"/>
      <c r="D47" s="132"/>
    </row>
    <row r="48" spans="1:4">
      <c r="A48" s="132"/>
      <c r="B48" s="132"/>
      <c r="C48" s="132"/>
      <c r="D48" s="132"/>
    </row>
    <row r="49" spans="1:4">
      <c r="A49" s="132"/>
      <c r="B49" s="132"/>
      <c r="C49" s="132"/>
      <c r="D49" s="132"/>
    </row>
    <row r="50" spans="1:4">
      <c r="A50" s="132"/>
      <c r="B50" s="132"/>
      <c r="C50" s="132"/>
      <c r="D50" s="132"/>
    </row>
    <row r="51" spans="1:4">
      <c r="A51" s="132"/>
      <c r="B51" s="132"/>
      <c r="C51" s="132"/>
      <c r="D51" s="132"/>
    </row>
    <row r="52" spans="1:4">
      <c r="A52" s="132"/>
      <c r="B52" s="132"/>
      <c r="C52" s="132"/>
      <c r="D52" s="132"/>
    </row>
    <row r="53" spans="1:4">
      <c r="A53" s="132"/>
      <c r="B53" s="132"/>
      <c r="C53" s="132"/>
      <c r="D53" s="132"/>
    </row>
    <row r="54" spans="1:4">
      <c r="A54" s="132"/>
      <c r="B54" s="132"/>
      <c r="C54" s="132"/>
      <c r="D54" s="132"/>
    </row>
    <row r="55" spans="1:4">
      <c r="A55" s="132"/>
      <c r="B55" s="132"/>
      <c r="C55" s="132"/>
      <c r="D55" s="132"/>
    </row>
    <row r="56" spans="1:4">
      <c r="A56" s="132"/>
      <c r="B56" s="132"/>
      <c r="C56" s="132"/>
      <c r="D56" s="132"/>
    </row>
    <row r="57" spans="1:4">
      <c r="A57" s="132"/>
      <c r="B57" s="132"/>
      <c r="C57" s="132"/>
      <c r="D57" s="132"/>
    </row>
    <row r="58" spans="1:4">
      <c r="A58" s="132"/>
      <c r="B58" s="132"/>
      <c r="C58" s="132"/>
      <c r="D58" s="132"/>
    </row>
    <row r="59" spans="1:4">
      <c r="A59" s="132"/>
      <c r="B59" s="132"/>
      <c r="C59" s="132"/>
      <c r="D59" s="132"/>
    </row>
    <row r="60" spans="1:4">
      <c r="A60" s="132"/>
      <c r="B60" s="132"/>
      <c r="C60" s="132"/>
      <c r="D60" s="132"/>
    </row>
    <row r="61" spans="1:4">
      <c r="A61" s="132"/>
      <c r="B61" s="132"/>
      <c r="C61" s="132"/>
      <c r="D61" s="132"/>
    </row>
    <row r="62" spans="1:4">
      <c r="A62" s="132"/>
      <c r="B62" s="132"/>
      <c r="C62" s="132"/>
      <c r="D62" s="132"/>
    </row>
    <row r="63" spans="1:4">
      <c r="A63" s="132"/>
      <c r="B63" s="132"/>
      <c r="C63" s="132"/>
      <c r="D63" s="132"/>
    </row>
    <row r="64" spans="1:4">
      <c r="A64" s="132"/>
      <c r="B64" s="132"/>
      <c r="C64" s="132"/>
      <c r="D64" s="132"/>
    </row>
    <row r="65" spans="1:4">
      <c r="A65" s="132"/>
      <c r="B65" s="132"/>
      <c r="C65" s="132"/>
      <c r="D65" s="132"/>
    </row>
    <row r="66" spans="1:4">
      <c r="A66" s="132"/>
      <c r="B66" s="132"/>
      <c r="C66" s="132"/>
      <c r="D66" s="132"/>
    </row>
    <row r="67" spans="1:4">
      <c r="A67" s="132"/>
      <c r="B67" s="132"/>
      <c r="C67" s="132"/>
      <c r="D67" s="132"/>
    </row>
    <row r="68" spans="1:4">
      <c r="A68" s="132"/>
      <c r="B68" s="132"/>
      <c r="C68" s="132"/>
      <c r="D68" s="132"/>
    </row>
    <row r="69" spans="1:4">
      <c r="A69" s="132"/>
      <c r="B69" s="132"/>
      <c r="C69" s="132"/>
      <c r="D69" s="132"/>
    </row>
    <row r="70" spans="1:4">
      <c r="A70" s="132"/>
      <c r="B70" s="132"/>
      <c r="C70" s="132"/>
      <c r="D70" s="132"/>
    </row>
    <row r="71" spans="1:4">
      <c r="A71" s="132"/>
      <c r="B71" s="132"/>
      <c r="C71" s="132"/>
      <c r="D71" s="132"/>
    </row>
    <row r="72" spans="1:4">
      <c r="A72" s="132"/>
      <c r="B72" s="132"/>
      <c r="C72" s="132"/>
      <c r="D72" s="132"/>
    </row>
    <row r="73" spans="1:4">
      <c r="A73" s="132"/>
      <c r="B73" s="132"/>
      <c r="C73" s="132"/>
      <c r="D73" s="132"/>
    </row>
    <row r="74" spans="1:4">
      <c r="A74" s="132"/>
      <c r="B74" s="132"/>
      <c r="C74" s="132"/>
      <c r="D74" s="132"/>
    </row>
    <row r="75" spans="1:4">
      <c r="A75" s="132"/>
      <c r="B75" s="132"/>
      <c r="C75" s="132"/>
      <c r="D75" s="132"/>
    </row>
    <row r="76" spans="1:4">
      <c r="A76" s="132"/>
      <c r="B76" s="132"/>
      <c r="C76" s="132"/>
      <c r="D76" s="132"/>
    </row>
    <row r="77" spans="1:4">
      <c r="A77" s="132"/>
      <c r="B77" s="132"/>
      <c r="C77" s="132"/>
      <c r="D77" s="132"/>
    </row>
    <row r="78" spans="1:4">
      <c r="A78" s="132"/>
      <c r="B78" s="132"/>
      <c r="C78" s="132"/>
      <c r="D78" s="132"/>
    </row>
    <row r="79" spans="1:4">
      <c r="A79" s="132"/>
      <c r="B79" s="132"/>
      <c r="C79" s="132"/>
      <c r="D79" s="132"/>
    </row>
    <row r="80" spans="1:4">
      <c r="A80" s="132"/>
      <c r="B80" s="132"/>
      <c r="C80" s="132"/>
      <c r="D80" s="132"/>
    </row>
    <row r="81" spans="1:4">
      <c r="A81" s="132"/>
      <c r="B81" s="132"/>
      <c r="C81" s="132"/>
      <c r="D81" s="132"/>
    </row>
    <row r="82" spans="1:4">
      <c r="A82" s="132"/>
      <c r="B82" s="132"/>
      <c r="C82" s="132"/>
      <c r="D82" s="132"/>
    </row>
    <row r="83" spans="1:4">
      <c r="A83" s="132"/>
      <c r="B83" s="132"/>
      <c r="C83" s="132"/>
      <c r="D83" s="132"/>
    </row>
    <row r="84" spans="1:4">
      <c r="A84" s="132"/>
      <c r="B84" s="132"/>
      <c r="C84" s="132"/>
      <c r="D84" s="132"/>
    </row>
    <row r="85" spans="1:4">
      <c r="A85" s="132"/>
      <c r="B85" s="132"/>
      <c r="C85" s="132"/>
      <c r="D85" s="132"/>
    </row>
    <row r="86" spans="1:4">
      <c r="A86" s="132"/>
      <c r="B86" s="132"/>
      <c r="C86" s="132"/>
      <c r="D86" s="132"/>
    </row>
    <row r="87" spans="1:4">
      <c r="A87" s="132"/>
      <c r="B87" s="132"/>
      <c r="C87" s="132"/>
      <c r="D87" s="132"/>
    </row>
    <row r="88" spans="1:4">
      <c r="A88" s="132"/>
      <c r="B88" s="132"/>
      <c r="C88" s="132"/>
      <c r="D88" s="132"/>
    </row>
    <row r="89" spans="1:4">
      <c r="A89" s="132"/>
      <c r="B89" s="132"/>
      <c r="C89" s="132"/>
      <c r="D89" s="132"/>
    </row>
    <row r="90" spans="1:4">
      <c r="A90" s="132"/>
      <c r="B90" s="132"/>
      <c r="C90" s="132"/>
      <c r="D90" s="132"/>
    </row>
    <row r="91" spans="1:4">
      <c r="A91" s="132"/>
      <c r="B91" s="132"/>
      <c r="C91" s="132"/>
      <c r="D91" s="132"/>
    </row>
    <row r="92" spans="1:4">
      <c r="A92" s="132"/>
      <c r="B92" s="132"/>
      <c r="C92" s="132"/>
      <c r="D92" s="132"/>
    </row>
    <row r="93" spans="1:4">
      <c r="A93" s="132"/>
      <c r="B93" s="132"/>
      <c r="C93" s="132"/>
      <c r="D93" s="13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123C-48AA-47CD-94D4-961B35E8BAF8}">
  <dimension ref="A1:H84"/>
  <sheetViews>
    <sheetView tabSelected="1" zoomScale="90" zoomScaleNormal="90" workbookViewId="0">
      <selection activeCell="F18" sqref="F18"/>
    </sheetView>
  </sheetViews>
  <sheetFormatPr defaultColWidth="9.109375" defaultRowHeight="13.2"/>
  <cols>
    <col min="1" max="1" width="13.44140625" style="148" bestFit="1" customWidth="1"/>
    <col min="2" max="2" width="15.5546875" style="133" customWidth="1"/>
    <col min="3" max="3" width="15.88671875" style="133" customWidth="1"/>
    <col min="4" max="4" width="10.33203125" style="133" bestFit="1" customWidth="1"/>
    <col min="5" max="5" width="14.5546875" style="133" customWidth="1"/>
    <col min="6" max="6" width="8.88671875" style="133" bestFit="1" customWidth="1"/>
    <col min="7" max="7" width="9.44140625" style="133" bestFit="1" customWidth="1"/>
    <col min="8" max="16384" width="9.109375" style="133"/>
  </cols>
  <sheetData>
    <row r="1" spans="1:8" ht="26.4">
      <c r="A1" s="146" t="s">
        <v>154</v>
      </c>
      <c r="B1" s="126" t="s">
        <v>201</v>
      </c>
      <c r="C1" s="126" t="s">
        <v>200</v>
      </c>
      <c r="D1" s="126" t="s">
        <v>197</v>
      </c>
      <c r="E1" s="126" t="s">
        <v>198</v>
      </c>
      <c r="F1" s="126" t="s">
        <v>196</v>
      </c>
      <c r="G1" s="144" t="s">
        <v>207</v>
      </c>
    </row>
    <row r="2" spans="1:8">
      <c r="A2" s="142" t="s">
        <v>115</v>
      </c>
      <c r="B2" s="154">
        <v>6.351</v>
      </c>
      <c r="C2" s="154">
        <v>11.949</v>
      </c>
      <c r="D2" s="154">
        <v>53.84</v>
      </c>
      <c r="E2" s="154">
        <v>27.603000000000002</v>
      </c>
      <c r="F2" s="154">
        <v>65.262</v>
      </c>
      <c r="G2" s="187">
        <v>23.486999999999998</v>
      </c>
    </row>
    <row r="3" spans="1:8">
      <c r="A3" s="142" t="s">
        <v>116</v>
      </c>
      <c r="B3" s="154">
        <v>5.9130000000000003</v>
      </c>
      <c r="C3" s="154">
        <v>12.664999999999999</v>
      </c>
      <c r="D3" s="154">
        <v>55.231999999999999</v>
      </c>
      <c r="E3" s="154">
        <v>28.132999999999999</v>
      </c>
      <c r="F3" s="154">
        <v>70.605999999999995</v>
      </c>
      <c r="G3" s="187">
        <v>26.082000000000001</v>
      </c>
    </row>
    <row r="4" spans="1:8">
      <c r="A4" s="142" t="s">
        <v>117</v>
      </c>
      <c r="B4" s="154">
        <v>6.3639999999999999</v>
      </c>
      <c r="C4" s="154">
        <v>13.236000000000001</v>
      </c>
      <c r="D4" s="154">
        <v>56.04</v>
      </c>
      <c r="E4" s="154">
        <v>27.794</v>
      </c>
      <c r="F4" s="154">
        <v>74.248999999999995</v>
      </c>
      <c r="G4" s="187">
        <v>26.22</v>
      </c>
    </row>
    <row r="5" spans="1:8">
      <c r="A5" s="142" t="s">
        <v>34</v>
      </c>
      <c r="B5" s="154">
        <v>7.39</v>
      </c>
      <c r="C5" s="154">
        <v>13.749000000000001</v>
      </c>
      <c r="D5" s="154">
        <v>58.523000000000003</v>
      </c>
      <c r="E5" s="154">
        <v>28.100999999999999</v>
      </c>
      <c r="F5" s="154">
        <v>73.031000000000006</v>
      </c>
      <c r="G5" s="187">
        <v>26.484999999999999</v>
      </c>
    </row>
    <row r="6" spans="1:8">
      <c r="A6" s="142" t="s">
        <v>37</v>
      </c>
      <c r="B6" s="154">
        <v>5.9130000000000003</v>
      </c>
      <c r="C6" s="154">
        <v>13.157</v>
      </c>
      <c r="D6" s="154">
        <v>59.155000000000001</v>
      </c>
      <c r="E6" s="154">
        <v>29.216999999999999</v>
      </c>
      <c r="F6" s="154">
        <v>73.105000000000004</v>
      </c>
      <c r="G6" s="187">
        <v>25.96</v>
      </c>
    </row>
    <row r="7" spans="1:8">
      <c r="A7" s="142" t="s">
        <v>183</v>
      </c>
      <c r="B7" s="154">
        <v>5.6760000000000002</v>
      </c>
      <c r="C7" s="154">
        <v>14.717000000000001</v>
      </c>
      <c r="D7" s="154">
        <v>58.968000000000004</v>
      </c>
      <c r="E7" s="154">
        <v>28.484999999999999</v>
      </c>
      <c r="F7" s="154">
        <v>77.046999999999997</v>
      </c>
      <c r="G7" s="187">
        <v>27.146999999999991</v>
      </c>
      <c r="H7" s="187"/>
    </row>
    <row r="8" spans="1:8">
      <c r="B8" s="147"/>
      <c r="D8" s="147"/>
      <c r="F8" s="154"/>
      <c r="G8" s="187"/>
    </row>
    <row r="9" spans="1:8">
      <c r="B9" s="147"/>
      <c r="C9" s="182"/>
      <c r="D9" s="147"/>
      <c r="F9" s="187"/>
      <c r="G9" s="187"/>
    </row>
    <row r="10" spans="1:8">
      <c r="B10" s="147"/>
      <c r="C10" s="197"/>
      <c r="D10" s="147"/>
      <c r="F10" s="182"/>
      <c r="G10" s="182"/>
    </row>
    <row r="11" spans="1:8">
      <c r="B11" s="134"/>
      <c r="C11" s="187"/>
      <c r="D11" s="134"/>
    </row>
    <row r="12" spans="1:8">
      <c r="B12" s="134"/>
      <c r="D12" s="134"/>
    </row>
    <row r="13" spans="1:8">
      <c r="B13" s="134"/>
      <c r="D13" s="134"/>
    </row>
    <row r="14" spans="1:8">
      <c r="B14" s="134"/>
      <c r="D14" s="134"/>
    </row>
    <row r="15" spans="1:8">
      <c r="B15" s="134"/>
      <c r="D15" s="134"/>
    </row>
    <row r="16" spans="1:8">
      <c r="B16" s="134"/>
      <c r="D16" s="134"/>
    </row>
    <row r="17" spans="2:4">
      <c r="B17" s="134"/>
      <c r="D17" s="134"/>
    </row>
    <row r="18" spans="2:4">
      <c r="B18" s="134"/>
      <c r="D18" s="134"/>
    </row>
    <row r="19" spans="2:4">
      <c r="B19" s="134"/>
      <c r="D19" s="134"/>
    </row>
    <row r="20" spans="2:4">
      <c r="B20" s="134"/>
      <c r="D20" s="134"/>
    </row>
    <row r="21" spans="2:4">
      <c r="B21" s="134"/>
      <c r="D21" s="134"/>
    </row>
    <row r="22" spans="2:4">
      <c r="B22" s="134"/>
      <c r="D22" s="134"/>
    </row>
    <row r="23" spans="2:4">
      <c r="B23" s="134"/>
      <c r="D23" s="134"/>
    </row>
    <row r="24" spans="2:4">
      <c r="B24" s="134"/>
      <c r="D24" s="134"/>
    </row>
    <row r="25" spans="2:4">
      <c r="B25" s="134"/>
      <c r="D25" s="134"/>
    </row>
    <row r="26" spans="2:4">
      <c r="B26" s="134"/>
      <c r="D26" s="134"/>
    </row>
    <row r="27" spans="2:4">
      <c r="B27" s="134"/>
      <c r="D27" s="134"/>
    </row>
    <row r="28" spans="2:4">
      <c r="B28" s="134"/>
      <c r="D28" s="134"/>
    </row>
    <row r="29" spans="2:4">
      <c r="B29" s="134"/>
      <c r="D29" s="134"/>
    </row>
    <row r="30" spans="2:4">
      <c r="B30" s="134"/>
      <c r="D30" s="134"/>
    </row>
    <row r="31" spans="2:4">
      <c r="B31" s="134"/>
      <c r="D31" s="134"/>
    </row>
    <row r="32" spans="2:4">
      <c r="B32" s="134"/>
      <c r="D32" s="134"/>
    </row>
    <row r="33" spans="2:4">
      <c r="B33" s="134"/>
      <c r="D33" s="134"/>
    </row>
    <row r="34" spans="2:4">
      <c r="B34" s="134"/>
      <c r="D34" s="134"/>
    </row>
    <row r="35" spans="2:4">
      <c r="B35" s="134"/>
      <c r="D35" s="134"/>
    </row>
    <row r="36" spans="2:4">
      <c r="B36" s="134"/>
      <c r="D36" s="134"/>
    </row>
    <row r="37" spans="2:4">
      <c r="B37" s="134"/>
      <c r="D37" s="134"/>
    </row>
    <row r="38" spans="2:4">
      <c r="B38" s="134"/>
      <c r="D38" s="134"/>
    </row>
    <row r="39" spans="2:4">
      <c r="B39" s="134"/>
      <c r="D39" s="134"/>
    </row>
    <row r="40" spans="2:4">
      <c r="B40" s="134"/>
      <c r="D40" s="134"/>
    </row>
    <row r="41" spans="2:4">
      <c r="B41" s="134"/>
      <c r="D41" s="134"/>
    </row>
    <row r="42" spans="2:4">
      <c r="B42" s="134"/>
      <c r="D42" s="134"/>
    </row>
    <row r="43" spans="2:4">
      <c r="B43" s="134"/>
      <c r="D43" s="134"/>
    </row>
    <row r="44" spans="2:4">
      <c r="B44" s="134"/>
      <c r="D44" s="134"/>
    </row>
    <row r="45" spans="2:4">
      <c r="B45" s="134"/>
      <c r="D45" s="134"/>
    </row>
    <row r="46" spans="2:4">
      <c r="B46" s="134"/>
      <c r="D46" s="134"/>
    </row>
    <row r="47" spans="2:4">
      <c r="B47" s="134"/>
      <c r="D47" s="134"/>
    </row>
    <row r="48" spans="2:4">
      <c r="B48" s="134"/>
      <c r="D48" s="134"/>
    </row>
    <row r="49" spans="2:4">
      <c r="B49" s="134"/>
      <c r="D49" s="134"/>
    </row>
    <row r="50" spans="2:4">
      <c r="B50" s="134"/>
      <c r="D50" s="134"/>
    </row>
    <row r="51" spans="2:4">
      <c r="B51" s="134"/>
      <c r="D51" s="134"/>
    </row>
    <row r="52" spans="2:4">
      <c r="B52" s="134"/>
      <c r="D52" s="134"/>
    </row>
    <row r="53" spans="2:4">
      <c r="B53" s="134"/>
      <c r="D53" s="134"/>
    </row>
    <row r="54" spans="2:4">
      <c r="B54" s="134"/>
      <c r="D54" s="134"/>
    </row>
    <row r="55" spans="2:4">
      <c r="B55" s="134"/>
      <c r="D55" s="134"/>
    </row>
    <row r="56" spans="2:4">
      <c r="B56" s="134"/>
      <c r="D56" s="134"/>
    </row>
    <row r="57" spans="2:4">
      <c r="B57" s="134"/>
      <c r="D57" s="134"/>
    </row>
    <row r="58" spans="2:4">
      <c r="B58" s="134"/>
      <c r="D58" s="134"/>
    </row>
    <row r="59" spans="2:4">
      <c r="B59" s="134"/>
      <c r="D59" s="134"/>
    </row>
    <row r="60" spans="2:4">
      <c r="B60" s="134"/>
      <c r="D60" s="134"/>
    </row>
    <row r="61" spans="2:4">
      <c r="B61" s="134"/>
      <c r="D61" s="134"/>
    </row>
    <row r="62" spans="2:4">
      <c r="B62" s="134"/>
      <c r="D62" s="134"/>
    </row>
    <row r="63" spans="2:4">
      <c r="B63" s="134"/>
      <c r="D63" s="134"/>
    </row>
    <row r="64" spans="2:4">
      <c r="B64" s="134"/>
      <c r="D64" s="134"/>
    </row>
    <row r="65" spans="2:4">
      <c r="B65" s="134"/>
      <c r="D65" s="134"/>
    </row>
    <row r="66" spans="2:4">
      <c r="B66" s="134"/>
      <c r="D66" s="134"/>
    </row>
    <row r="67" spans="2:4">
      <c r="B67" s="134"/>
      <c r="D67" s="134"/>
    </row>
    <row r="68" spans="2:4">
      <c r="B68" s="134"/>
      <c r="D68" s="134"/>
    </row>
    <row r="69" spans="2:4">
      <c r="B69" s="134"/>
      <c r="D69" s="134"/>
    </row>
    <row r="70" spans="2:4">
      <c r="B70" s="134"/>
      <c r="D70" s="134"/>
    </row>
    <row r="71" spans="2:4">
      <c r="B71" s="134"/>
      <c r="D71" s="134"/>
    </row>
    <row r="72" spans="2:4">
      <c r="B72" s="134"/>
      <c r="D72" s="134"/>
    </row>
    <row r="73" spans="2:4">
      <c r="B73" s="134"/>
      <c r="D73" s="134"/>
    </row>
    <row r="74" spans="2:4">
      <c r="B74" s="134"/>
      <c r="D74" s="134"/>
    </row>
    <row r="75" spans="2:4">
      <c r="B75" s="134"/>
      <c r="D75" s="134"/>
    </row>
    <row r="76" spans="2:4">
      <c r="B76" s="134"/>
      <c r="D76" s="134"/>
    </row>
    <row r="77" spans="2:4">
      <c r="B77" s="134"/>
      <c r="D77" s="134"/>
    </row>
    <row r="78" spans="2:4">
      <c r="B78" s="134"/>
      <c r="D78" s="134"/>
    </row>
    <row r="79" spans="2:4">
      <c r="B79" s="134"/>
      <c r="D79" s="134"/>
    </row>
    <row r="80" spans="2:4">
      <c r="B80" s="134"/>
      <c r="D80" s="134"/>
    </row>
    <row r="81" spans="2:4">
      <c r="B81" s="134"/>
      <c r="D81" s="134"/>
    </row>
    <row r="82" spans="2:4">
      <c r="B82" s="134"/>
      <c r="D82" s="134"/>
    </row>
    <row r="83" spans="2:4">
      <c r="B83" s="134"/>
      <c r="D83" s="134"/>
    </row>
    <row r="84" spans="2:4">
      <c r="B84" s="134"/>
      <c r="D84" s="13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6FC5-1430-448C-9A30-DA0B85BD555A}">
  <dimension ref="A1:G93"/>
  <sheetViews>
    <sheetView zoomScaleNormal="100" workbookViewId="0">
      <selection activeCell="D5" sqref="D5"/>
    </sheetView>
  </sheetViews>
  <sheetFormatPr defaultColWidth="9.109375" defaultRowHeight="13.2"/>
  <cols>
    <col min="1" max="1" width="14.6640625" bestFit="1" customWidth="1"/>
    <col min="2" max="2" width="17.88671875" customWidth="1"/>
    <col min="3" max="3" width="12.44140625" customWidth="1"/>
    <col min="4" max="4" width="13.33203125" customWidth="1"/>
  </cols>
  <sheetData>
    <row r="1" spans="1:7" ht="39.6">
      <c r="A1" s="144" t="s">
        <v>154</v>
      </c>
      <c r="B1" s="144" t="s">
        <v>204</v>
      </c>
      <c r="C1" s="144" t="s">
        <v>200</v>
      </c>
      <c r="D1" s="144" t="s">
        <v>197</v>
      </c>
      <c r="E1" s="144" t="s">
        <v>198</v>
      </c>
      <c r="F1" s="144" t="s">
        <v>196</v>
      </c>
      <c r="G1" s="144" t="s">
        <v>207</v>
      </c>
    </row>
    <row r="2" spans="1:7">
      <c r="A2" s="143" t="s">
        <v>37</v>
      </c>
      <c r="B2" s="177">
        <v>5.2729999999999997</v>
      </c>
      <c r="C2" s="177">
        <v>11.951000000000001</v>
      </c>
      <c r="D2" s="177">
        <v>47.417000000000002</v>
      </c>
      <c r="E2" s="178">
        <v>20.349</v>
      </c>
      <c r="F2" s="178">
        <v>49.423000000000002</v>
      </c>
      <c r="G2" s="85">
        <v>17.757000000000001</v>
      </c>
    </row>
    <row r="3" spans="1:7">
      <c r="A3" s="139"/>
      <c r="B3" s="153"/>
      <c r="C3" s="153"/>
      <c r="D3" s="153"/>
    </row>
    <row r="4" spans="1:7">
      <c r="A4" s="132"/>
      <c r="B4" s="153"/>
      <c r="C4" s="154"/>
      <c r="D4" s="153"/>
    </row>
    <row r="5" spans="1:7">
      <c r="A5" s="132"/>
      <c r="B5" s="198"/>
      <c r="C5" s="198"/>
      <c r="D5" s="198"/>
      <c r="E5" s="198"/>
      <c r="F5" s="198"/>
      <c r="G5" s="178"/>
    </row>
    <row r="6" spans="1:7">
      <c r="A6" s="132"/>
      <c r="B6" s="153"/>
      <c r="C6" s="154"/>
      <c r="D6" s="153"/>
    </row>
    <row r="7" spans="1:7">
      <c r="A7" s="132"/>
      <c r="B7" s="153"/>
      <c r="C7" s="153"/>
      <c r="D7" s="153"/>
    </row>
    <row r="8" spans="1:7">
      <c r="A8" s="132"/>
      <c r="B8" s="153"/>
      <c r="C8" s="153"/>
      <c r="D8" s="153"/>
    </row>
    <row r="9" spans="1:7">
      <c r="A9" s="142"/>
      <c r="B9" s="153"/>
      <c r="C9" s="153"/>
      <c r="D9" s="153"/>
    </row>
    <row r="10" spans="1:7">
      <c r="A10" s="132"/>
      <c r="B10" s="153"/>
      <c r="C10" s="153"/>
      <c r="D10" s="153"/>
    </row>
    <row r="11" spans="1:7">
      <c r="A11" s="140"/>
      <c r="B11" s="153"/>
      <c r="C11" s="153"/>
      <c r="D11" s="153"/>
    </row>
    <row r="12" spans="1:7">
      <c r="A12" s="140"/>
      <c r="B12" s="153"/>
      <c r="C12" s="153"/>
      <c r="D12" s="153"/>
    </row>
    <row r="13" spans="1:7">
      <c r="A13" s="142"/>
      <c r="B13" s="153"/>
      <c r="C13" s="153"/>
      <c r="D13" s="153"/>
    </row>
    <row r="14" spans="1:7">
      <c r="A14" s="142"/>
      <c r="B14" s="153"/>
      <c r="C14" s="153"/>
      <c r="D14" s="153"/>
    </row>
    <row r="15" spans="1:7">
      <c r="A15" s="140"/>
      <c r="B15" s="145"/>
      <c r="C15" s="145"/>
      <c r="D15" s="145"/>
    </row>
    <row r="16" spans="1:7">
      <c r="A16" s="140"/>
      <c r="B16" s="145"/>
      <c r="C16" s="145"/>
      <c r="D16" s="145"/>
    </row>
    <row r="17" spans="1:4">
      <c r="A17" s="140"/>
      <c r="B17" s="145"/>
      <c r="C17" s="145"/>
      <c r="D17" s="145"/>
    </row>
    <row r="18" spans="1:4">
      <c r="A18" s="132"/>
      <c r="B18" s="145"/>
      <c r="C18" s="145"/>
      <c r="D18" s="145"/>
    </row>
    <row r="19" spans="1:4">
      <c r="A19" s="132"/>
      <c r="B19" s="145"/>
      <c r="C19" s="145"/>
      <c r="D19" s="145"/>
    </row>
    <row r="20" spans="1:4">
      <c r="A20" s="132"/>
      <c r="B20" s="132"/>
      <c r="C20" s="132"/>
      <c r="D20" s="132"/>
    </row>
    <row r="21" spans="1:4">
      <c r="A21" s="132"/>
      <c r="B21" s="132"/>
      <c r="C21" s="132"/>
      <c r="D21" s="132"/>
    </row>
    <row r="22" spans="1:4">
      <c r="A22" s="132"/>
      <c r="B22" s="132"/>
      <c r="C22" s="132"/>
      <c r="D22" s="132"/>
    </row>
    <row r="23" spans="1:4">
      <c r="A23" s="132"/>
      <c r="B23" s="132"/>
      <c r="C23" s="132"/>
      <c r="D23" s="132"/>
    </row>
    <row r="24" spans="1:4">
      <c r="A24" s="132"/>
      <c r="B24" s="132"/>
      <c r="C24" s="132"/>
      <c r="D24" s="132"/>
    </row>
    <row r="25" spans="1:4">
      <c r="A25" s="132"/>
      <c r="B25" s="132"/>
      <c r="C25" s="132"/>
      <c r="D25" s="132"/>
    </row>
    <row r="26" spans="1:4">
      <c r="A26" s="132"/>
      <c r="B26" s="132"/>
      <c r="C26" s="132"/>
      <c r="D26" s="132"/>
    </row>
    <row r="27" spans="1:4">
      <c r="A27" s="132"/>
      <c r="B27" s="132"/>
      <c r="C27" s="132"/>
      <c r="D27" s="132"/>
    </row>
    <row r="28" spans="1:4">
      <c r="A28" s="132"/>
      <c r="B28" s="132"/>
      <c r="C28" s="132"/>
      <c r="D28" s="132"/>
    </row>
    <row r="29" spans="1:4">
      <c r="A29" s="132"/>
      <c r="B29" s="132"/>
      <c r="C29" s="132"/>
      <c r="D29" s="132"/>
    </row>
    <row r="30" spans="1:4">
      <c r="A30" s="132"/>
      <c r="B30" s="132"/>
      <c r="C30" s="132"/>
      <c r="D30" s="132"/>
    </row>
    <row r="31" spans="1:4">
      <c r="A31" s="132"/>
      <c r="B31" s="132"/>
      <c r="C31" s="132"/>
      <c r="D31" s="132"/>
    </row>
    <row r="32" spans="1:4">
      <c r="A32" s="132"/>
      <c r="B32" s="132"/>
      <c r="C32" s="132"/>
      <c r="D32" s="132"/>
    </row>
    <row r="33" spans="1:4">
      <c r="A33" s="132"/>
      <c r="B33" s="132"/>
      <c r="C33" s="132"/>
      <c r="D33" s="132"/>
    </row>
    <row r="34" spans="1:4">
      <c r="A34" s="132"/>
      <c r="B34" s="132"/>
      <c r="C34" s="132"/>
      <c r="D34" s="132"/>
    </row>
    <row r="35" spans="1:4">
      <c r="A35" s="132"/>
      <c r="B35" s="132"/>
      <c r="C35" s="132"/>
      <c r="D35" s="132"/>
    </row>
    <row r="36" spans="1:4">
      <c r="A36" s="132"/>
      <c r="B36" s="132"/>
      <c r="C36" s="132"/>
      <c r="D36" s="132"/>
    </row>
    <row r="37" spans="1:4">
      <c r="A37" s="132"/>
      <c r="B37" s="132"/>
      <c r="C37" s="132"/>
      <c r="D37" s="132"/>
    </row>
    <row r="38" spans="1:4">
      <c r="A38" s="132"/>
      <c r="B38" s="132"/>
      <c r="C38" s="132"/>
      <c r="D38" s="132"/>
    </row>
    <row r="39" spans="1:4">
      <c r="A39" s="132"/>
      <c r="B39" s="132"/>
      <c r="C39" s="132"/>
      <c r="D39" s="132"/>
    </row>
    <row r="40" spans="1:4">
      <c r="A40" s="132"/>
      <c r="B40" s="132"/>
      <c r="C40" s="132"/>
      <c r="D40" s="132"/>
    </row>
    <row r="41" spans="1:4">
      <c r="A41" s="132"/>
      <c r="B41" s="132"/>
      <c r="C41" s="132"/>
      <c r="D41" s="132"/>
    </row>
    <row r="42" spans="1:4">
      <c r="A42" s="132"/>
      <c r="B42" s="132"/>
      <c r="C42" s="132"/>
      <c r="D42" s="132"/>
    </row>
    <row r="43" spans="1:4">
      <c r="A43" s="132"/>
      <c r="B43" s="132"/>
      <c r="C43" s="132"/>
      <c r="D43" s="132"/>
    </row>
    <row r="44" spans="1:4">
      <c r="A44" s="132"/>
      <c r="B44" s="132"/>
      <c r="C44" s="132"/>
      <c r="D44" s="132"/>
    </row>
    <row r="45" spans="1:4">
      <c r="A45" s="132"/>
      <c r="B45" s="132"/>
      <c r="C45" s="132"/>
      <c r="D45" s="132"/>
    </row>
    <row r="46" spans="1:4">
      <c r="A46" s="132"/>
      <c r="B46" s="132"/>
      <c r="C46" s="132"/>
      <c r="D46" s="132"/>
    </row>
    <row r="47" spans="1:4">
      <c r="A47" s="132"/>
      <c r="B47" s="132"/>
      <c r="C47" s="132"/>
      <c r="D47" s="132"/>
    </row>
    <row r="48" spans="1:4">
      <c r="A48" s="132"/>
      <c r="B48" s="132"/>
      <c r="C48" s="132"/>
      <c r="D48" s="132"/>
    </row>
    <row r="49" spans="1:4">
      <c r="A49" s="132"/>
      <c r="B49" s="132"/>
      <c r="C49" s="132"/>
      <c r="D49" s="132"/>
    </row>
    <row r="50" spans="1:4">
      <c r="A50" s="132"/>
      <c r="B50" s="132"/>
      <c r="C50" s="132"/>
      <c r="D50" s="132"/>
    </row>
    <row r="51" spans="1:4">
      <c r="A51" s="132"/>
      <c r="B51" s="132"/>
      <c r="C51" s="132"/>
      <c r="D51" s="132"/>
    </row>
    <row r="52" spans="1:4">
      <c r="A52" s="132"/>
      <c r="B52" s="132"/>
      <c r="C52" s="132"/>
      <c r="D52" s="132"/>
    </row>
    <row r="53" spans="1:4">
      <c r="A53" s="132"/>
      <c r="B53" s="132"/>
      <c r="C53" s="132"/>
      <c r="D53" s="132"/>
    </row>
    <row r="54" spans="1:4">
      <c r="A54" s="132"/>
      <c r="B54" s="132"/>
      <c r="C54" s="132"/>
      <c r="D54" s="132"/>
    </row>
    <row r="55" spans="1:4">
      <c r="A55" s="132"/>
      <c r="B55" s="132"/>
      <c r="C55" s="132"/>
      <c r="D55" s="132"/>
    </row>
    <row r="56" spans="1:4">
      <c r="A56" s="132"/>
      <c r="B56" s="132"/>
      <c r="C56" s="132"/>
      <c r="D56" s="132"/>
    </row>
    <row r="57" spans="1:4">
      <c r="A57" s="132"/>
      <c r="B57" s="132"/>
      <c r="C57" s="132"/>
      <c r="D57" s="132"/>
    </row>
    <row r="58" spans="1:4">
      <c r="A58" s="132"/>
      <c r="B58" s="132"/>
      <c r="C58" s="132"/>
      <c r="D58" s="132"/>
    </row>
    <row r="59" spans="1:4">
      <c r="A59" s="132"/>
      <c r="B59" s="132"/>
      <c r="C59" s="132"/>
      <c r="D59" s="132"/>
    </row>
    <row r="60" spans="1:4">
      <c r="A60" s="132"/>
      <c r="B60" s="132"/>
      <c r="C60" s="132"/>
      <c r="D60" s="132"/>
    </row>
    <row r="61" spans="1:4">
      <c r="A61" s="132"/>
      <c r="B61" s="132"/>
      <c r="C61" s="132"/>
      <c r="D61" s="132"/>
    </row>
    <row r="62" spans="1:4">
      <c r="A62" s="132"/>
      <c r="B62" s="132"/>
      <c r="C62" s="132"/>
      <c r="D62" s="132"/>
    </row>
    <row r="63" spans="1:4">
      <c r="A63" s="132"/>
      <c r="B63" s="132"/>
      <c r="C63" s="132"/>
      <c r="D63" s="132"/>
    </row>
    <row r="64" spans="1:4">
      <c r="A64" s="132"/>
      <c r="B64" s="132"/>
      <c r="C64" s="132"/>
      <c r="D64" s="132"/>
    </row>
    <row r="65" spans="1:4">
      <c r="A65" s="132"/>
      <c r="B65" s="132"/>
      <c r="C65" s="132"/>
      <c r="D65" s="132"/>
    </row>
    <row r="66" spans="1:4">
      <c r="A66" s="132"/>
      <c r="B66" s="132"/>
      <c r="C66" s="132"/>
      <c r="D66" s="132"/>
    </row>
    <row r="67" spans="1:4">
      <c r="A67" s="132"/>
      <c r="B67" s="132"/>
      <c r="C67" s="132"/>
      <c r="D67" s="132"/>
    </row>
    <row r="68" spans="1:4">
      <c r="A68" s="132"/>
      <c r="B68" s="132"/>
      <c r="C68" s="132"/>
      <c r="D68" s="132"/>
    </row>
    <row r="69" spans="1:4">
      <c r="A69" s="132"/>
      <c r="B69" s="132"/>
      <c r="C69" s="132"/>
      <c r="D69" s="132"/>
    </row>
    <row r="70" spans="1:4">
      <c r="A70" s="132"/>
      <c r="B70" s="132"/>
      <c r="C70" s="132"/>
      <c r="D70" s="132"/>
    </row>
    <row r="71" spans="1:4">
      <c r="A71" s="132"/>
      <c r="B71" s="132"/>
      <c r="C71" s="132"/>
      <c r="D71" s="132"/>
    </row>
    <row r="72" spans="1:4">
      <c r="A72" s="132"/>
      <c r="B72" s="132"/>
      <c r="C72" s="132"/>
      <c r="D72" s="132"/>
    </row>
    <row r="73" spans="1:4">
      <c r="A73" s="132"/>
      <c r="B73" s="132"/>
      <c r="C73" s="132"/>
      <c r="D73" s="132"/>
    </row>
    <row r="74" spans="1:4">
      <c r="A74" s="132"/>
      <c r="B74" s="132"/>
      <c r="C74" s="132"/>
      <c r="D74" s="132"/>
    </row>
    <row r="75" spans="1:4">
      <c r="A75" s="132"/>
      <c r="B75" s="132"/>
      <c r="C75" s="132"/>
      <c r="D75" s="132"/>
    </row>
    <row r="76" spans="1:4">
      <c r="A76" s="132"/>
      <c r="B76" s="132"/>
      <c r="C76" s="132"/>
      <c r="D76" s="132"/>
    </row>
    <row r="77" spans="1:4">
      <c r="A77" s="132"/>
      <c r="B77" s="132"/>
      <c r="C77" s="132"/>
      <c r="D77" s="132"/>
    </row>
    <row r="78" spans="1:4">
      <c r="A78" s="132"/>
      <c r="B78" s="132"/>
      <c r="C78" s="132"/>
      <c r="D78" s="132"/>
    </row>
    <row r="79" spans="1:4">
      <c r="A79" s="132"/>
      <c r="B79" s="132"/>
      <c r="C79" s="132"/>
      <c r="D79" s="132"/>
    </row>
    <row r="80" spans="1:4">
      <c r="A80" s="132"/>
      <c r="B80" s="132"/>
      <c r="C80" s="132"/>
      <c r="D80" s="132"/>
    </row>
    <row r="81" spans="1:4">
      <c r="A81" s="132"/>
      <c r="B81" s="132"/>
      <c r="C81" s="132"/>
      <c r="D81" s="132"/>
    </row>
    <row r="82" spans="1:4">
      <c r="A82" s="132"/>
      <c r="B82" s="132"/>
      <c r="C82" s="132"/>
      <c r="D82" s="132"/>
    </row>
    <row r="83" spans="1:4">
      <c r="A83" s="132"/>
      <c r="B83" s="132"/>
      <c r="C83" s="132"/>
      <c r="D83" s="132"/>
    </row>
    <row r="84" spans="1:4">
      <c r="A84" s="132"/>
      <c r="B84" s="132"/>
      <c r="C84" s="132"/>
      <c r="D84" s="132"/>
    </row>
    <row r="85" spans="1:4">
      <c r="A85" s="132"/>
      <c r="B85" s="132"/>
      <c r="C85" s="132"/>
      <c r="D85" s="132"/>
    </row>
    <row r="86" spans="1:4">
      <c r="A86" s="132"/>
      <c r="B86" s="132"/>
      <c r="C86" s="132"/>
      <c r="D86" s="132"/>
    </row>
    <row r="87" spans="1:4">
      <c r="A87" s="132"/>
      <c r="B87" s="132"/>
      <c r="C87" s="132"/>
      <c r="D87" s="132"/>
    </row>
    <row r="88" spans="1:4">
      <c r="A88" s="132"/>
      <c r="B88" s="132"/>
      <c r="C88" s="132"/>
      <c r="D88" s="132"/>
    </row>
    <row r="89" spans="1:4">
      <c r="A89" s="132"/>
      <c r="B89" s="132"/>
      <c r="C89" s="132"/>
      <c r="D89" s="132"/>
    </row>
    <row r="90" spans="1:4">
      <c r="A90" s="132"/>
      <c r="B90" s="132"/>
      <c r="C90" s="132"/>
      <c r="D90" s="132"/>
    </row>
    <row r="91" spans="1:4">
      <c r="A91" s="132"/>
      <c r="B91" s="132"/>
      <c r="C91" s="132"/>
      <c r="D91" s="132"/>
    </row>
    <row r="92" spans="1:4">
      <c r="A92" s="132"/>
      <c r="B92" s="132"/>
      <c r="C92" s="132"/>
      <c r="D92" s="132"/>
    </row>
    <row r="93" spans="1:4">
      <c r="A93" s="132"/>
      <c r="B93" s="132"/>
      <c r="C93" s="132"/>
      <c r="D93" s="13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20476-136D-470E-98F2-0ED3BF887E99}">
  <dimension ref="A1:H84"/>
  <sheetViews>
    <sheetView zoomScale="90" zoomScaleNormal="90" workbookViewId="0">
      <selection activeCell="B7" sqref="B7:G7"/>
    </sheetView>
  </sheetViews>
  <sheetFormatPr defaultColWidth="9.109375" defaultRowHeight="13.2"/>
  <cols>
    <col min="1" max="1" width="13.44140625" style="148" bestFit="1" customWidth="1"/>
    <col min="2" max="2" width="10.6640625" style="133" customWidth="1"/>
    <col min="3" max="3" width="13.6640625" style="133" customWidth="1"/>
    <col min="4" max="4" width="10.33203125" style="133" bestFit="1" customWidth="1"/>
    <col min="5" max="5" width="14.5546875" style="133" customWidth="1"/>
    <col min="6" max="6" width="8.44140625" style="133" bestFit="1" customWidth="1"/>
    <col min="7" max="16384" width="9.109375" style="133"/>
  </cols>
  <sheetData>
    <row r="1" spans="1:8" ht="52.8">
      <c r="A1" s="146" t="s">
        <v>154</v>
      </c>
      <c r="B1" s="126" t="s">
        <v>202</v>
      </c>
      <c r="C1" s="126" t="s">
        <v>200</v>
      </c>
      <c r="D1" s="126" t="s">
        <v>197</v>
      </c>
      <c r="E1" s="126" t="s">
        <v>198</v>
      </c>
      <c r="F1" s="126" t="s">
        <v>196</v>
      </c>
      <c r="G1" s="126" t="s">
        <v>208</v>
      </c>
    </row>
    <row r="2" spans="1:8">
      <c r="A2" s="142" t="s">
        <v>115</v>
      </c>
      <c r="B2" s="176">
        <v>5.851</v>
      </c>
      <c r="C2" s="176">
        <v>9.6310000000000002</v>
      </c>
      <c r="D2" s="176">
        <v>43.795999999999999</v>
      </c>
      <c r="E2" s="176">
        <v>20.370999999999999</v>
      </c>
      <c r="F2" s="176">
        <v>43.654000000000003</v>
      </c>
      <c r="G2" s="195">
        <v>15.591999999999999</v>
      </c>
    </row>
    <row r="3" spans="1:8">
      <c r="A3" s="142" t="s">
        <v>116</v>
      </c>
      <c r="B3" s="176">
        <v>5.3419999999999996</v>
      </c>
      <c r="C3" s="176">
        <v>11.134</v>
      </c>
      <c r="D3" s="176">
        <v>43.832000000000001</v>
      </c>
      <c r="E3" s="176">
        <v>20.37</v>
      </c>
      <c r="F3" s="176">
        <v>45.744</v>
      </c>
      <c r="G3" s="195">
        <v>16.745999999999999</v>
      </c>
    </row>
    <row r="4" spans="1:8">
      <c r="A4" s="142" t="s">
        <v>117</v>
      </c>
      <c r="B4" s="176">
        <v>6.0629999999999997</v>
      </c>
      <c r="C4" s="176">
        <v>11.034000000000002</v>
      </c>
      <c r="D4" s="176">
        <v>43.924999999999997</v>
      </c>
      <c r="E4" s="176">
        <v>20.135000000000002</v>
      </c>
      <c r="F4" s="176">
        <v>47.805</v>
      </c>
      <c r="G4" s="195">
        <v>16.918999999999997</v>
      </c>
    </row>
    <row r="5" spans="1:8">
      <c r="A5" s="142" t="s">
        <v>34</v>
      </c>
      <c r="B5" s="176">
        <v>6.6859999999999999</v>
      </c>
      <c r="C5" s="176">
        <v>11.143999999999998</v>
      </c>
      <c r="D5" s="176">
        <v>45.790999999999997</v>
      </c>
      <c r="E5" s="176">
        <v>20.053000000000001</v>
      </c>
      <c r="F5" s="176">
        <v>47.771999999999998</v>
      </c>
      <c r="G5" s="195">
        <v>17.526</v>
      </c>
      <c r="H5" s="182"/>
    </row>
    <row r="6" spans="1:8">
      <c r="A6" s="142" t="s">
        <v>37</v>
      </c>
      <c r="B6" s="176">
        <v>5.2729999999999997</v>
      </c>
      <c r="C6" s="176">
        <v>11.951000000000001</v>
      </c>
      <c r="D6" s="176">
        <v>47.417000000000002</v>
      </c>
      <c r="E6" s="176">
        <v>20.349</v>
      </c>
      <c r="F6" s="176">
        <v>49.423000000000002</v>
      </c>
      <c r="G6" s="195">
        <v>17.757000000000001</v>
      </c>
      <c r="H6" s="182"/>
    </row>
    <row r="7" spans="1:8">
      <c r="A7" s="142" t="s">
        <v>183</v>
      </c>
      <c r="B7" s="176">
        <v>4.95</v>
      </c>
      <c r="C7" s="176">
        <v>12.757000000000001</v>
      </c>
      <c r="D7" s="176">
        <v>47.616999999999997</v>
      </c>
      <c r="E7" s="176">
        <v>21.236000000000001</v>
      </c>
      <c r="F7" s="176">
        <v>50.2</v>
      </c>
      <c r="G7" s="195">
        <v>17.835999999999999</v>
      </c>
      <c r="H7" s="182"/>
    </row>
    <row r="8" spans="1:8">
      <c r="B8" s="147"/>
      <c r="D8" s="147"/>
    </row>
    <row r="9" spans="1:8">
      <c r="B9" s="147"/>
      <c r="C9" s="182"/>
      <c r="D9" s="147"/>
    </row>
    <row r="10" spans="1:8">
      <c r="B10" s="147"/>
      <c r="D10" s="147"/>
    </row>
    <row r="11" spans="1:8">
      <c r="B11" s="134"/>
      <c r="C11" s="182"/>
      <c r="D11" s="147"/>
    </row>
    <row r="12" spans="1:8">
      <c r="B12" s="134"/>
      <c r="C12" s="182"/>
      <c r="D12" s="147"/>
    </row>
    <row r="13" spans="1:8">
      <c r="B13" s="134"/>
      <c r="C13" s="182"/>
      <c r="D13" s="147"/>
    </row>
    <row r="14" spans="1:8">
      <c r="B14" s="134"/>
      <c r="C14" s="182">
        <f t="shared" ref="C14" si="0">SUM(B8:C8)</f>
        <v>0</v>
      </c>
      <c r="D14" s="147"/>
    </row>
    <row r="15" spans="1:8">
      <c r="B15" s="134"/>
      <c r="D15" s="134"/>
    </row>
    <row r="16" spans="1:8">
      <c r="B16" s="134"/>
      <c r="D16" s="134"/>
    </row>
    <row r="17" spans="2:4">
      <c r="B17" s="134"/>
      <c r="D17" s="134"/>
    </row>
    <row r="18" spans="2:4">
      <c r="B18" s="134"/>
      <c r="D18" s="134"/>
    </row>
    <row r="19" spans="2:4">
      <c r="B19" s="134"/>
      <c r="D19" s="134"/>
    </row>
    <row r="20" spans="2:4">
      <c r="B20" s="134"/>
      <c r="D20" s="134"/>
    </row>
    <row r="21" spans="2:4">
      <c r="B21" s="134"/>
      <c r="D21" s="134"/>
    </row>
    <row r="22" spans="2:4">
      <c r="B22" s="134"/>
      <c r="D22" s="134"/>
    </row>
    <row r="23" spans="2:4">
      <c r="B23" s="134"/>
      <c r="D23" s="134"/>
    </row>
    <row r="24" spans="2:4">
      <c r="B24" s="134"/>
      <c r="D24" s="134"/>
    </row>
    <row r="25" spans="2:4">
      <c r="B25" s="134"/>
      <c r="D25" s="134"/>
    </row>
    <row r="26" spans="2:4">
      <c r="B26" s="134"/>
      <c r="D26" s="134"/>
    </row>
    <row r="27" spans="2:4">
      <c r="B27" s="134"/>
      <c r="D27" s="134"/>
    </row>
    <row r="28" spans="2:4">
      <c r="B28" s="134"/>
      <c r="D28" s="134"/>
    </row>
    <row r="29" spans="2:4">
      <c r="B29" s="134"/>
      <c r="D29" s="134"/>
    </row>
    <row r="30" spans="2:4">
      <c r="B30" s="134"/>
      <c r="D30" s="134"/>
    </row>
    <row r="31" spans="2:4">
      <c r="B31" s="134"/>
      <c r="D31" s="134"/>
    </row>
    <row r="32" spans="2:4">
      <c r="B32" s="134"/>
      <c r="D32" s="134"/>
    </row>
    <row r="33" spans="2:4">
      <c r="B33" s="134"/>
      <c r="D33" s="134"/>
    </row>
    <row r="34" spans="2:4">
      <c r="B34" s="134"/>
      <c r="D34" s="134"/>
    </row>
    <row r="35" spans="2:4">
      <c r="B35" s="134"/>
      <c r="D35" s="134"/>
    </row>
    <row r="36" spans="2:4">
      <c r="B36" s="134"/>
      <c r="D36" s="134"/>
    </row>
    <row r="37" spans="2:4">
      <c r="B37" s="134"/>
      <c r="D37" s="134"/>
    </row>
    <row r="38" spans="2:4">
      <c r="B38" s="134"/>
      <c r="D38" s="134"/>
    </row>
    <row r="39" spans="2:4">
      <c r="B39" s="134"/>
      <c r="D39" s="134"/>
    </row>
    <row r="40" spans="2:4">
      <c r="B40" s="134"/>
      <c r="D40" s="134"/>
    </row>
    <row r="41" spans="2:4">
      <c r="B41" s="134"/>
      <c r="D41" s="134"/>
    </row>
    <row r="42" spans="2:4">
      <c r="B42" s="134"/>
      <c r="D42" s="134"/>
    </row>
    <row r="43" spans="2:4">
      <c r="B43" s="134"/>
      <c r="D43" s="134"/>
    </row>
    <row r="44" spans="2:4">
      <c r="B44" s="134"/>
      <c r="D44" s="134"/>
    </row>
    <row r="45" spans="2:4">
      <c r="B45" s="134"/>
      <c r="D45" s="134"/>
    </row>
    <row r="46" spans="2:4">
      <c r="B46" s="134"/>
      <c r="D46" s="134"/>
    </row>
    <row r="47" spans="2:4">
      <c r="B47" s="134"/>
      <c r="D47" s="134"/>
    </row>
    <row r="48" spans="2:4">
      <c r="B48" s="134"/>
      <c r="D48" s="134"/>
    </row>
    <row r="49" spans="2:4">
      <c r="B49" s="134"/>
      <c r="D49" s="134"/>
    </row>
    <row r="50" spans="2:4">
      <c r="B50" s="134"/>
      <c r="D50" s="134"/>
    </row>
    <row r="51" spans="2:4">
      <c r="B51" s="134"/>
      <c r="D51" s="134"/>
    </row>
    <row r="52" spans="2:4">
      <c r="B52" s="134"/>
      <c r="D52" s="134"/>
    </row>
    <row r="53" spans="2:4">
      <c r="B53" s="134"/>
      <c r="D53" s="134"/>
    </row>
    <row r="54" spans="2:4">
      <c r="B54" s="134"/>
      <c r="D54" s="134"/>
    </row>
    <row r="55" spans="2:4">
      <c r="B55" s="134"/>
      <c r="D55" s="134"/>
    </row>
    <row r="56" spans="2:4">
      <c r="B56" s="134"/>
      <c r="D56" s="134"/>
    </row>
    <row r="57" spans="2:4">
      <c r="B57" s="134"/>
      <c r="D57" s="134"/>
    </row>
    <row r="58" spans="2:4">
      <c r="B58" s="134"/>
      <c r="D58" s="134"/>
    </row>
    <row r="59" spans="2:4">
      <c r="B59" s="134"/>
      <c r="D59" s="134"/>
    </row>
    <row r="60" spans="2:4">
      <c r="B60" s="134"/>
      <c r="D60" s="134"/>
    </row>
    <row r="61" spans="2:4">
      <c r="B61" s="134"/>
      <c r="D61" s="134"/>
    </row>
    <row r="62" spans="2:4">
      <c r="B62" s="134"/>
      <c r="D62" s="134"/>
    </row>
    <row r="63" spans="2:4">
      <c r="B63" s="134"/>
      <c r="D63" s="134"/>
    </row>
    <row r="64" spans="2:4">
      <c r="B64" s="134"/>
      <c r="D64" s="134"/>
    </row>
    <row r="65" spans="2:4">
      <c r="B65" s="134"/>
      <c r="D65" s="134"/>
    </row>
    <row r="66" spans="2:4">
      <c r="B66" s="134"/>
      <c r="D66" s="134"/>
    </row>
    <row r="67" spans="2:4">
      <c r="B67" s="134"/>
      <c r="D67" s="134"/>
    </row>
    <row r="68" spans="2:4">
      <c r="B68" s="134"/>
      <c r="D68" s="134"/>
    </row>
    <row r="69" spans="2:4">
      <c r="B69" s="134"/>
      <c r="D69" s="134"/>
    </row>
    <row r="70" spans="2:4">
      <c r="B70" s="134"/>
      <c r="D70" s="134"/>
    </row>
    <row r="71" spans="2:4">
      <c r="B71" s="134"/>
      <c r="D71" s="134"/>
    </row>
    <row r="72" spans="2:4">
      <c r="B72" s="134"/>
      <c r="D72" s="134"/>
    </row>
    <row r="73" spans="2:4">
      <c r="B73" s="134"/>
      <c r="D73" s="134"/>
    </row>
    <row r="74" spans="2:4">
      <c r="B74" s="134"/>
      <c r="D74" s="134"/>
    </row>
    <row r="75" spans="2:4">
      <c r="B75" s="134"/>
      <c r="D75" s="134"/>
    </row>
    <row r="76" spans="2:4">
      <c r="B76" s="134"/>
      <c r="D76" s="134"/>
    </row>
    <row r="77" spans="2:4">
      <c r="B77" s="134"/>
      <c r="D77" s="134"/>
    </row>
    <row r="78" spans="2:4">
      <c r="B78" s="134"/>
      <c r="D78" s="134"/>
    </row>
    <row r="79" spans="2:4">
      <c r="B79" s="134"/>
      <c r="D79" s="134"/>
    </row>
    <row r="80" spans="2:4">
      <c r="B80" s="134"/>
      <c r="D80" s="134"/>
    </row>
    <row r="81" spans="2:4">
      <c r="B81" s="134"/>
      <c r="D81" s="134"/>
    </row>
    <row r="82" spans="2:4">
      <c r="B82" s="134"/>
      <c r="D82" s="134"/>
    </row>
    <row r="83" spans="2:4">
      <c r="B83" s="134"/>
      <c r="D83" s="134"/>
    </row>
    <row r="84" spans="2:4">
      <c r="B84" s="134"/>
      <c r="D84" s="13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60C2E-D5D7-423E-8A2C-B8CE2FAFD3AB}">
  <sheetPr codeName="Sheet13"/>
  <dimension ref="A1:C94"/>
  <sheetViews>
    <sheetView zoomScale="90" zoomScaleNormal="90" workbookViewId="0">
      <selection activeCell="C24" sqref="C24"/>
    </sheetView>
  </sheetViews>
  <sheetFormatPr defaultColWidth="9.109375" defaultRowHeight="13.2"/>
  <cols>
    <col min="1" max="1" width="15.44140625" bestFit="1" customWidth="1"/>
    <col min="2" max="2" width="12.33203125" customWidth="1"/>
    <col min="3" max="3" width="8.6640625" bestFit="1" customWidth="1"/>
  </cols>
  <sheetData>
    <row r="1" spans="1:3">
      <c r="A1" s="144" t="s">
        <v>184</v>
      </c>
      <c r="B1" s="141" t="s">
        <v>185</v>
      </c>
      <c r="C1" s="141" t="s">
        <v>186</v>
      </c>
    </row>
    <row r="2" spans="1:3">
      <c r="A2" s="143" t="s">
        <v>187</v>
      </c>
      <c r="B2" s="176">
        <v>1.5703012249999999</v>
      </c>
      <c r="C2" s="176">
        <v>0.61176856400000001</v>
      </c>
    </row>
    <row r="3" spans="1:3">
      <c r="A3" s="132" t="s">
        <v>188</v>
      </c>
      <c r="B3" s="176">
        <v>1.5214100279999998</v>
      </c>
      <c r="C3" s="176">
        <v>0.57257460800000004</v>
      </c>
    </row>
    <row r="4" spans="1:3">
      <c r="A4" s="139" t="s">
        <v>189</v>
      </c>
      <c r="B4" s="176">
        <v>0.97720815800000005</v>
      </c>
      <c r="C4" s="176">
        <v>0.26101370699999998</v>
      </c>
    </row>
    <row r="5" spans="1:3">
      <c r="A5" s="132" t="s">
        <v>163</v>
      </c>
      <c r="B5" s="176">
        <v>0.79873936800000078</v>
      </c>
      <c r="C5" s="176">
        <v>0.255086865</v>
      </c>
    </row>
    <row r="6" spans="1:3">
      <c r="A6" s="132" t="s">
        <v>190</v>
      </c>
      <c r="B6" s="176">
        <v>0.29762824599999999</v>
      </c>
      <c r="C6" s="176">
        <v>3.15E-2</v>
      </c>
    </row>
    <row r="7" spans="1:3">
      <c r="A7" s="132" t="s">
        <v>191</v>
      </c>
      <c r="B7" s="176">
        <v>8.1294738000000005E-2</v>
      </c>
      <c r="C7" s="176">
        <v>3.0290652000000001E-2</v>
      </c>
    </row>
    <row r="9" spans="1:3">
      <c r="A9" s="132"/>
      <c r="B9" s="153"/>
      <c r="C9" s="153"/>
    </row>
    <row r="10" spans="1:3">
      <c r="A10" s="142"/>
      <c r="B10" s="153"/>
      <c r="C10" s="153"/>
    </row>
    <row r="11" spans="1:3">
      <c r="A11" s="132"/>
      <c r="B11" s="153"/>
      <c r="C11" s="153"/>
    </row>
    <row r="12" spans="1:3">
      <c r="A12" s="140"/>
      <c r="B12" s="153"/>
      <c r="C12" s="153"/>
    </row>
    <row r="13" spans="1:3">
      <c r="A13" s="140"/>
      <c r="B13" s="153"/>
      <c r="C13" s="153"/>
    </row>
    <row r="14" spans="1:3">
      <c r="A14" s="142"/>
      <c r="B14" s="153"/>
      <c r="C14" s="153"/>
    </row>
    <row r="15" spans="1:3">
      <c r="A15" s="142"/>
      <c r="B15" s="153"/>
      <c r="C15" s="153"/>
    </row>
    <row r="16" spans="1:3">
      <c r="A16" s="140"/>
      <c r="B16" s="145"/>
      <c r="C16" s="145"/>
    </row>
    <row r="17" spans="1:3">
      <c r="A17" s="140"/>
      <c r="B17" s="145"/>
      <c r="C17" s="145"/>
    </row>
    <row r="18" spans="1:3">
      <c r="A18" s="140"/>
      <c r="B18" s="145"/>
      <c r="C18" s="145"/>
    </row>
    <row r="19" spans="1:3">
      <c r="A19" s="132"/>
      <c r="B19" s="145"/>
      <c r="C19" s="145"/>
    </row>
    <row r="20" spans="1:3">
      <c r="A20" s="132"/>
      <c r="B20" s="145"/>
      <c r="C20" s="145"/>
    </row>
    <row r="21" spans="1:3">
      <c r="A21" s="132"/>
      <c r="B21" s="132"/>
      <c r="C21" s="132"/>
    </row>
    <row r="22" spans="1:3">
      <c r="A22" s="132"/>
      <c r="B22" s="132"/>
      <c r="C22" s="132"/>
    </row>
    <row r="23" spans="1:3">
      <c r="A23" s="132"/>
      <c r="B23" s="132"/>
      <c r="C23" s="132"/>
    </row>
    <row r="24" spans="1:3">
      <c r="A24" s="132"/>
      <c r="B24" s="132"/>
      <c r="C24" s="132"/>
    </row>
    <row r="25" spans="1:3">
      <c r="A25" s="132"/>
      <c r="B25" s="132"/>
      <c r="C25" s="132"/>
    </row>
    <row r="26" spans="1:3">
      <c r="A26" s="132"/>
      <c r="B26" s="132"/>
      <c r="C26" s="132"/>
    </row>
    <row r="27" spans="1:3">
      <c r="A27" s="132"/>
      <c r="B27" s="132"/>
      <c r="C27" s="132"/>
    </row>
    <row r="28" spans="1:3">
      <c r="A28" s="132"/>
      <c r="B28" s="132"/>
      <c r="C28" s="132"/>
    </row>
    <row r="29" spans="1:3">
      <c r="A29" s="132"/>
      <c r="B29" s="132"/>
      <c r="C29" s="132"/>
    </row>
    <row r="30" spans="1:3">
      <c r="A30" s="132"/>
      <c r="B30" s="132"/>
      <c r="C30" s="132"/>
    </row>
    <row r="31" spans="1:3">
      <c r="A31" s="132"/>
      <c r="B31" s="132"/>
      <c r="C31" s="132"/>
    </row>
    <row r="32" spans="1:3">
      <c r="A32" s="132"/>
      <c r="B32" s="132"/>
      <c r="C32" s="132"/>
    </row>
    <row r="33" spans="1:3">
      <c r="A33" s="132"/>
      <c r="B33" s="132"/>
      <c r="C33" s="132"/>
    </row>
    <row r="34" spans="1:3">
      <c r="A34" s="132"/>
      <c r="B34" s="132"/>
      <c r="C34" s="132"/>
    </row>
    <row r="35" spans="1:3">
      <c r="A35" s="132"/>
      <c r="B35" s="132"/>
      <c r="C35" s="132"/>
    </row>
    <row r="36" spans="1:3">
      <c r="A36" s="132"/>
      <c r="B36" s="132"/>
      <c r="C36" s="132"/>
    </row>
    <row r="37" spans="1:3">
      <c r="A37" s="132"/>
      <c r="B37" s="132"/>
      <c r="C37" s="132"/>
    </row>
    <row r="38" spans="1:3">
      <c r="A38" s="132"/>
      <c r="B38" s="132"/>
      <c r="C38" s="132"/>
    </row>
    <row r="39" spans="1:3">
      <c r="A39" s="132"/>
      <c r="B39" s="132"/>
      <c r="C39" s="132"/>
    </row>
    <row r="40" spans="1:3">
      <c r="A40" s="132"/>
      <c r="B40" s="132"/>
      <c r="C40" s="132"/>
    </row>
    <row r="41" spans="1:3">
      <c r="A41" s="132"/>
      <c r="B41" s="132"/>
      <c r="C41" s="132"/>
    </row>
    <row r="42" spans="1:3">
      <c r="A42" s="132"/>
      <c r="B42" s="132"/>
      <c r="C42" s="132"/>
    </row>
    <row r="43" spans="1:3">
      <c r="A43" s="132"/>
      <c r="B43" s="132"/>
      <c r="C43" s="132"/>
    </row>
    <row r="44" spans="1:3">
      <c r="A44" s="132"/>
      <c r="B44" s="132"/>
      <c r="C44" s="132"/>
    </row>
    <row r="45" spans="1:3">
      <c r="A45" s="132"/>
      <c r="B45" s="132"/>
      <c r="C45" s="132"/>
    </row>
    <row r="46" spans="1:3">
      <c r="A46" s="132"/>
      <c r="B46" s="132"/>
      <c r="C46" s="132"/>
    </row>
    <row r="47" spans="1:3">
      <c r="A47" s="132"/>
      <c r="B47" s="132"/>
      <c r="C47" s="132"/>
    </row>
    <row r="48" spans="1:3">
      <c r="A48" s="132"/>
      <c r="B48" s="132"/>
      <c r="C48" s="132"/>
    </row>
    <row r="49" spans="1:3">
      <c r="A49" s="132"/>
      <c r="B49" s="132"/>
      <c r="C49" s="132"/>
    </row>
    <row r="50" spans="1:3">
      <c r="A50" s="132"/>
      <c r="B50" s="132"/>
      <c r="C50" s="132"/>
    </row>
    <row r="51" spans="1:3">
      <c r="A51" s="132"/>
      <c r="B51" s="132"/>
      <c r="C51" s="132"/>
    </row>
    <row r="52" spans="1:3">
      <c r="A52" s="132"/>
      <c r="B52" s="132"/>
      <c r="C52" s="132"/>
    </row>
    <row r="53" spans="1:3">
      <c r="A53" s="132"/>
      <c r="B53" s="132"/>
      <c r="C53" s="132"/>
    </row>
    <row r="54" spans="1:3">
      <c r="A54" s="132"/>
      <c r="B54" s="132"/>
      <c r="C54" s="132"/>
    </row>
    <row r="55" spans="1:3">
      <c r="A55" s="132"/>
      <c r="B55" s="132"/>
      <c r="C55" s="132"/>
    </row>
    <row r="56" spans="1:3">
      <c r="A56" s="132"/>
      <c r="B56" s="132"/>
      <c r="C56" s="132"/>
    </row>
    <row r="57" spans="1:3">
      <c r="A57" s="132"/>
      <c r="B57" s="132"/>
      <c r="C57" s="132"/>
    </row>
    <row r="58" spans="1:3">
      <c r="A58" s="132"/>
      <c r="B58" s="132"/>
      <c r="C58" s="132"/>
    </row>
    <row r="59" spans="1:3">
      <c r="A59" s="132"/>
      <c r="B59" s="132"/>
      <c r="C59" s="132"/>
    </row>
    <row r="60" spans="1:3">
      <c r="A60" s="132"/>
      <c r="B60" s="132"/>
      <c r="C60" s="132"/>
    </row>
    <row r="61" spans="1:3">
      <c r="A61" s="132"/>
      <c r="B61" s="132"/>
      <c r="C61" s="132"/>
    </row>
    <row r="62" spans="1:3">
      <c r="A62" s="132"/>
      <c r="B62" s="132"/>
      <c r="C62" s="132"/>
    </row>
    <row r="63" spans="1:3">
      <c r="A63" s="132"/>
      <c r="B63" s="132"/>
      <c r="C63" s="132"/>
    </row>
    <row r="64" spans="1:3">
      <c r="A64" s="132"/>
      <c r="B64" s="132"/>
      <c r="C64" s="132"/>
    </row>
    <row r="65" spans="1:3">
      <c r="A65" s="132"/>
      <c r="B65" s="132"/>
      <c r="C65" s="132"/>
    </row>
    <row r="66" spans="1:3">
      <c r="A66" s="132"/>
      <c r="B66" s="132"/>
      <c r="C66" s="132"/>
    </row>
    <row r="67" spans="1:3">
      <c r="A67" s="132"/>
      <c r="B67" s="132"/>
      <c r="C67" s="132"/>
    </row>
    <row r="68" spans="1:3">
      <c r="A68" s="132"/>
      <c r="B68" s="132"/>
      <c r="C68" s="132"/>
    </row>
    <row r="69" spans="1:3">
      <c r="A69" s="132"/>
      <c r="B69" s="132"/>
      <c r="C69" s="132"/>
    </row>
    <row r="70" spans="1:3">
      <c r="A70" s="132"/>
      <c r="B70" s="132"/>
      <c r="C70" s="132"/>
    </row>
    <row r="71" spans="1:3">
      <c r="A71" s="132"/>
      <c r="B71" s="132"/>
      <c r="C71" s="132"/>
    </row>
    <row r="72" spans="1:3">
      <c r="A72" s="132"/>
      <c r="B72" s="132"/>
      <c r="C72" s="132"/>
    </row>
    <row r="73" spans="1:3">
      <c r="A73" s="132"/>
      <c r="B73" s="132"/>
      <c r="C73" s="132"/>
    </row>
    <row r="74" spans="1:3">
      <c r="A74" s="132"/>
      <c r="B74" s="132"/>
      <c r="C74" s="132"/>
    </row>
    <row r="75" spans="1:3">
      <c r="A75" s="132"/>
      <c r="B75" s="132"/>
      <c r="C75" s="132"/>
    </row>
    <row r="76" spans="1:3">
      <c r="A76" s="132"/>
      <c r="B76" s="132"/>
      <c r="C76" s="132"/>
    </row>
    <row r="77" spans="1:3">
      <c r="A77" s="132"/>
      <c r="B77" s="132"/>
      <c r="C77" s="132"/>
    </row>
    <row r="78" spans="1:3">
      <c r="A78" s="132"/>
      <c r="B78" s="132"/>
      <c r="C78" s="132"/>
    </row>
    <row r="79" spans="1:3">
      <c r="A79" s="132"/>
      <c r="B79" s="132"/>
      <c r="C79" s="132"/>
    </row>
    <row r="80" spans="1:3">
      <c r="A80" s="132"/>
      <c r="B80" s="132"/>
      <c r="C80" s="132"/>
    </row>
    <row r="81" spans="1:3">
      <c r="A81" s="132"/>
      <c r="B81" s="132"/>
      <c r="C81" s="132"/>
    </row>
    <row r="82" spans="1:3">
      <c r="A82" s="132"/>
      <c r="B82" s="132"/>
      <c r="C82" s="132"/>
    </row>
    <row r="83" spans="1:3">
      <c r="A83" s="132"/>
      <c r="B83" s="132"/>
      <c r="C83" s="132"/>
    </row>
    <row r="84" spans="1:3">
      <c r="A84" s="132"/>
      <c r="B84" s="132"/>
      <c r="C84" s="132"/>
    </row>
    <row r="85" spans="1:3">
      <c r="A85" s="132"/>
      <c r="B85" s="132"/>
      <c r="C85" s="132"/>
    </row>
    <row r="86" spans="1:3">
      <c r="A86" s="132"/>
      <c r="B86" s="132"/>
      <c r="C86" s="132"/>
    </row>
    <row r="87" spans="1:3">
      <c r="A87" s="132"/>
      <c r="B87" s="132"/>
      <c r="C87" s="132"/>
    </row>
    <row r="88" spans="1:3">
      <c r="A88" s="132"/>
      <c r="B88" s="132"/>
      <c r="C88" s="132"/>
    </row>
    <row r="89" spans="1:3">
      <c r="A89" s="132"/>
      <c r="B89" s="132"/>
      <c r="C89" s="132"/>
    </row>
    <row r="90" spans="1:3">
      <c r="A90" s="132"/>
      <c r="B90" s="132"/>
      <c r="C90" s="132"/>
    </row>
    <row r="91" spans="1:3">
      <c r="A91" s="132"/>
      <c r="B91" s="132"/>
      <c r="C91" s="132"/>
    </row>
    <row r="92" spans="1:3">
      <c r="A92" s="132"/>
      <c r="B92" s="132"/>
      <c r="C92" s="132"/>
    </row>
    <row r="93" spans="1:3">
      <c r="A93" s="132"/>
      <c r="B93" s="132"/>
      <c r="C93" s="132"/>
    </row>
    <row r="94" spans="1:3">
      <c r="A94" s="132"/>
      <c r="B94" s="132"/>
      <c r="C94" s="13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B850-162C-41E2-816C-450C4A710684}">
  <sheetPr codeName="Sheet14"/>
  <dimension ref="A1:I84"/>
  <sheetViews>
    <sheetView zoomScale="90" zoomScaleNormal="90" workbookViewId="0">
      <selection activeCell="C15" sqref="C15"/>
    </sheetView>
  </sheetViews>
  <sheetFormatPr defaultColWidth="9.109375" defaultRowHeight="13.2"/>
  <cols>
    <col min="1" max="1" width="13.44140625" style="148" bestFit="1" customWidth="1"/>
    <col min="2" max="2" width="11" style="133" customWidth="1"/>
    <col min="3" max="3" width="9" style="133" bestFit="1" customWidth="1"/>
    <col min="4" max="4" width="10.33203125" style="133" bestFit="1" customWidth="1"/>
    <col min="5" max="5" width="14.5546875" style="133" customWidth="1"/>
    <col min="6" max="6" width="8.44140625" style="133" bestFit="1" customWidth="1"/>
    <col min="7" max="16384" width="9.109375" style="133"/>
  </cols>
  <sheetData>
    <row r="1" spans="1:9" ht="39.6">
      <c r="A1" s="146" t="s">
        <v>205</v>
      </c>
      <c r="B1" s="126" t="s">
        <v>203</v>
      </c>
      <c r="C1" s="126" t="s">
        <v>197</v>
      </c>
      <c r="D1" s="126" t="s">
        <v>198</v>
      </c>
      <c r="E1" s="126" t="s">
        <v>196</v>
      </c>
      <c r="F1" s="126" t="s">
        <v>207</v>
      </c>
    </row>
    <row r="2" spans="1:9">
      <c r="A2" s="142" t="s">
        <v>192</v>
      </c>
      <c r="B2" s="154">
        <v>2.5110000000000001</v>
      </c>
      <c r="C2" s="154">
        <v>4.0949999999999998</v>
      </c>
      <c r="D2" s="154">
        <v>4.2169999999999996</v>
      </c>
      <c r="E2" s="154">
        <v>10.167</v>
      </c>
      <c r="F2" s="154">
        <v>1.97</v>
      </c>
      <c r="G2" s="187"/>
    </row>
    <row r="3" spans="1:9">
      <c r="A3" s="142" t="s">
        <v>193</v>
      </c>
      <c r="B3" s="154">
        <v>2.5489999999999999</v>
      </c>
      <c r="C3" s="154">
        <v>4.26</v>
      </c>
      <c r="D3" s="154">
        <v>3.3769999999999998</v>
      </c>
      <c r="E3" s="154">
        <v>12.663</v>
      </c>
      <c r="F3" s="154">
        <v>3.0169999999999999</v>
      </c>
      <c r="G3" s="187"/>
    </row>
    <row r="4" spans="1:9">
      <c r="A4" s="142" t="s">
        <v>194</v>
      </c>
      <c r="B4" s="154">
        <v>2.2480000000000002</v>
      </c>
      <c r="C4" s="154">
        <v>4.6639999999999997</v>
      </c>
      <c r="D4" s="154">
        <v>2.8660000000000001</v>
      </c>
      <c r="E4" s="154">
        <v>14.537000000000001</v>
      </c>
      <c r="F4" s="154">
        <v>2.9260000000000002</v>
      </c>
      <c r="G4" s="187"/>
    </row>
    <row r="5" spans="1:9">
      <c r="A5" s="142" t="s">
        <v>195</v>
      </c>
      <c r="B5" s="154">
        <v>2.7610000000000001</v>
      </c>
      <c r="C5" s="154">
        <v>5.2380000000000004</v>
      </c>
      <c r="D5" s="154">
        <v>2.738</v>
      </c>
      <c r="E5" s="154">
        <v>14.788</v>
      </c>
      <c r="F5" s="154">
        <v>2.9049999999999998</v>
      </c>
      <c r="G5" s="187"/>
    </row>
    <row r="6" spans="1:9">
      <c r="A6" s="142" t="s">
        <v>185</v>
      </c>
      <c r="B6" s="154">
        <v>1.919</v>
      </c>
      <c r="C6" s="154">
        <v>4.8419999999999996</v>
      </c>
      <c r="D6" s="154">
        <v>3.4220000000000002</v>
      </c>
      <c r="E6" s="154">
        <v>13.933</v>
      </c>
      <c r="F6" s="154">
        <v>2.552</v>
      </c>
      <c r="G6" s="187"/>
      <c r="H6" s="154"/>
      <c r="I6" s="182"/>
    </row>
    <row r="7" spans="1:9">
      <c r="A7" s="142" t="s">
        <v>156</v>
      </c>
      <c r="B7" s="154">
        <v>2.359</v>
      </c>
      <c r="C7" s="154">
        <v>3.9550000000000001</v>
      </c>
      <c r="D7" s="154">
        <v>2.5870000000000002</v>
      </c>
      <c r="E7" s="154">
        <v>14.590999999999999</v>
      </c>
      <c r="F7" s="154">
        <v>2.5750000000000002</v>
      </c>
      <c r="G7" s="187"/>
    </row>
    <row r="8" spans="1:9">
      <c r="B8" s="147"/>
      <c r="D8" s="147"/>
      <c r="F8" s="154"/>
    </row>
    <row r="9" spans="1:9">
      <c r="B9" s="147"/>
      <c r="D9" s="147"/>
      <c r="F9" s="182"/>
    </row>
    <row r="10" spans="1:9">
      <c r="B10" s="147"/>
      <c r="D10" s="147"/>
    </row>
    <row r="11" spans="1:9">
      <c r="B11" s="134"/>
      <c r="D11" s="134"/>
    </row>
    <row r="12" spans="1:9">
      <c r="B12" s="134"/>
      <c r="D12" s="134"/>
    </row>
    <row r="13" spans="1:9">
      <c r="B13" s="134"/>
      <c r="D13" s="134"/>
    </row>
    <row r="14" spans="1:9">
      <c r="B14" s="134"/>
      <c r="D14" s="134"/>
    </row>
    <row r="15" spans="1:9">
      <c r="B15" s="134"/>
      <c r="D15" s="134"/>
    </row>
    <row r="16" spans="1:9">
      <c r="B16" s="134"/>
      <c r="D16" s="134"/>
    </row>
    <row r="17" spans="2:4">
      <c r="B17" s="134"/>
      <c r="D17" s="134"/>
    </row>
    <row r="18" spans="2:4">
      <c r="B18" s="134"/>
      <c r="D18" s="134"/>
    </row>
    <row r="19" spans="2:4">
      <c r="B19" s="134"/>
      <c r="D19" s="134"/>
    </row>
    <row r="20" spans="2:4">
      <c r="B20" s="134"/>
      <c r="D20" s="134"/>
    </row>
    <row r="21" spans="2:4">
      <c r="B21" s="134"/>
      <c r="D21" s="134"/>
    </row>
    <row r="22" spans="2:4">
      <c r="B22" s="134"/>
      <c r="D22" s="134"/>
    </row>
    <row r="23" spans="2:4">
      <c r="B23" s="134"/>
      <c r="D23" s="134"/>
    </row>
    <row r="24" spans="2:4">
      <c r="B24" s="134"/>
      <c r="D24" s="134"/>
    </row>
    <row r="25" spans="2:4">
      <c r="B25" s="134"/>
      <c r="D25" s="134"/>
    </row>
    <row r="26" spans="2:4">
      <c r="B26" s="134"/>
      <c r="D26" s="134"/>
    </row>
    <row r="27" spans="2:4">
      <c r="B27" s="134"/>
      <c r="D27" s="134"/>
    </row>
    <row r="28" spans="2:4">
      <c r="B28" s="134"/>
      <c r="D28" s="134"/>
    </row>
    <row r="29" spans="2:4">
      <c r="B29" s="134"/>
      <c r="D29" s="134"/>
    </row>
    <row r="30" spans="2:4">
      <c r="B30" s="134"/>
      <c r="D30" s="134"/>
    </row>
    <row r="31" spans="2:4">
      <c r="B31" s="134"/>
      <c r="D31" s="134"/>
    </row>
    <row r="32" spans="2:4">
      <c r="B32" s="134"/>
      <c r="D32" s="134"/>
    </row>
    <row r="33" spans="2:4">
      <c r="B33" s="134"/>
      <c r="D33" s="134"/>
    </row>
    <row r="34" spans="2:4">
      <c r="B34" s="134"/>
      <c r="D34" s="134"/>
    </row>
    <row r="35" spans="2:4">
      <c r="B35" s="134"/>
      <c r="D35" s="134"/>
    </row>
    <row r="36" spans="2:4">
      <c r="B36" s="134"/>
      <c r="D36" s="134"/>
    </row>
    <row r="37" spans="2:4">
      <c r="B37" s="134"/>
      <c r="D37" s="134"/>
    </row>
    <row r="38" spans="2:4">
      <c r="B38" s="134"/>
      <c r="D38" s="134"/>
    </row>
    <row r="39" spans="2:4">
      <c r="B39" s="134"/>
      <c r="D39" s="134"/>
    </row>
    <row r="40" spans="2:4">
      <c r="B40" s="134"/>
      <c r="D40" s="134"/>
    </row>
    <row r="41" spans="2:4">
      <c r="B41" s="134"/>
      <c r="D41" s="134"/>
    </row>
    <row r="42" spans="2:4">
      <c r="B42" s="134"/>
      <c r="D42" s="134"/>
    </row>
    <row r="43" spans="2:4">
      <c r="B43" s="134"/>
      <c r="D43" s="134"/>
    </row>
    <row r="44" spans="2:4">
      <c r="B44" s="134"/>
      <c r="D44" s="134"/>
    </row>
    <row r="45" spans="2:4">
      <c r="B45" s="134"/>
      <c r="D45" s="134"/>
    </row>
    <row r="46" spans="2:4">
      <c r="B46" s="134"/>
      <c r="D46" s="134"/>
    </row>
    <row r="47" spans="2:4">
      <c r="B47" s="134"/>
      <c r="D47" s="134"/>
    </row>
    <row r="48" spans="2:4">
      <c r="B48" s="134"/>
      <c r="D48" s="134"/>
    </row>
    <row r="49" spans="2:4">
      <c r="B49" s="134"/>
      <c r="D49" s="134"/>
    </row>
    <row r="50" spans="2:4">
      <c r="B50" s="134"/>
      <c r="D50" s="134"/>
    </row>
    <row r="51" spans="2:4">
      <c r="B51" s="134"/>
      <c r="D51" s="134"/>
    </row>
    <row r="52" spans="2:4">
      <c r="B52" s="134"/>
      <c r="D52" s="134"/>
    </row>
    <row r="53" spans="2:4">
      <c r="B53" s="134"/>
      <c r="D53" s="134"/>
    </row>
    <row r="54" spans="2:4">
      <c r="B54" s="134"/>
      <c r="D54" s="134"/>
    </row>
    <row r="55" spans="2:4">
      <c r="B55" s="134"/>
      <c r="D55" s="134"/>
    </row>
    <row r="56" spans="2:4">
      <c r="B56" s="134"/>
      <c r="D56" s="134"/>
    </row>
    <row r="57" spans="2:4">
      <c r="B57" s="134"/>
      <c r="D57" s="134"/>
    </row>
    <row r="58" spans="2:4">
      <c r="B58" s="134"/>
      <c r="D58" s="134"/>
    </row>
    <row r="59" spans="2:4">
      <c r="B59" s="134"/>
      <c r="D59" s="134"/>
    </row>
    <row r="60" spans="2:4">
      <c r="B60" s="134"/>
      <c r="D60" s="134"/>
    </row>
    <row r="61" spans="2:4">
      <c r="B61" s="134"/>
      <c r="D61" s="134"/>
    </row>
    <row r="62" spans="2:4">
      <c r="B62" s="134"/>
      <c r="D62" s="134"/>
    </row>
    <row r="63" spans="2:4">
      <c r="B63" s="134"/>
      <c r="D63" s="134"/>
    </row>
    <row r="64" spans="2:4">
      <c r="B64" s="134"/>
      <c r="D64" s="134"/>
    </row>
    <row r="65" spans="2:4">
      <c r="B65" s="134"/>
      <c r="D65" s="134"/>
    </row>
    <row r="66" spans="2:4">
      <c r="B66" s="134"/>
      <c r="D66" s="134"/>
    </row>
    <row r="67" spans="2:4">
      <c r="B67" s="134"/>
      <c r="D67" s="134"/>
    </row>
    <row r="68" spans="2:4">
      <c r="B68" s="134"/>
      <c r="D68" s="134"/>
    </row>
    <row r="69" spans="2:4">
      <c r="B69" s="134"/>
      <c r="D69" s="134"/>
    </row>
    <row r="70" spans="2:4">
      <c r="B70" s="134"/>
      <c r="D70" s="134"/>
    </row>
    <row r="71" spans="2:4">
      <c r="B71" s="134"/>
      <c r="D71" s="134"/>
    </row>
    <row r="72" spans="2:4">
      <c r="B72" s="134"/>
      <c r="D72" s="134"/>
    </row>
    <row r="73" spans="2:4">
      <c r="B73" s="134"/>
      <c r="D73" s="134"/>
    </row>
    <row r="74" spans="2:4">
      <c r="B74" s="134"/>
      <c r="D74" s="134"/>
    </row>
    <row r="75" spans="2:4">
      <c r="B75" s="134"/>
      <c r="D75" s="134"/>
    </row>
    <row r="76" spans="2:4">
      <c r="B76" s="134"/>
      <c r="D76" s="134"/>
    </row>
    <row r="77" spans="2:4">
      <c r="B77" s="134"/>
      <c r="D77" s="134"/>
    </row>
    <row r="78" spans="2:4">
      <c r="B78" s="134"/>
      <c r="D78" s="134"/>
    </row>
    <row r="79" spans="2:4">
      <c r="B79" s="134"/>
      <c r="D79" s="134"/>
    </row>
    <row r="80" spans="2:4">
      <c r="B80" s="134"/>
      <c r="D80" s="134"/>
    </row>
    <row r="81" spans="2:4">
      <c r="B81" s="134"/>
      <c r="D81" s="134"/>
    </row>
    <row r="82" spans="2:4">
      <c r="B82" s="134"/>
      <c r="D82" s="134"/>
    </row>
    <row r="83" spans="2:4">
      <c r="B83" s="134"/>
      <c r="D83" s="134"/>
    </row>
    <row r="84" spans="2:4">
      <c r="B84" s="134"/>
      <c r="D84" s="13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8"/>
  <sheetViews>
    <sheetView showGridLines="0" zoomScale="70" zoomScaleNormal="70" workbookViewId="0"/>
  </sheetViews>
  <sheetFormatPr defaultColWidth="9.109375" defaultRowHeight="13.2"/>
  <cols>
    <col min="1" max="1" width="21.6640625" style="18" customWidth="1"/>
    <col min="2" max="2" width="14.109375" style="18" bestFit="1" customWidth="1"/>
    <col min="3" max="3" width="9.5546875" style="18" customWidth="1"/>
    <col min="4" max="4" width="26.6640625" style="18" customWidth="1"/>
    <col min="5" max="5" width="9.6640625" style="18" customWidth="1"/>
    <col min="6" max="6" width="10.6640625" style="18" customWidth="1"/>
    <col min="7" max="7" width="8.6640625" style="18" bestFit="1" customWidth="1"/>
    <col min="8" max="8" width="9.6640625" style="18" customWidth="1"/>
    <col min="9" max="9" width="1.6640625" style="18" customWidth="1"/>
    <col min="10" max="10" width="9.6640625" style="18" customWidth="1"/>
    <col min="11" max="12" width="10.6640625" style="18" customWidth="1"/>
    <col min="13" max="13" width="10.33203125" style="18" customWidth="1"/>
    <col min="14" max="14" width="9.6640625" style="18" customWidth="1"/>
    <col min="15" max="16" width="9.109375" style="18"/>
    <col min="17" max="17" width="15.44140625" style="18" bestFit="1" customWidth="1"/>
    <col min="18" max="18" width="10.109375" style="18" bestFit="1" customWidth="1"/>
    <col min="19" max="16384" width="9.109375" style="18"/>
  </cols>
  <sheetData>
    <row r="1" spans="1:23" ht="13.8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8">
      <c r="A2" s="19"/>
      <c r="B2" s="20" t="s">
        <v>13</v>
      </c>
      <c r="C2" s="192"/>
      <c r="D2" s="21" t="s">
        <v>14</v>
      </c>
      <c r="E2" s="22"/>
      <c r="F2" s="192" t="s">
        <v>15</v>
      </c>
      <c r="G2" s="192"/>
      <c r="H2" s="192"/>
      <c r="I2" s="23"/>
      <c r="J2" s="22"/>
      <c r="K2" s="192"/>
      <c r="L2" s="24" t="s">
        <v>16</v>
      </c>
      <c r="M2" s="192"/>
      <c r="N2" s="19"/>
    </row>
    <row r="3" spans="1:23" ht="13.8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3.8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4">
      <c r="A5" s="19"/>
      <c r="B5" s="32" t="s">
        <v>31</v>
      </c>
      <c r="C5" s="193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>
      <c r="A6" s="19" t="s">
        <v>34</v>
      </c>
      <c r="B6" s="34">
        <v>76.099999999999994</v>
      </c>
      <c r="C6" s="34">
        <v>74.938999999999993</v>
      </c>
      <c r="D6" s="34">
        <f>F6/C6</f>
        <v>47.397323156167019</v>
      </c>
      <c r="E6" s="35">
        <v>909</v>
      </c>
      <c r="F6" s="36">
        <v>3551.9079999999999</v>
      </c>
      <c r="G6" s="37">
        <v>15.380623192800002</v>
      </c>
      <c r="H6" s="37">
        <f>SUM(E6:G6)</f>
        <v>4476.2886231927996</v>
      </c>
      <c r="I6" s="36" t="e">
        <f>#REF!</f>
        <v>#REF!</v>
      </c>
      <c r="J6" s="36">
        <v>2164.571916009776</v>
      </c>
      <c r="K6" s="36">
        <f>M6-L6-J6</f>
        <v>107.92510436542307</v>
      </c>
      <c r="L6" s="37">
        <v>1679.2506028176001</v>
      </c>
      <c r="M6" s="37">
        <f>H6-N6</f>
        <v>3951.7476231927994</v>
      </c>
      <c r="N6" s="37">
        <v>524.54100000000017</v>
      </c>
    </row>
    <row r="7" spans="1:23" ht="16.5" customHeight="1">
      <c r="A7" s="19" t="s">
        <v>35</v>
      </c>
      <c r="B7" s="34">
        <v>83.353999999999999</v>
      </c>
      <c r="C7" s="34">
        <v>82.602999999999994</v>
      </c>
      <c r="D7" s="34">
        <f>F7/C7</f>
        <v>51.042964541239421</v>
      </c>
      <c r="E7" s="35">
        <f>N6</f>
        <v>524.54100000000017</v>
      </c>
      <c r="F7" s="36">
        <f>F27</f>
        <v>4216.3019999999997</v>
      </c>
      <c r="G7" s="37">
        <f>G27</f>
        <v>19.838438342399996</v>
      </c>
      <c r="H7" s="37">
        <f>SUM(E7:G7)</f>
        <v>4760.6814383423998</v>
      </c>
      <c r="I7" s="19"/>
      <c r="J7" s="36">
        <f>J27</f>
        <v>2140.6021535309255</v>
      </c>
      <c r="K7" s="36">
        <f t="shared" ref="K7:K8" si="0">M7-L7-J7</f>
        <v>102.5292367522743</v>
      </c>
      <c r="L7" s="37">
        <f>L27</f>
        <v>2260.5710480591997</v>
      </c>
      <c r="M7" s="37">
        <f>H7-N7</f>
        <v>4503.7024383423995</v>
      </c>
      <c r="N7" s="37">
        <f>N26</f>
        <v>256.97899999999998</v>
      </c>
    </row>
    <row r="8" spans="1:23" ht="16.5" customHeight="1">
      <c r="A8" s="19" t="s">
        <v>36</v>
      </c>
      <c r="B8" s="34">
        <v>87.194999999999993</v>
      </c>
      <c r="C8" s="34">
        <v>86.331999999999994</v>
      </c>
      <c r="D8" s="34">
        <f>F8/C8</f>
        <v>51.374137052309692</v>
      </c>
      <c r="E8" s="35">
        <f>N7</f>
        <v>256.97899999999998</v>
      </c>
      <c r="F8" s="36">
        <v>4435.232</v>
      </c>
      <c r="G8" s="37">
        <v>15</v>
      </c>
      <c r="H8" s="37">
        <f>SUM(E8:G8)</f>
        <v>4707.2110000000002</v>
      </c>
      <c r="I8" s="19"/>
      <c r="J8" s="36">
        <v>2215</v>
      </c>
      <c r="K8" s="36">
        <f t="shared" si="0"/>
        <v>117.21100000000024</v>
      </c>
      <c r="L8" s="37">
        <v>2115</v>
      </c>
      <c r="M8" s="37">
        <f>H8-N8</f>
        <v>4447.2110000000002</v>
      </c>
      <c r="N8" s="37">
        <v>260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41" t="s">
        <v>37</v>
      </c>
      <c r="B10" s="137"/>
      <c r="C10" s="137"/>
      <c r="D10" s="137"/>
      <c r="E10" s="43"/>
      <c r="F10" s="44"/>
      <c r="G10" s="7"/>
      <c r="H10" s="14"/>
      <c r="I10" s="137"/>
      <c r="J10" s="14"/>
      <c r="K10" s="45"/>
      <c r="L10" s="7"/>
      <c r="M10" s="7"/>
      <c r="N10" s="14"/>
    </row>
    <row r="11" spans="1:23" ht="16.5" customHeight="1">
      <c r="A11" s="23" t="s">
        <v>38</v>
      </c>
      <c r="B11" s="137"/>
      <c r="C11" s="137"/>
      <c r="D11" s="137"/>
      <c r="E11" s="43"/>
      <c r="F11" s="44"/>
      <c r="G11" s="7">
        <f>(44527.6*36.744)/1000000</f>
        <v>1.6361221343999999</v>
      </c>
      <c r="I11" s="137"/>
      <c r="J11" s="14">
        <f>((5131665*0.907185)*36.744)/1000000</f>
        <v>171.05689738659061</v>
      </c>
      <c r="K11" s="42"/>
      <c r="L11" s="7">
        <f>(7191284.4*36.744)/1000000</f>
        <v>264.23655399360001</v>
      </c>
      <c r="M11" s="7"/>
      <c r="N11" s="14"/>
    </row>
    <row r="12" spans="1:23" ht="16.5" customHeight="1">
      <c r="A12" s="23" t="s">
        <v>39</v>
      </c>
      <c r="B12" s="137"/>
      <c r="C12" s="137"/>
      <c r="D12" s="137"/>
      <c r="E12" s="46"/>
      <c r="F12" s="44"/>
      <c r="G12" s="7">
        <f>(24879.1*36.744)/1000000</f>
        <v>0.91415765039999997</v>
      </c>
      <c r="I12" s="137"/>
      <c r="J12" s="14">
        <f>((5897079*0.907185)*36.744)/1000000</f>
        <v>196.57090581392558</v>
      </c>
      <c r="K12" s="42"/>
      <c r="L12" s="7">
        <f>(11636404.4*36.744)/1000000</f>
        <v>427.56804327359998</v>
      </c>
      <c r="M12" s="7"/>
      <c r="N12" s="14"/>
    </row>
    <row r="13" spans="1:23" ht="16.5" customHeight="1">
      <c r="A13" s="23" t="s">
        <v>40</v>
      </c>
      <c r="B13" s="137"/>
      <c r="C13" s="137"/>
      <c r="D13" s="137"/>
      <c r="E13" s="46"/>
      <c r="F13" s="44"/>
      <c r="G13" s="7">
        <f>(12431.7*36.744)/1000000</f>
        <v>0.4567903848</v>
      </c>
      <c r="I13" s="137"/>
      <c r="J13" s="14">
        <f>((5731207*0.907185)*36.744)/1000000</f>
        <v>191.04179397920748</v>
      </c>
      <c r="K13" s="42"/>
      <c r="L13" s="7">
        <f>(10867331.6*36.744)/1000000</f>
        <v>399.30923231040003</v>
      </c>
      <c r="M13" s="7"/>
      <c r="N13" s="14"/>
    </row>
    <row r="14" spans="1:23" ht="16.5" customHeight="1">
      <c r="A14" s="23" t="s">
        <v>41</v>
      </c>
      <c r="B14" s="137"/>
      <c r="C14" s="137"/>
      <c r="D14" s="137"/>
      <c r="E14" s="43">
        <f>N6</f>
        <v>524.54100000000017</v>
      </c>
      <c r="F14" s="44">
        <v>4216.3019999999997</v>
      </c>
      <c r="G14" s="7">
        <f>G11+G12+G13</f>
        <v>3.0070701696</v>
      </c>
      <c r="H14" s="14">
        <f>E14+F14+G14</f>
        <v>4743.8500701696003</v>
      </c>
      <c r="I14" s="137"/>
      <c r="J14" s="14">
        <f>J11+J12+J13</f>
        <v>558.66959717972361</v>
      </c>
      <c r="K14" s="42">
        <f>M14-L14-J14</f>
        <v>147.32664341227689</v>
      </c>
      <c r="L14" s="7">
        <f>L11+L12+L13</f>
        <v>1091.1138295776</v>
      </c>
      <c r="M14" s="7">
        <f>H14-N14</f>
        <v>1797.1100701696005</v>
      </c>
      <c r="N14" s="14">
        <v>2946.74</v>
      </c>
    </row>
    <row r="15" spans="1:23" ht="16.95" customHeight="1">
      <c r="A15" s="19" t="s">
        <v>42</v>
      </c>
      <c r="B15" s="137"/>
      <c r="C15" s="137"/>
      <c r="D15" s="137"/>
      <c r="E15" s="43"/>
      <c r="F15" s="7"/>
      <c r="G15" s="7">
        <f>(23426.8*36.744)/1000000</f>
        <v>0.86079433919999992</v>
      </c>
      <c r="H15" s="14"/>
      <c r="I15" s="137"/>
      <c r="J15" s="14">
        <f>((5794233*0.907185)*36.744)/1000000</f>
        <v>193.14267780827416</v>
      </c>
      <c r="K15" s="42"/>
      <c r="L15" s="7">
        <f>(10445198.5*36.744)/1000000</f>
        <v>383.79837368400001</v>
      </c>
      <c r="M15" s="7"/>
      <c r="N15" s="14"/>
    </row>
    <row r="16" spans="1:23" ht="16.95" customHeight="1">
      <c r="A16" s="19" t="s">
        <v>43</v>
      </c>
      <c r="B16" s="137"/>
      <c r="C16" s="137"/>
      <c r="D16" s="137"/>
      <c r="E16" s="43"/>
      <c r="F16" s="7"/>
      <c r="G16" s="7">
        <f>(19638*36.744)/1000000</f>
        <v>0.72157867200000003</v>
      </c>
      <c r="H16" s="14"/>
      <c r="I16" s="137"/>
      <c r="J16" s="14">
        <f>((5895360*0.907185)*36.744)/1000000</f>
        <v>196.5136053458304</v>
      </c>
      <c r="K16" s="42"/>
      <c r="L16" s="7">
        <f>(8696539.6*36.744)/1000000</f>
        <v>319.5456510624</v>
      </c>
      <c r="M16" s="7"/>
      <c r="N16" s="14"/>
    </row>
    <row r="17" spans="1:14" ht="16.95" customHeight="1">
      <c r="A17" s="19" t="s">
        <v>44</v>
      </c>
      <c r="B17" s="137"/>
      <c r="C17" s="137"/>
      <c r="D17" s="137"/>
      <c r="E17" s="43"/>
      <c r="F17" s="7"/>
      <c r="G17" s="7">
        <f>(22552.9*36.744)/1000000</f>
        <v>0.82868375760000001</v>
      </c>
      <c r="H17" s="14"/>
      <c r="I17" s="137"/>
      <c r="J17" s="14">
        <f>((4930499*0.907185)*36.744)/1000000</f>
        <v>164.35130927441435</v>
      </c>
      <c r="K17" s="42"/>
      <c r="L17" s="7">
        <f>(4558707.1*36.744)/1000000</f>
        <v>167.50513368239999</v>
      </c>
      <c r="M17" s="7"/>
      <c r="N17" s="14"/>
    </row>
    <row r="18" spans="1:14" ht="16.95" customHeight="1">
      <c r="A18" s="19" t="s">
        <v>45</v>
      </c>
      <c r="B18" s="137"/>
      <c r="C18" s="137"/>
      <c r="D18" s="137"/>
      <c r="E18" s="43">
        <f>N14</f>
        <v>2946.74</v>
      </c>
      <c r="F18" s="7"/>
      <c r="G18" s="7">
        <f>SUM(G15:G17)</f>
        <v>2.4110567688</v>
      </c>
      <c r="H18" s="14">
        <f>E18+F18+G18</f>
        <v>2949.1510567687997</v>
      </c>
      <c r="I18" s="137"/>
      <c r="J18" s="14">
        <f>SUM(J15:J17)</f>
        <v>554.00759242851893</v>
      </c>
      <c r="K18" s="42">
        <f>M18-L18-J18</f>
        <v>-37.389694088519263</v>
      </c>
      <c r="L18" s="7">
        <f>SUM(L15:L17)</f>
        <v>870.84915842880002</v>
      </c>
      <c r="M18" s="7">
        <f>H18-N18</f>
        <v>1387.4670567687997</v>
      </c>
      <c r="N18" s="14">
        <v>1561.684</v>
      </c>
    </row>
    <row r="19" spans="1:14" ht="16.95" customHeight="1">
      <c r="A19" s="19" t="s">
        <v>46</v>
      </c>
      <c r="B19" s="137"/>
      <c r="C19" s="137"/>
      <c r="D19" s="137"/>
      <c r="E19" s="43"/>
      <c r="F19" s="7"/>
      <c r="G19" s="7">
        <f>(26142.7*36.744)/1000000</f>
        <v>0.96058736880000006</v>
      </c>
      <c r="H19" s="14"/>
      <c r="I19" s="137"/>
      <c r="J19" s="14">
        <f>((5646728*0.907185)*36.744)/1000000</f>
        <v>188.22580430834591</v>
      </c>
      <c r="K19" s="42"/>
      <c r="L19" s="7">
        <f>(2295121.8*36.744)/1000000</f>
        <v>84.331955419199986</v>
      </c>
      <c r="M19" s="7"/>
      <c r="N19" s="47"/>
    </row>
    <row r="20" spans="1:14" ht="16.95" customHeight="1">
      <c r="A20" s="19" t="s">
        <v>47</v>
      </c>
      <c r="B20" s="137"/>
      <c r="C20" s="137"/>
      <c r="D20" s="137"/>
      <c r="E20" s="43"/>
      <c r="F20" s="7"/>
      <c r="G20" s="7">
        <f>(34734.1*36.744)/1000000</f>
        <v>1.2762697704000001</v>
      </c>
      <c r="H20" s="14"/>
      <c r="I20" s="137"/>
      <c r="J20" s="14">
        <f>((5095631*0.907185)*36.744)/1000000</f>
        <v>169.85575424095885</v>
      </c>
      <c r="K20" s="42"/>
      <c r="L20" s="7">
        <f>(1384924.4*36.744)/1000000</f>
        <v>50.887662153599997</v>
      </c>
      <c r="M20" s="7"/>
      <c r="N20" s="47"/>
    </row>
    <row r="21" spans="1:14" ht="16.95" customHeight="1">
      <c r="A21" s="19" t="s">
        <v>48</v>
      </c>
      <c r="B21" s="137"/>
      <c r="C21" s="137"/>
      <c r="D21" s="137"/>
      <c r="E21" s="43"/>
      <c r="F21" s="7"/>
      <c r="G21" s="7">
        <f>(51046.1*36.744)/1000000</f>
        <v>1.8756378983999997</v>
      </c>
      <c r="H21" s="14"/>
      <c r="I21" s="137"/>
      <c r="J21" s="14">
        <f>((5205032*0.907185)*36.744)/1000000</f>
        <v>173.50248403158051</v>
      </c>
      <c r="K21" s="42"/>
      <c r="L21" s="7">
        <f>(1266685.1*36.744)/1000000</f>
        <v>46.543077314400001</v>
      </c>
      <c r="M21" s="7"/>
      <c r="N21" s="47"/>
    </row>
    <row r="22" spans="1:14" ht="16.95" customHeight="1">
      <c r="A22" s="19" t="s">
        <v>49</v>
      </c>
      <c r="B22" s="137"/>
      <c r="C22" s="137"/>
      <c r="D22" s="137"/>
      <c r="E22" s="43">
        <f>N18</f>
        <v>1561.684</v>
      </c>
      <c r="F22" s="7"/>
      <c r="G22" s="7">
        <f>SUM(G19:G21)</f>
        <v>4.1124950375999996</v>
      </c>
      <c r="H22" s="14">
        <f>E22+F22+G22</f>
        <v>1565.7964950375999</v>
      </c>
      <c r="I22" s="137"/>
      <c r="J22" s="15">
        <f>SUM(J19:J21)</f>
        <v>531.58404258088524</v>
      </c>
      <c r="K22" s="42">
        <f>M22-L22-J22</f>
        <v>83.409757569514682</v>
      </c>
      <c r="L22" s="7">
        <f>SUM(L19:L21)</f>
        <v>181.76269488719998</v>
      </c>
      <c r="M22" s="7">
        <f>H22-N22</f>
        <v>796.75649503759996</v>
      </c>
      <c r="N22" s="14">
        <v>769.04</v>
      </c>
    </row>
    <row r="23" spans="1:14" ht="16.95" customHeight="1">
      <c r="A23" s="19" t="s">
        <v>50</v>
      </c>
      <c r="B23" s="137"/>
      <c r="C23" s="137"/>
      <c r="D23" s="137"/>
      <c r="E23" s="43"/>
      <c r="F23" s="7"/>
      <c r="G23" s="7">
        <f>(205436.7*36.744)/1000000</f>
        <v>7.5485661048000008</v>
      </c>
      <c r="H23" s="14"/>
      <c r="I23" s="137"/>
      <c r="J23" s="15">
        <f>((4852334*0.907185)*36.744)/1000000</f>
        <v>161.74578798956375</v>
      </c>
      <c r="K23" s="42"/>
      <c r="L23" s="7">
        <f>(925497.6*36.744)/1000000</f>
        <v>34.006483814399999</v>
      </c>
      <c r="M23" s="7"/>
      <c r="N23" s="14"/>
    </row>
    <row r="24" spans="1:14" ht="16.95" customHeight="1">
      <c r="A24" s="19" t="s">
        <v>51</v>
      </c>
      <c r="B24" s="137"/>
      <c r="C24" s="137"/>
      <c r="D24" s="137"/>
      <c r="E24" s="43"/>
      <c r="F24" s="7"/>
      <c r="G24" s="7">
        <f>(59776.6*36.744)/1000000</f>
        <v>2.1964313903999999</v>
      </c>
      <c r="H24" s="14"/>
      <c r="I24" s="137"/>
      <c r="J24" s="15">
        <f>((4989996*0.907185)*36.744)/1000000</f>
        <v>166.33455880917742</v>
      </c>
      <c r="K24" s="42"/>
      <c r="L24" s="7">
        <f>(945804.5*36.744)/1000000</f>
        <v>34.752640548000002</v>
      </c>
      <c r="M24" s="7"/>
      <c r="N24" s="14"/>
    </row>
    <row r="25" spans="1:14" ht="16.95" customHeight="1">
      <c r="A25" s="19" t="s">
        <v>52</v>
      </c>
      <c r="B25" s="137"/>
      <c r="C25" s="137"/>
      <c r="D25" s="137"/>
      <c r="E25" s="43"/>
      <c r="F25" s="7"/>
      <c r="G25" s="7">
        <f>(15317.3*36.744)/1000000</f>
        <v>0.56281887119999996</v>
      </c>
      <c r="H25" s="14"/>
      <c r="I25" s="137"/>
      <c r="J25" s="15">
        <f>((5047776*0.907185)*36.744)/1000000</f>
        <v>168.26057454305666</v>
      </c>
      <c r="K25" s="42"/>
      <c r="L25" s="7">
        <f>(1308682.8*36.744)/1000000</f>
        <v>48.086240803199999</v>
      </c>
      <c r="M25" s="7"/>
      <c r="N25" s="14"/>
    </row>
    <row r="26" spans="1:14" ht="16.95" customHeight="1">
      <c r="A26" s="19" t="s">
        <v>53</v>
      </c>
      <c r="B26" s="137"/>
      <c r="C26" s="137"/>
      <c r="D26" s="137"/>
      <c r="E26" s="43">
        <f>N22</f>
        <v>769.04</v>
      </c>
      <c r="F26" s="7"/>
      <c r="G26" s="7">
        <f>SUM(G23:G25)</f>
        <v>10.307816366399999</v>
      </c>
      <c r="H26" s="14">
        <f>E26+F26+G26</f>
        <v>779.34781636639991</v>
      </c>
      <c r="I26" s="137"/>
      <c r="J26" s="15">
        <f>SUM(J23:J25)</f>
        <v>496.34092134179787</v>
      </c>
      <c r="K26" s="45">
        <f>M26-L26-J26</f>
        <v>-90.817470140998012</v>
      </c>
      <c r="L26" s="7">
        <f>SUM(L23:L25)</f>
        <v>116.8453651656</v>
      </c>
      <c r="M26" s="7">
        <f>H26-N26</f>
        <v>522.36881636639987</v>
      </c>
      <c r="N26" s="14">
        <v>256.97899999999998</v>
      </c>
    </row>
    <row r="27" spans="1:14" s="59" customFormat="1" ht="16.5" customHeight="1">
      <c r="A27" s="23" t="s">
        <v>28</v>
      </c>
      <c r="B27" s="137"/>
      <c r="C27" s="137"/>
      <c r="D27" s="137"/>
      <c r="E27" s="43"/>
      <c r="F27" s="44">
        <f>F14</f>
        <v>4216.3019999999997</v>
      </c>
      <c r="G27" s="7">
        <f>G14+G18+G22+G26</f>
        <v>19.838438342399996</v>
      </c>
      <c r="H27" s="14">
        <f>E14+F27+G27</f>
        <v>4760.6814383423998</v>
      </c>
      <c r="I27" s="137"/>
      <c r="J27" s="14">
        <f>J14+J18+J22+J26</f>
        <v>2140.6021535309255</v>
      </c>
      <c r="K27" s="42">
        <f>SUM(K14,K18,K22,K26)</f>
        <v>102.5292367522743</v>
      </c>
      <c r="L27" s="7">
        <f>L14+L18+L22+L26</f>
        <v>2260.5710480591997</v>
      </c>
      <c r="M27" s="7">
        <f>M14+M18+M22+M26</f>
        <v>4503.7024383424005</v>
      </c>
      <c r="N27" s="14"/>
    </row>
    <row r="28" spans="1:14" ht="16.5" customHeight="1">
      <c r="A28" s="23"/>
      <c r="B28" s="137"/>
      <c r="C28" s="137"/>
      <c r="D28" s="137"/>
      <c r="E28" s="43"/>
      <c r="F28" s="44"/>
      <c r="G28" s="7"/>
      <c r="H28" s="14"/>
      <c r="I28" s="137"/>
      <c r="J28" s="14"/>
      <c r="K28" s="42"/>
      <c r="L28" s="7"/>
      <c r="M28" s="7"/>
      <c r="N28" s="14"/>
    </row>
    <row r="29" spans="1:14" ht="16.5" customHeight="1">
      <c r="A29" s="55" t="s">
        <v>54</v>
      </c>
      <c r="B29" s="137"/>
      <c r="C29" s="137"/>
      <c r="D29" s="137"/>
      <c r="E29" s="43"/>
      <c r="F29" s="44"/>
      <c r="G29" s="7"/>
      <c r="H29" s="14"/>
      <c r="I29" s="137"/>
      <c r="J29" s="14"/>
      <c r="K29" s="42"/>
      <c r="L29" s="7"/>
      <c r="M29" s="7"/>
      <c r="N29" s="14"/>
    </row>
    <row r="30" spans="1:14" ht="16.5" customHeight="1">
      <c r="A30" s="23" t="s">
        <v>38</v>
      </c>
      <c r="B30" s="137"/>
      <c r="C30" s="137"/>
      <c r="D30" s="137"/>
      <c r="E30" s="43"/>
      <c r="F30" s="44"/>
      <c r="G30" s="7">
        <f>(24320.3*36.744)/1000000</f>
        <v>0.89362510319999999</v>
      </c>
      <c r="I30" s="137"/>
      <c r="J30" s="14">
        <f>((4924574*0.907185)*36.744)/1000000</f>
        <v>164.15380766099736</v>
      </c>
      <c r="K30" s="42"/>
      <c r="L30" s="7">
        <f>(2167640.8*36.744)/1000000</f>
        <v>79.647793555199996</v>
      </c>
      <c r="M30" s="7"/>
      <c r="N30" s="14"/>
    </row>
    <row r="31" spans="1:14" ht="16.5" customHeight="1">
      <c r="A31" s="23" t="s">
        <v>39</v>
      </c>
      <c r="B31" s="137"/>
      <c r="C31" s="137"/>
      <c r="D31" s="137"/>
      <c r="E31" s="43"/>
      <c r="F31" s="44"/>
      <c r="G31" s="7">
        <f>(19235.5*36.744)/1000000</f>
        <v>0.70678921199999989</v>
      </c>
      <c r="I31" s="137"/>
      <c r="J31" s="14">
        <f>((5908157*0.907185)*36.744)/1000000</f>
        <v>196.9401754972055</v>
      </c>
      <c r="K31" s="42"/>
      <c r="L31" s="7">
        <f>(10506970*36.744)/1000000</f>
        <v>386.06810568000003</v>
      </c>
      <c r="M31" s="7"/>
      <c r="N31" s="14"/>
    </row>
    <row r="32" spans="1:14" ht="16.5" customHeight="1">
      <c r="A32" s="23" t="s">
        <v>40</v>
      </c>
      <c r="B32" s="137"/>
      <c r="C32" s="137"/>
      <c r="D32" s="137"/>
      <c r="E32" s="43"/>
      <c r="F32" s="44"/>
      <c r="G32" s="7">
        <f>(34891.5*36.744)/1000000</f>
        <v>1.2820532760000001</v>
      </c>
      <c r="I32" s="137"/>
      <c r="J32" s="14">
        <f>((5717943*0.907185)*36.744)/1000000</f>
        <v>190.59965703399854</v>
      </c>
      <c r="K32" s="42"/>
      <c r="L32" s="7">
        <f>(10702618.5*36.744)/1000000</f>
        <v>393.257014164</v>
      </c>
      <c r="M32" s="7"/>
      <c r="N32" s="14"/>
    </row>
    <row r="33" spans="1:73" ht="16.5" customHeight="1">
      <c r="A33" s="23" t="s">
        <v>41</v>
      </c>
      <c r="B33" s="137"/>
      <c r="C33" s="137"/>
      <c r="D33" s="137"/>
      <c r="E33" s="43">
        <f>N26</f>
        <v>256.97899999999998</v>
      </c>
      <c r="F33" s="43">
        <v>4435.232</v>
      </c>
      <c r="G33" s="7">
        <f>SUM(G30:G32)</f>
        <v>2.8824675912000002</v>
      </c>
      <c r="H33" s="14">
        <f>SUM(E33:G33)</f>
        <v>4695.0934675912004</v>
      </c>
      <c r="I33" s="137"/>
      <c r="J33" s="14">
        <f>SUM(J30:J32)</f>
        <v>551.69364019220143</v>
      </c>
      <c r="K33" s="42">
        <f>M33-L33-J33</f>
        <v>132.90291399979901</v>
      </c>
      <c r="L33" s="7">
        <f>SUM(L30:L32)</f>
        <v>858.97291339920002</v>
      </c>
      <c r="M33" s="7">
        <f>H33-N33</f>
        <v>1543.5694675912005</v>
      </c>
      <c r="N33" s="14">
        <v>3151.5239999999999</v>
      </c>
    </row>
    <row r="34" spans="1:73" ht="16.5" customHeight="1">
      <c r="A34" s="19" t="s">
        <v>42</v>
      </c>
      <c r="B34" s="137"/>
      <c r="C34" s="137"/>
      <c r="D34" s="137"/>
      <c r="E34" s="43"/>
      <c r="F34" s="43"/>
      <c r="G34" s="7">
        <f>(27875.3*36.744)/1000000</f>
        <v>1.0242500232</v>
      </c>
      <c r="H34" s="14"/>
      <c r="I34" s="137"/>
      <c r="J34" s="14">
        <f>((5947222*0.907185)*36.744)/1000000</f>
        <v>198.24235280153209</v>
      </c>
      <c r="K34" s="42"/>
      <c r="L34" s="7">
        <f>(8108078.4*36.744)/1000000</f>
        <v>297.92323272959999</v>
      </c>
      <c r="M34" s="7"/>
      <c r="N34" s="14"/>
    </row>
    <row r="35" spans="1:73" ht="16.5" customHeight="1">
      <c r="A35" s="19" t="s">
        <v>43</v>
      </c>
      <c r="B35" s="137"/>
      <c r="C35" s="137"/>
      <c r="D35" s="137"/>
      <c r="E35" s="43"/>
      <c r="F35" s="43"/>
      <c r="G35" s="7">
        <f>(23947.4*36.744)/1000000</f>
        <v>0.8799232656</v>
      </c>
      <c r="H35" s="14"/>
      <c r="I35" s="137"/>
      <c r="J35" s="14">
        <f>((5828974*0.907185)*36.744)/1000000</f>
        <v>194.30072060181334</v>
      </c>
      <c r="K35" s="42"/>
      <c r="L35" s="7">
        <f>(6392108.3*36.744)/1000000</f>
        <v>234.87162737520001</v>
      </c>
      <c r="M35" s="7"/>
      <c r="N35" s="14"/>
    </row>
    <row r="36" spans="1:73" ht="16.5" customHeight="1">
      <c r="A36" s="19" t="s">
        <v>44</v>
      </c>
      <c r="B36" s="137"/>
      <c r="C36" s="137"/>
      <c r="D36" s="137"/>
      <c r="E36" s="43"/>
      <c r="F36" s="43"/>
      <c r="G36" s="7">
        <f>(47248.7*36.744)/1000000</f>
        <v>1.7361062327999999</v>
      </c>
      <c r="H36" s="14"/>
      <c r="I36" s="137"/>
      <c r="J36" s="14">
        <f>((5232453*0.907185)*36.744)/1000000</f>
        <v>174.41652483183492</v>
      </c>
      <c r="K36" s="42"/>
      <c r="L36" s="7">
        <f>(3791255.7*36.744)/1000000</f>
        <v>139.3058994408</v>
      </c>
      <c r="M36" s="7"/>
      <c r="N36" s="14"/>
    </row>
    <row r="37" spans="1:73" ht="16.5" customHeight="1">
      <c r="A37" s="19" t="s">
        <v>45</v>
      </c>
      <c r="B37" s="137"/>
      <c r="C37" s="137"/>
      <c r="D37" s="137"/>
      <c r="E37" s="43">
        <f>N33</f>
        <v>3151.5239999999999</v>
      </c>
      <c r="F37" s="43"/>
      <c r="G37" s="7">
        <f>SUM(G34:G36)</f>
        <v>3.6402795216000001</v>
      </c>
      <c r="H37" s="14">
        <f>E37+F37+G37</f>
        <v>3155.1642795215998</v>
      </c>
      <c r="I37" s="137"/>
      <c r="J37" s="14">
        <f>SUM(J34:J36)</f>
        <v>566.95959823518035</v>
      </c>
      <c r="K37" s="42">
        <f>M37-L37-J37</f>
        <v>-15.109078259180478</v>
      </c>
      <c r="L37" s="7">
        <f>SUM(L34:L36)</f>
        <v>672.1007595456</v>
      </c>
      <c r="M37" s="7">
        <f>H37-N37</f>
        <v>1223.9512795215999</v>
      </c>
      <c r="N37" s="14">
        <v>1931.213</v>
      </c>
    </row>
    <row r="38" spans="1:73" ht="16.5" customHeight="1">
      <c r="A38" s="23" t="s">
        <v>28</v>
      </c>
      <c r="B38" s="137"/>
      <c r="C38" s="137"/>
      <c r="D38" s="137"/>
      <c r="E38" s="43"/>
      <c r="F38" s="43"/>
      <c r="G38" s="7">
        <f>SUM(G33,G37)</f>
        <v>6.5227471128000003</v>
      </c>
      <c r="H38" s="14"/>
      <c r="I38" s="137"/>
      <c r="J38" s="14">
        <f>SUM(J33,J37)</f>
        <v>1118.6532384273819</v>
      </c>
      <c r="K38" s="42"/>
      <c r="L38" s="7">
        <f>SUM(L33,L37)</f>
        <v>1531.0736729447999</v>
      </c>
      <c r="M38" s="7"/>
      <c r="N38" s="14"/>
    </row>
    <row r="39" spans="1:73" ht="16.5" customHeight="1">
      <c r="A39" s="128" t="s">
        <v>55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29"/>
      <c r="M39" s="100"/>
      <c r="N39" s="100"/>
    </row>
    <row r="40" spans="1:73" ht="16.5" customHeight="1">
      <c r="A40" s="19" t="s">
        <v>56</v>
      </c>
      <c r="B40" s="19"/>
      <c r="C40" s="19"/>
      <c r="D40" s="1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73" ht="16.5" customHeight="1">
      <c r="A41" s="25" t="s">
        <v>57</v>
      </c>
      <c r="B41" s="50">
        <f ca="1">NOW()</f>
        <v>44662.676440277777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38"/>
      <c r="P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</row>
    <row r="42" spans="1:73">
      <c r="O42" s="138"/>
      <c r="P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</row>
    <row r="43" spans="1:73">
      <c r="O43" s="138"/>
      <c r="P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</row>
    <row r="44" spans="1:73">
      <c r="O44" s="138"/>
      <c r="P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</row>
    <row r="45" spans="1:73">
      <c r="F45" s="51"/>
      <c r="O45" s="138"/>
      <c r="P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</row>
    <row r="46" spans="1:73">
      <c r="O46" s="138"/>
      <c r="P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</row>
    <row r="47" spans="1:73">
      <c r="O47" s="138"/>
      <c r="P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</row>
    <row r="48" spans="1:73">
      <c r="O48" s="138"/>
      <c r="P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</row>
    <row r="49" spans="15:73">
      <c r="O49" s="138"/>
      <c r="P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</row>
    <row r="50" spans="15:73">
      <c r="O50" s="138"/>
      <c r="P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</row>
    <row r="51" spans="15:73">
      <c r="O51" s="138"/>
      <c r="P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</row>
    <row r="52" spans="15:73">
      <c r="O52" s="138"/>
      <c r="P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</row>
    <row r="53" spans="15:73">
      <c r="O53" s="138"/>
      <c r="P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</row>
    <row r="54" spans="15:73">
      <c r="O54" s="138"/>
      <c r="P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</row>
    <row r="55" spans="15:73">
      <c r="O55" s="138"/>
      <c r="P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</row>
    <row r="56" spans="15:73">
      <c r="O56" s="138"/>
      <c r="P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</row>
    <row r="57" spans="15:73">
      <c r="O57" s="138"/>
      <c r="P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</row>
    <row r="58" spans="15:73">
      <c r="O58" s="138"/>
      <c r="P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</row>
    <row r="59" spans="15:73">
      <c r="O59" s="138"/>
      <c r="P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</row>
    <row r="60" spans="15:73">
      <c r="O60" s="138"/>
      <c r="P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</row>
    <row r="61" spans="15:73">
      <c r="O61" s="138"/>
      <c r="P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</row>
    <row r="62" spans="15:73">
      <c r="O62" s="138"/>
      <c r="P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</row>
    <row r="63" spans="15:73">
      <c r="O63" s="138"/>
      <c r="P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</row>
    <row r="64" spans="15:73">
      <c r="O64" s="138"/>
      <c r="P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</row>
    <row r="65" spans="15:73">
      <c r="O65" s="138"/>
      <c r="P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</row>
    <row r="66" spans="15:73">
      <c r="O66" s="138"/>
      <c r="P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</row>
    <row r="67" spans="15:73">
      <c r="O67" s="138"/>
      <c r="P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</row>
    <row r="68" spans="15:73">
      <c r="O68" s="138"/>
      <c r="P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</row>
    <row r="69" spans="15:73"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</row>
    <row r="70" spans="15:73"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</row>
    <row r="71" spans="15:73"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</row>
    <row r="72" spans="15:73"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</row>
    <row r="73" spans="15:73"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</row>
    <row r="74" spans="15:73"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</row>
    <row r="75" spans="15:73"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</row>
    <row r="76" spans="15:73"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</row>
    <row r="77" spans="15:73"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</row>
    <row r="78" spans="15:73"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</row>
    <row r="79" spans="15:73"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</row>
    <row r="80" spans="15:73"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</row>
    <row r="81" spans="15:73"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</row>
    <row r="82" spans="15:73"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</row>
    <row r="83" spans="15:73"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</row>
    <row r="84" spans="15:73"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</row>
    <row r="85" spans="15:73"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</row>
    <row r="86" spans="15:73"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</row>
    <row r="87" spans="15:73"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</row>
    <row r="88" spans="15:73"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</row>
    <row r="89" spans="15:73"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</row>
    <row r="90" spans="15:73"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</row>
    <row r="91" spans="15:73"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</row>
    <row r="92" spans="15:73"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</row>
    <row r="93" spans="15:73"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</row>
    <row r="94" spans="15:73"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</row>
    <row r="95" spans="15:73"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</row>
    <row r="96" spans="15:73"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</row>
    <row r="97" spans="15:73"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</row>
    <row r="98" spans="15:73"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</row>
    <row r="99" spans="15:73"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</row>
    <row r="100" spans="15:73"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</row>
    <row r="101" spans="15:73"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</row>
    <row r="102" spans="15:73"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</row>
    <row r="103" spans="15:73"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</row>
    <row r="104" spans="15:73"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</row>
    <row r="105" spans="15:73"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</row>
    <row r="106" spans="15:73"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</row>
    <row r="107" spans="15:73"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</row>
    <row r="108" spans="15:73"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</row>
    <row r="109" spans="15:73"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</row>
    <row r="110" spans="15:73"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</row>
    <row r="111" spans="15:73"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</row>
    <row r="112" spans="15:73"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</row>
    <row r="113" spans="15:73"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</row>
    <row r="114" spans="15:73"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</row>
    <row r="115" spans="15:73"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</row>
    <row r="116" spans="15:73"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</row>
    <row r="117" spans="15:73"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</row>
    <row r="118" spans="15:73"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</row>
    <row r="119" spans="15:73"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</row>
    <row r="120" spans="15:73"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</row>
    <row r="121" spans="15:73"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</row>
    <row r="122" spans="15:73"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</row>
    <row r="123" spans="15:73"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</row>
    <row r="124" spans="15:73"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</row>
    <row r="125" spans="15:73"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</row>
    <row r="126" spans="15:73"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</row>
    <row r="127" spans="15:73"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</row>
    <row r="128" spans="15:73"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</row>
    <row r="129" spans="15:73"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</row>
    <row r="130" spans="15:73"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</row>
    <row r="131" spans="15:73"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</row>
    <row r="132" spans="15:73"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</row>
    <row r="133" spans="15:73"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</row>
    <row r="134" spans="15:73"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</row>
    <row r="135" spans="15:73"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</row>
    <row r="136" spans="15:73"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</row>
    <row r="137" spans="15:73"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</row>
    <row r="138" spans="15:73"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</row>
    <row r="139" spans="15:73"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</row>
    <row r="140" spans="15:73"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</row>
    <row r="141" spans="15:73"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</row>
    <row r="142" spans="15:73"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</row>
    <row r="143" spans="15:73"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</row>
    <row r="144" spans="15:73"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</row>
    <row r="145" spans="15:73"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</row>
    <row r="146" spans="15:73"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</row>
    <row r="147" spans="15:73"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</row>
    <row r="148" spans="15:73"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</row>
    <row r="149" spans="15:73"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</row>
    <row r="150" spans="15:73"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</row>
    <row r="151" spans="15:73"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</row>
    <row r="152" spans="15:73"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</row>
    <row r="153" spans="15:73"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</row>
    <row r="154" spans="15:73"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</row>
    <row r="155" spans="15:73"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</row>
    <row r="156" spans="15:73"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</row>
    <row r="157" spans="15:73"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</row>
    <row r="158" spans="15:73"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</row>
    <row r="159" spans="15:73"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</row>
    <row r="160" spans="15:73"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</row>
    <row r="161" spans="15:73"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</row>
    <row r="162" spans="15:73"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</row>
    <row r="163" spans="15:73"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  <c r="BT163" s="138"/>
      <c r="BU163" s="138"/>
    </row>
    <row r="164" spans="15:73"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</row>
    <row r="165" spans="15:73"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</row>
    <row r="166" spans="15:73"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</row>
    <row r="167" spans="15:73"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</row>
    <row r="168" spans="15:73"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</row>
    <row r="169" spans="15:73"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</row>
    <row r="170" spans="15:73"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8"/>
      <c r="BR170" s="138"/>
      <c r="BS170" s="138"/>
      <c r="BT170" s="138"/>
      <c r="BU170" s="138"/>
    </row>
    <row r="171" spans="15:73"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8"/>
      <c r="BQ171" s="138"/>
      <c r="BR171" s="138"/>
      <c r="BS171" s="138"/>
      <c r="BT171" s="138"/>
      <c r="BU171" s="138"/>
    </row>
    <row r="172" spans="15:73"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38"/>
      <c r="BP172" s="138"/>
      <c r="BQ172" s="138"/>
      <c r="BR172" s="138"/>
      <c r="BS172" s="138"/>
      <c r="BT172" s="138"/>
      <c r="BU172" s="138"/>
    </row>
    <row r="173" spans="15:73"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</row>
    <row r="174" spans="15:73"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</row>
    <row r="175" spans="15:73"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</row>
    <row r="176" spans="15:73"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</row>
    <row r="177" spans="15:73"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</row>
    <row r="178" spans="15:73"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</row>
    <row r="179" spans="15:73"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</row>
    <row r="180" spans="15:73"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</row>
    <row r="181" spans="15:73"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</row>
    <row r="182" spans="15:73"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</row>
    <row r="183" spans="15:73"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</row>
    <row r="184" spans="15:73"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</row>
    <row r="185" spans="15:73"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</row>
    <row r="186" spans="15:73"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</row>
    <row r="187" spans="15:73"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</row>
    <row r="188" spans="15:73"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</row>
    <row r="189" spans="15:73"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</row>
    <row r="190" spans="15:73"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</row>
    <row r="191" spans="15:73"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</row>
    <row r="192" spans="15:73"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</row>
    <row r="193" spans="15:73"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</row>
    <row r="194" spans="15:73"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</row>
    <row r="195" spans="15:73"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</row>
    <row r="196" spans="15:73"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</row>
    <row r="197" spans="15:73"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</row>
    <row r="198" spans="15:73"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38"/>
      <c r="BP198" s="138"/>
      <c r="BQ198" s="138"/>
      <c r="BR198" s="138"/>
      <c r="BS198" s="138"/>
      <c r="BT198" s="138"/>
      <c r="BU198" s="138"/>
    </row>
    <row r="199" spans="15:73"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38"/>
      <c r="BP199" s="138"/>
      <c r="BQ199" s="138"/>
      <c r="BR199" s="138"/>
      <c r="BS199" s="138"/>
      <c r="BT199" s="138"/>
      <c r="BU199" s="138"/>
    </row>
    <row r="200" spans="15:73"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  <c r="BT200" s="138"/>
      <c r="BU200" s="138"/>
    </row>
    <row r="201" spans="15:73"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  <c r="BP201" s="138"/>
      <c r="BQ201" s="138"/>
      <c r="BR201" s="138"/>
      <c r="BS201" s="138"/>
      <c r="BT201" s="138"/>
      <c r="BU201" s="138"/>
    </row>
    <row r="202" spans="15:73"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  <c r="BP202" s="138"/>
      <c r="BQ202" s="138"/>
      <c r="BR202" s="138"/>
      <c r="BS202" s="138"/>
      <c r="BT202" s="138"/>
      <c r="BU202" s="138"/>
    </row>
    <row r="203" spans="15:73"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8"/>
    </row>
    <row r="204" spans="15:73"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</row>
    <row r="205" spans="15:73"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</row>
    <row r="206" spans="15:73"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</row>
    <row r="207" spans="15:73"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</row>
    <row r="208" spans="15:73"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</row>
    <row r="209" spans="15:73"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</row>
    <row r="210" spans="15:73"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  <c r="BT210" s="138"/>
      <c r="BU210" s="138"/>
    </row>
    <row r="211" spans="15:73"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8"/>
      <c r="BR211" s="138"/>
      <c r="BS211" s="138"/>
      <c r="BT211" s="138"/>
      <c r="BU211" s="138"/>
    </row>
    <row r="212" spans="15:73"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</row>
    <row r="213" spans="15:73"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</row>
    <row r="214" spans="15:73"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</row>
    <row r="215" spans="15:73"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</row>
    <row r="216" spans="15:73"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</row>
    <row r="217" spans="15:73"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</row>
    <row r="218" spans="15:73"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</row>
    <row r="219" spans="15:73"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</row>
    <row r="220" spans="15:73"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</row>
    <row r="221" spans="15:73"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</row>
    <row r="222" spans="15:73"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</row>
    <row r="223" spans="15:73"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8"/>
    </row>
    <row r="224" spans="15:73"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  <c r="BS224" s="138"/>
      <c r="BT224" s="138"/>
      <c r="BU224" s="138"/>
    </row>
    <row r="225" spans="15:73"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  <c r="BS225" s="138"/>
      <c r="BT225" s="138"/>
      <c r="BU225" s="138"/>
    </row>
    <row r="226" spans="15:73"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  <c r="BS226" s="138"/>
      <c r="BT226" s="138"/>
      <c r="BU226" s="138"/>
    </row>
    <row r="227" spans="15:73"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8"/>
      <c r="BC227" s="138"/>
      <c r="BD227" s="138"/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  <c r="BS227" s="138"/>
      <c r="BT227" s="138"/>
      <c r="BU227" s="138"/>
    </row>
    <row r="228" spans="15:73"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  <c r="BS228" s="138"/>
      <c r="BT228" s="138"/>
      <c r="BU228" s="138"/>
    </row>
    <row r="229" spans="15:73"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  <c r="AY229" s="138"/>
      <c r="AZ229" s="138"/>
      <c r="BA229" s="138"/>
      <c r="BB229" s="138"/>
      <c r="BC229" s="138"/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  <c r="BS229" s="138"/>
      <c r="BT229" s="138"/>
      <c r="BU229" s="138"/>
    </row>
    <row r="230" spans="15:73"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8"/>
      <c r="BB230" s="138"/>
      <c r="BC230" s="1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  <c r="BS230" s="138"/>
      <c r="BT230" s="138"/>
      <c r="BU230" s="138"/>
    </row>
    <row r="231" spans="15:73"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  <c r="BS231" s="138"/>
      <c r="BT231" s="138"/>
      <c r="BU231" s="138"/>
    </row>
    <row r="232" spans="15:73"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  <c r="BS232" s="138"/>
      <c r="BT232" s="138"/>
      <c r="BU232" s="138"/>
    </row>
    <row r="233" spans="15:73"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  <c r="BS233" s="138"/>
      <c r="BT233" s="138"/>
      <c r="BU233" s="138"/>
    </row>
    <row r="234" spans="15:73"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138"/>
      <c r="BT234" s="138"/>
      <c r="BU234" s="138"/>
    </row>
    <row r="235" spans="15:73"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</row>
    <row r="236" spans="15:73"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</row>
    <row r="237" spans="15:73"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</row>
    <row r="238" spans="15:73"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</row>
    <row r="239" spans="15:73"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</row>
    <row r="240" spans="15:73"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  <c r="BT240" s="138"/>
      <c r="BU240" s="138"/>
    </row>
    <row r="241" spans="15:73"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</row>
    <row r="242" spans="15:73"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  <c r="BT242" s="138"/>
      <c r="BU242" s="138"/>
    </row>
    <row r="243" spans="15:73"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  <c r="BT243" s="138"/>
      <c r="BU243" s="138"/>
    </row>
    <row r="244" spans="15:73"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  <c r="BS244" s="138"/>
      <c r="BT244" s="138"/>
      <c r="BU244" s="138"/>
    </row>
    <row r="245" spans="15:73"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  <c r="BT245" s="138"/>
      <c r="BU245" s="138"/>
    </row>
    <row r="246" spans="15:73"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</row>
    <row r="247" spans="15:73"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  <c r="BP247" s="138"/>
      <c r="BQ247" s="138"/>
      <c r="BR247" s="138"/>
      <c r="BS247" s="138"/>
      <c r="BT247" s="138"/>
      <c r="BU247" s="138"/>
    </row>
    <row r="248" spans="15:73"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</row>
    <row r="249" spans="15:73"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</row>
    <row r="250" spans="15:73"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  <c r="BP250" s="138"/>
      <c r="BQ250" s="138"/>
      <c r="BR250" s="138"/>
      <c r="BS250" s="138"/>
      <c r="BT250" s="138"/>
      <c r="BU250" s="138"/>
    </row>
    <row r="251" spans="15:73"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</row>
    <row r="252" spans="15:73"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</row>
    <row r="253" spans="15:73"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</row>
    <row r="254" spans="15:73"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</row>
    <row r="255" spans="15:73"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</row>
    <row r="256" spans="15:73"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</row>
    <row r="257" spans="15:73"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</row>
    <row r="258" spans="15:73"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  <c r="BP258" s="138"/>
      <c r="BQ258" s="138"/>
      <c r="BR258" s="138"/>
      <c r="BS258" s="138"/>
      <c r="BT258" s="138"/>
      <c r="BU258" s="138"/>
    </row>
    <row r="259" spans="15:73"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38"/>
      <c r="BP259" s="138"/>
      <c r="BQ259" s="138"/>
      <c r="BR259" s="138"/>
      <c r="BS259" s="138"/>
      <c r="BT259" s="138"/>
      <c r="BU259" s="138"/>
    </row>
    <row r="260" spans="15:73"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  <c r="BT260" s="138"/>
      <c r="BU260" s="138"/>
    </row>
    <row r="261" spans="15:73"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  <c r="BP261" s="138"/>
      <c r="BQ261" s="138"/>
      <c r="BR261" s="138"/>
      <c r="BS261" s="138"/>
      <c r="BT261" s="138"/>
      <c r="BU261" s="138"/>
    </row>
    <row r="262" spans="15:73"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</row>
    <row r="263" spans="15:73"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</row>
    <row r="264" spans="15:73"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</row>
    <row r="265" spans="15:73"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</row>
    <row r="266" spans="15:73"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</row>
    <row r="267" spans="15:73"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38"/>
      <c r="AX267" s="138"/>
      <c r="AY267" s="138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</row>
    <row r="268" spans="15:73"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</row>
    <row r="269" spans="15:73"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</row>
    <row r="270" spans="15:73"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</row>
    <row r="271" spans="15:73"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38"/>
      <c r="AX271" s="138"/>
      <c r="AY271" s="138"/>
      <c r="AZ271" s="138"/>
      <c r="BA271" s="138"/>
      <c r="BB271" s="138"/>
      <c r="BC271" s="138"/>
      <c r="BD271" s="138"/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  <c r="BP271" s="138"/>
      <c r="BQ271" s="138"/>
      <c r="BR271" s="138"/>
      <c r="BS271" s="138"/>
      <c r="BT271" s="138"/>
      <c r="BU271" s="138"/>
    </row>
    <row r="272" spans="15:73"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8"/>
      <c r="BC272" s="138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  <c r="BT272" s="138"/>
      <c r="BU272" s="138"/>
    </row>
    <row r="273" spans="15:73"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8"/>
      <c r="BA273" s="138"/>
      <c r="BB273" s="138"/>
      <c r="BC273" s="138"/>
      <c r="BD273" s="138"/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</row>
    <row r="274" spans="15:73"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  <c r="BT274" s="138"/>
      <c r="BU274" s="138"/>
    </row>
    <row r="275" spans="15:73"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8"/>
      <c r="BA275" s="138"/>
      <c r="BB275" s="138"/>
      <c r="BC275" s="138"/>
      <c r="BD275" s="138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  <c r="BT275" s="138"/>
      <c r="BU275" s="138"/>
    </row>
    <row r="276" spans="15:73"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8"/>
      <c r="BA276" s="138"/>
      <c r="BB276" s="138"/>
      <c r="BC276" s="138"/>
      <c r="BD276" s="138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8"/>
      <c r="BR276" s="138"/>
      <c r="BS276" s="138"/>
      <c r="BT276" s="138"/>
      <c r="BU276" s="138"/>
    </row>
    <row r="277" spans="15:73"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38"/>
      <c r="AX277" s="138"/>
      <c r="AY277" s="138"/>
      <c r="AZ277" s="138"/>
      <c r="BA277" s="138"/>
      <c r="BB277" s="138"/>
      <c r="BC277" s="138"/>
      <c r="BD277" s="138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  <c r="BP277" s="138"/>
      <c r="BQ277" s="138"/>
      <c r="BR277" s="138"/>
      <c r="BS277" s="138"/>
      <c r="BT277" s="138"/>
      <c r="BU277" s="138"/>
    </row>
    <row r="278" spans="15:73"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138"/>
      <c r="AW278" s="138"/>
      <c r="AX278" s="138"/>
      <c r="AY278" s="138"/>
      <c r="AZ278" s="138"/>
      <c r="BA278" s="138"/>
      <c r="BB278" s="138"/>
      <c r="BC278" s="138"/>
      <c r="BD278" s="138"/>
      <c r="BE278" s="138"/>
      <c r="BF278" s="138"/>
      <c r="BG278" s="138"/>
      <c r="BH278" s="138"/>
      <c r="BI278" s="138"/>
      <c r="BJ278" s="138"/>
      <c r="BK278" s="138"/>
      <c r="BL278" s="138"/>
      <c r="BM278" s="138"/>
      <c r="BN278" s="138"/>
      <c r="BO278" s="138"/>
      <c r="BP278" s="138"/>
      <c r="BQ278" s="138"/>
      <c r="BR278" s="138"/>
      <c r="BS278" s="138"/>
      <c r="BT278" s="138"/>
      <c r="BU278" s="138"/>
    </row>
    <row r="279" spans="15:73"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38"/>
      <c r="AX279" s="138"/>
      <c r="AY279" s="138"/>
      <c r="AZ279" s="138"/>
      <c r="BA279" s="138"/>
      <c r="BB279" s="138"/>
      <c r="BC279" s="138"/>
      <c r="BD279" s="138"/>
      <c r="BE279" s="138"/>
      <c r="BF279" s="138"/>
      <c r="BG279" s="138"/>
      <c r="BH279" s="138"/>
      <c r="BI279" s="138"/>
      <c r="BJ279" s="138"/>
      <c r="BK279" s="138"/>
      <c r="BL279" s="138"/>
      <c r="BM279" s="138"/>
      <c r="BN279" s="138"/>
      <c r="BO279" s="138"/>
      <c r="BP279" s="138"/>
      <c r="BQ279" s="138"/>
      <c r="BR279" s="138"/>
      <c r="BS279" s="138"/>
      <c r="BT279" s="138"/>
      <c r="BU279" s="138"/>
    </row>
    <row r="280" spans="15:73"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  <c r="BI280" s="138"/>
      <c r="BJ280" s="138"/>
      <c r="BK280" s="138"/>
      <c r="BL280" s="138"/>
      <c r="BM280" s="138"/>
      <c r="BN280" s="138"/>
      <c r="BO280" s="138"/>
      <c r="BP280" s="138"/>
      <c r="BQ280" s="138"/>
      <c r="BR280" s="138"/>
      <c r="BS280" s="138"/>
      <c r="BT280" s="138"/>
      <c r="BU280" s="138"/>
    </row>
    <row r="281" spans="15:73"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8"/>
      <c r="BA281" s="138"/>
      <c r="BB281" s="138"/>
      <c r="BC281" s="138"/>
      <c r="BD281" s="138"/>
      <c r="BE281" s="138"/>
      <c r="BF281" s="138"/>
      <c r="BG281" s="138"/>
      <c r="BH281" s="138"/>
      <c r="BI281" s="138"/>
      <c r="BJ281" s="138"/>
      <c r="BK281" s="138"/>
      <c r="BL281" s="138"/>
      <c r="BM281" s="138"/>
      <c r="BN281" s="138"/>
      <c r="BO281" s="138"/>
      <c r="BP281" s="138"/>
      <c r="BQ281" s="138"/>
      <c r="BR281" s="138"/>
      <c r="BS281" s="138"/>
      <c r="BT281" s="138"/>
      <c r="BU281" s="138"/>
    </row>
    <row r="282" spans="15:73"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8"/>
      <c r="AZ282" s="138"/>
      <c r="BA282" s="138"/>
      <c r="BB282" s="138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  <c r="BP282" s="138"/>
      <c r="BQ282" s="138"/>
      <c r="BR282" s="138"/>
      <c r="BS282" s="138"/>
      <c r="BT282" s="138"/>
      <c r="BU282" s="138"/>
    </row>
    <row r="283" spans="15:73"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  <c r="BP283" s="138"/>
      <c r="BQ283" s="138"/>
      <c r="BR283" s="138"/>
      <c r="BS283" s="138"/>
      <c r="BT283" s="138"/>
      <c r="BU283" s="138"/>
    </row>
    <row r="284" spans="15:73"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  <c r="BP284" s="138"/>
      <c r="BQ284" s="138"/>
      <c r="BR284" s="138"/>
      <c r="BS284" s="138"/>
      <c r="BT284" s="138"/>
      <c r="BU284" s="138"/>
    </row>
    <row r="285" spans="15:73"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  <c r="BP285" s="138"/>
      <c r="BQ285" s="138"/>
      <c r="BR285" s="138"/>
      <c r="BS285" s="138"/>
      <c r="BT285" s="138"/>
      <c r="BU285" s="138"/>
    </row>
    <row r="286" spans="15:73"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38"/>
      <c r="BC286" s="138"/>
      <c r="BD286" s="138"/>
      <c r="BE286" s="138"/>
      <c r="BF286" s="138"/>
      <c r="BG286" s="138"/>
      <c r="BH286" s="138"/>
      <c r="BI286" s="138"/>
      <c r="BJ286" s="138"/>
      <c r="BK286" s="138"/>
      <c r="BL286" s="138"/>
      <c r="BM286" s="138"/>
      <c r="BN286" s="138"/>
      <c r="BO286" s="138"/>
      <c r="BP286" s="138"/>
      <c r="BQ286" s="138"/>
      <c r="BR286" s="138"/>
      <c r="BS286" s="138"/>
      <c r="BT286" s="138"/>
      <c r="BU286" s="138"/>
    </row>
    <row r="287" spans="15:73"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8"/>
      <c r="BR287" s="138"/>
      <c r="BS287" s="138"/>
      <c r="BT287" s="138"/>
      <c r="BU287" s="138"/>
    </row>
    <row r="288" spans="15:73"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  <c r="BP288" s="138"/>
      <c r="BQ288" s="138"/>
      <c r="BR288" s="138"/>
      <c r="BS288" s="138"/>
      <c r="BT288" s="138"/>
      <c r="BU288" s="138"/>
    </row>
    <row r="289" spans="15:73"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38"/>
      <c r="AX289" s="138"/>
      <c r="AY289" s="138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138"/>
      <c r="BK289" s="138"/>
      <c r="BL289" s="138"/>
      <c r="BM289" s="138"/>
      <c r="BN289" s="138"/>
      <c r="BO289" s="138"/>
      <c r="BP289" s="138"/>
      <c r="BQ289" s="138"/>
      <c r="BR289" s="138"/>
      <c r="BS289" s="138"/>
      <c r="BT289" s="138"/>
      <c r="BU289" s="138"/>
    </row>
    <row r="290" spans="15:73"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  <c r="BP290" s="138"/>
      <c r="BQ290" s="138"/>
      <c r="BR290" s="138"/>
      <c r="BS290" s="138"/>
      <c r="BT290" s="138"/>
      <c r="BU290" s="138"/>
    </row>
    <row r="291" spans="15:73"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</row>
    <row r="292" spans="15:73"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  <c r="BT292" s="138"/>
      <c r="BU292" s="138"/>
    </row>
    <row r="293" spans="15:73"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</row>
    <row r="294" spans="15:73"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</row>
    <row r="295" spans="15:73"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  <c r="BP295" s="138"/>
      <c r="BQ295" s="138"/>
      <c r="BR295" s="138"/>
      <c r="BS295" s="138"/>
      <c r="BT295" s="138"/>
      <c r="BU295" s="138"/>
    </row>
    <row r="296" spans="15:73"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  <c r="BT296" s="138"/>
      <c r="BU296" s="138"/>
    </row>
    <row r="297" spans="15:73"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  <c r="BT297" s="138"/>
      <c r="BU297" s="138"/>
    </row>
    <row r="298" spans="15:73"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</row>
    <row r="299" spans="15:73"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</row>
    <row r="300" spans="15:73"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</row>
    <row r="301" spans="15:73"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</row>
    <row r="302" spans="15:73"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</row>
    <row r="303" spans="15:73"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</row>
    <row r="304" spans="15:73"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</row>
    <row r="305" spans="15:73"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</row>
    <row r="306" spans="15:73"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</row>
    <row r="307" spans="15:73"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</row>
    <row r="308" spans="15:73"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</row>
    <row r="309" spans="15:73"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</row>
    <row r="310" spans="15:73"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</row>
    <row r="311" spans="15:73"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</row>
    <row r="312" spans="15:73"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</row>
    <row r="313" spans="15:73"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</row>
    <row r="314" spans="15:73"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</row>
    <row r="315" spans="15:73"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</row>
    <row r="316" spans="15:73"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</row>
    <row r="317" spans="15:73"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</row>
    <row r="318" spans="15:73"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</row>
    <row r="319" spans="15:73"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</row>
    <row r="320" spans="15:73"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</row>
    <row r="321" spans="15:73"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</row>
    <row r="322" spans="15:73"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  <c r="BT322" s="138"/>
      <c r="BU322" s="138"/>
    </row>
    <row r="323" spans="15:73"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</row>
    <row r="324" spans="15:73"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  <c r="BT324" s="138"/>
      <c r="BU324" s="138"/>
    </row>
    <row r="325" spans="15:73"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  <c r="BT325" s="138"/>
      <c r="BU325" s="138"/>
    </row>
    <row r="326" spans="15:73"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8"/>
      <c r="BM326" s="138"/>
      <c r="BN326" s="138"/>
      <c r="BO326" s="138"/>
      <c r="BP326" s="138"/>
      <c r="BQ326" s="138"/>
      <c r="BR326" s="138"/>
      <c r="BS326" s="138"/>
      <c r="BT326" s="138"/>
      <c r="BU326" s="138"/>
    </row>
    <row r="327" spans="15:73"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8"/>
      <c r="BM327" s="138"/>
      <c r="BN327" s="138"/>
      <c r="BO327" s="138"/>
      <c r="BP327" s="138"/>
      <c r="BQ327" s="138"/>
      <c r="BR327" s="138"/>
      <c r="BS327" s="138"/>
      <c r="BT327" s="138"/>
      <c r="BU327" s="138"/>
    </row>
    <row r="328" spans="15:73"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  <c r="BP328" s="138"/>
      <c r="BQ328" s="138"/>
      <c r="BR328" s="138"/>
      <c r="BS328" s="138"/>
      <c r="BT328" s="138"/>
      <c r="BU328" s="138"/>
    </row>
    <row r="329" spans="15:73"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38"/>
      <c r="AX329" s="138"/>
      <c r="AY329" s="138"/>
      <c r="AZ329" s="138"/>
      <c r="BA329" s="138"/>
      <c r="BB329" s="138"/>
      <c r="BC329" s="138"/>
      <c r="BD329" s="138"/>
      <c r="BE329" s="138"/>
      <c r="BF329" s="138"/>
      <c r="BG329" s="138"/>
      <c r="BH329" s="138"/>
      <c r="BI329" s="138"/>
      <c r="BJ329" s="138"/>
      <c r="BK329" s="138"/>
      <c r="BL329" s="138"/>
      <c r="BM329" s="138"/>
      <c r="BN329" s="138"/>
      <c r="BO329" s="138"/>
      <c r="BP329" s="138"/>
      <c r="BQ329" s="138"/>
      <c r="BR329" s="138"/>
      <c r="BS329" s="138"/>
      <c r="BT329" s="138"/>
      <c r="BU329" s="138"/>
    </row>
    <row r="330" spans="15:73"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38"/>
      <c r="BN330" s="138"/>
      <c r="BO330" s="138"/>
      <c r="BP330" s="138"/>
      <c r="BQ330" s="138"/>
      <c r="BR330" s="138"/>
      <c r="BS330" s="138"/>
      <c r="BT330" s="138"/>
      <c r="BU330" s="138"/>
    </row>
    <row r="331" spans="15:73"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8"/>
      <c r="BM331" s="138"/>
      <c r="BN331" s="138"/>
      <c r="BO331" s="138"/>
      <c r="BP331" s="138"/>
      <c r="BQ331" s="138"/>
      <c r="BR331" s="138"/>
      <c r="BS331" s="138"/>
      <c r="BT331" s="138"/>
      <c r="BU331" s="138"/>
    </row>
    <row r="332" spans="15:73"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</row>
    <row r="333" spans="15:73"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8"/>
      <c r="BM333" s="138"/>
      <c r="BN333" s="138"/>
      <c r="BO333" s="138"/>
      <c r="BP333" s="138"/>
      <c r="BQ333" s="138"/>
      <c r="BR333" s="138"/>
      <c r="BS333" s="138"/>
      <c r="BT333" s="138"/>
      <c r="BU333" s="138"/>
    </row>
    <row r="334" spans="15:73"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138"/>
      <c r="BT334" s="138"/>
      <c r="BU334" s="138"/>
    </row>
    <row r="335" spans="15:73"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  <c r="BP335" s="138"/>
      <c r="BQ335" s="138"/>
      <c r="BR335" s="138"/>
      <c r="BS335" s="138"/>
      <c r="BT335" s="138"/>
      <c r="BU335" s="138"/>
    </row>
    <row r="336" spans="15:73"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  <c r="BP336" s="138"/>
      <c r="BQ336" s="138"/>
      <c r="BR336" s="138"/>
      <c r="BS336" s="138"/>
      <c r="BT336" s="138"/>
      <c r="BU336" s="138"/>
    </row>
    <row r="337" spans="15:73"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38"/>
      <c r="AX337" s="138"/>
      <c r="AY337" s="138"/>
      <c r="AZ337" s="138"/>
      <c r="BA337" s="138"/>
      <c r="BB337" s="138"/>
      <c r="BC337" s="138"/>
      <c r="BD337" s="138"/>
      <c r="BE337" s="138"/>
      <c r="BF337" s="138"/>
      <c r="BG337" s="138"/>
      <c r="BH337" s="138"/>
      <c r="BI337" s="138"/>
      <c r="BJ337" s="138"/>
      <c r="BK337" s="138"/>
      <c r="BL337" s="138"/>
      <c r="BM337" s="138"/>
      <c r="BN337" s="138"/>
      <c r="BO337" s="138"/>
      <c r="BP337" s="138"/>
      <c r="BQ337" s="138"/>
      <c r="BR337" s="138"/>
      <c r="BS337" s="138"/>
      <c r="BT337" s="138"/>
      <c r="BU337" s="138"/>
    </row>
    <row r="338" spans="15:73"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</row>
    <row r="339" spans="15:73"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</row>
    <row r="340" spans="15:73"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  <c r="BP340" s="138"/>
      <c r="BQ340" s="138"/>
      <c r="BR340" s="138"/>
      <c r="BS340" s="138"/>
      <c r="BT340" s="138"/>
      <c r="BU340" s="138"/>
    </row>
    <row r="341" spans="15:73"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</row>
    <row r="342" spans="15:73"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</row>
    <row r="343" spans="15:73"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</row>
    <row r="344" spans="15:73"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38"/>
      <c r="AX344" s="138"/>
      <c r="AY344" s="138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8"/>
      <c r="BM344" s="138"/>
      <c r="BN344" s="138"/>
      <c r="BO344" s="138"/>
      <c r="BP344" s="138"/>
      <c r="BQ344" s="138"/>
      <c r="BR344" s="138"/>
      <c r="BS344" s="138"/>
      <c r="BT344" s="138"/>
      <c r="BU344" s="138"/>
    </row>
    <row r="345" spans="15:73"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8"/>
      <c r="BM345" s="138"/>
      <c r="BN345" s="138"/>
      <c r="BO345" s="138"/>
      <c r="BP345" s="138"/>
      <c r="BQ345" s="138"/>
      <c r="BR345" s="138"/>
      <c r="BS345" s="138"/>
      <c r="BT345" s="138"/>
      <c r="BU345" s="138"/>
    </row>
    <row r="346" spans="15:73"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8"/>
      <c r="BM346" s="138"/>
      <c r="BN346" s="138"/>
      <c r="BO346" s="138"/>
      <c r="BP346" s="138"/>
      <c r="BQ346" s="138"/>
      <c r="BR346" s="138"/>
      <c r="BS346" s="138"/>
      <c r="BT346" s="138"/>
      <c r="BU346" s="138"/>
    </row>
    <row r="347" spans="15:73"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138"/>
      <c r="AC347" s="138"/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</row>
    <row r="348" spans="15:73"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8"/>
      <c r="BM348" s="138"/>
      <c r="BN348" s="138"/>
      <c r="BO348" s="138"/>
      <c r="BP348" s="138"/>
      <c r="BQ348" s="138"/>
      <c r="BR348" s="138"/>
      <c r="BS348" s="138"/>
      <c r="BT348" s="138"/>
      <c r="BU348" s="138"/>
    </row>
    <row r="349" spans="15:73"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  <c r="AA349" s="138"/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  <c r="BP349" s="138"/>
      <c r="BQ349" s="138"/>
      <c r="BR349" s="138"/>
      <c r="BS349" s="138"/>
      <c r="BT349" s="138"/>
      <c r="BU349" s="138"/>
    </row>
    <row r="350" spans="15:73"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8"/>
      <c r="BM350" s="138"/>
      <c r="BN350" s="138"/>
      <c r="BO350" s="138"/>
      <c r="BP350" s="138"/>
      <c r="BQ350" s="138"/>
      <c r="BR350" s="138"/>
      <c r="BS350" s="138"/>
      <c r="BT350" s="138"/>
      <c r="BU350" s="138"/>
    </row>
    <row r="351" spans="15:73"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38"/>
      <c r="AX351" s="138"/>
      <c r="AY351" s="138"/>
      <c r="AZ351" s="138"/>
      <c r="BA351" s="138"/>
      <c r="BB351" s="138"/>
      <c r="BC351" s="138"/>
      <c r="BD351" s="138"/>
      <c r="BE351" s="138"/>
      <c r="BF351" s="138"/>
      <c r="BG351" s="138"/>
      <c r="BH351" s="138"/>
      <c r="BI351" s="138"/>
      <c r="BJ351" s="138"/>
      <c r="BK351" s="138"/>
      <c r="BL351" s="138"/>
      <c r="BM351" s="138"/>
      <c r="BN351" s="138"/>
      <c r="BO351" s="138"/>
      <c r="BP351" s="138"/>
      <c r="BQ351" s="138"/>
      <c r="BR351" s="138"/>
      <c r="BS351" s="138"/>
      <c r="BT351" s="138"/>
      <c r="BU351" s="138"/>
    </row>
    <row r="352" spans="15:73"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38"/>
      <c r="AX352" s="138"/>
      <c r="AY352" s="138"/>
      <c r="AZ352" s="138"/>
      <c r="BA352" s="138"/>
      <c r="BB352" s="138"/>
      <c r="BC352" s="138"/>
      <c r="BD352" s="138"/>
      <c r="BE352" s="138"/>
      <c r="BF352" s="138"/>
      <c r="BG352" s="138"/>
      <c r="BH352" s="138"/>
      <c r="BI352" s="138"/>
      <c r="BJ352" s="138"/>
      <c r="BK352" s="138"/>
      <c r="BL352" s="138"/>
      <c r="BM352" s="138"/>
      <c r="BN352" s="138"/>
      <c r="BO352" s="138"/>
      <c r="BP352" s="138"/>
      <c r="BQ352" s="138"/>
      <c r="BR352" s="138"/>
      <c r="BS352" s="138"/>
      <c r="BT352" s="138"/>
      <c r="BU352" s="138"/>
    </row>
    <row r="353" spans="15:73"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8"/>
      <c r="AZ353" s="138"/>
      <c r="BA353" s="138"/>
      <c r="BB353" s="138"/>
      <c r="BC353" s="138"/>
      <c r="BD353" s="138"/>
      <c r="BE353" s="138"/>
      <c r="BF353" s="138"/>
      <c r="BG353" s="138"/>
      <c r="BH353" s="138"/>
      <c r="BI353" s="138"/>
      <c r="BJ353" s="138"/>
      <c r="BK353" s="138"/>
      <c r="BL353" s="138"/>
      <c r="BM353" s="138"/>
      <c r="BN353" s="138"/>
      <c r="BO353" s="138"/>
      <c r="BP353" s="138"/>
      <c r="BQ353" s="138"/>
      <c r="BR353" s="138"/>
      <c r="BS353" s="138"/>
      <c r="BT353" s="138"/>
      <c r="BU353" s="138"/>
    </row>
    <row r="354" spans="15:73"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38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8"/>
      <c r="BN354" s="138"/>
      <c r="BO354" s="138"/>
      <c r="BP354" s="138"/>
      <c r="BQ354" s="138"/>
      <c r="BR354" s="138"/>
      <c r="BS354" s="138"/>
      <c r="BT354" s="138"/>
      <c r="BU354" s="138"/>
    </row>
    <row r="355" spans="15:73"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8"/>
      <c r="BN355" s="138"/>
      <c r="BO355" s="138"/>
      <c r="BP355" s="138"/>
      <c r="BQ355" s="138"/>
      <c r="BR355" s="138"/>
      <c r="BS355" s="138"/>
      <c r="BT355" s="138"/>
      <c r="BU355" s="138"/>
    </row>
    <row r="356" spans="15:73"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38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138"/>
      <c r="BM356" s="138"/>
      <c r="BN356" s="138"/>
      <c r="BO356" s="138"/>
      <c r="BP356" s="138"/>
      <c r="BQ356" s="138"/>
      <c r="BR356" s="138"/>
      <c r="BS356" s="138"/>
      <c r="BT356" s="138"/>
      <c r="BU356" s="138"/>
    </row>
    <row r="357" spans="15:73"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8"/>
      <c r="BM357" s="138"/>
      <c r="BN357" s="138"/>
      <c r="BO357" s="138"/>
      <c r="BP357" s="138"/>
      <c r="BQ357" s="138"/>
      <c r="BR357" s="138"/>
      <c r="BS357" s="138"/>
      <c r="BT357" s="138"/>
      <c r="BU357" s="138"/>
    </row>
    <row r="358" spans="15:73"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8"/>
      <c r="BN358" s="138"/>
      <c r="BO358" s="138"/>
      <c r="BP358" s="138"/>
      <c r="BQ358" s="138"/>
      <c r="BR358" s="138"/>
      <c r="BS358" s="138"/>
      <c r="BT358" s="138"/>
      <c r="BU358" s="138"/>
    </row>
    <row r="359" spans="15:73"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138"/>
      <c r="AC359" s="138"/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38"/>
      <c r="AX359" s="138"/>
      <c r="AY359" s="138"/>
      <c r="AZ359" s="138"/>
      <c r="BA359" s="138"/>
      <c r="BB359" s="138"/>
      <c r="BC359" s="138"/>
      <c r="BD359" s="138"/>
      <c r="BE359" s="138"/>
      <c r="BF359" s="138"/>
      <c r="BG359" s="138"/>
      <c r="BH359" s="138"/>
      <c r="BI359" s="138"/>
      <c r="BJ359" s="138"/>
      <c r="BK359" s="138"/>
      <c r="BL359" s="138"/>
      <c r="BM359" s="138"/>
      <c r="BN359" s="138"/>
      <c r="BO359" s="138"/>
      <c r="BP359" s="138"/>
      <c r="BQ359" s="138"/>
      <c r="BR359" s="138"/>
      <c r="BS359" s="138"/>
      <c r="BT359" s="138"/>
      <c r="BU359" s="138"/>
    </row>
    <row r="360" spans="15:73"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38"/>
      <c r="AX360" s="138"/>
      <c r="AY360" s="138"/>
      <c r="AZ360" s="138"/>
      <c r="BA360" s="138"/>
      <c r="BB360" s="138"/>
      <c r="BC360" s="138"/>
      <c r="BD360" s="138"/>
      <c r="BE360" s="138"/>
      <c r="BF360" s="138"/>
      <c r="BG360" s="138"/>
      <c r="BH360" s="138"/>
      <c r="BI360" s="138"/>
      <c r="BJ360" s="138"/>
      <c r="BK360" s="138"/>
      <c r="BL360" s="138"/>
      <c r="BM360" s="138"/>
      <c r="BN360" s="138"/>
      <c r="BO360" s="138"/>
      <c r="BP360" s="138"/>
      <c r="BQ360" s="138"/>
      <c r="BR360" s="138"/>
      <c r="BS360" s="138"/>
      <c r="BT360" s="138"/>
      <c r="BU360" s="138"/>
    </row>
    <row r="361" spans="15:73"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138"/>
      <c r="BN361" s="138"/>
      <c r="BO361" s="138"/>
      <c r="BP361" s="138"/>
      <c r="BQ361" s="138"/>
      <c r="BR361" s="138"/>
      <c r="BS361" s="138"/>
      <c r="BT361" s="138"/>
      <c r="BU361" s="138"/>
    </row>
    <row r="362" spans="15:73"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8"/>
      <c r="BF362" s="138"/>
      <c r="BG362" s="138"/>
      <c r="BH362" s="138"/>
      <c r="BI362" s="138"/>
      <c r="BJ362" s="138"/>
      <c r="BK362" s="138"/>
      <c r="BL362" s="138"/>
      <c r="BM362" s="138"/>
      <c r="BN362" s="138"/>
      <c r="BO362" s="138"/>
      <c r="BP362" s="138"/>
      <c r="BQ362" s="138"/>
      <c r="BR362" s="138"/>
      <c r="BS362" s="138"/>
      <c r="BT362" s="138"/>
      <c r="BU362" s="138"/>
    </row>
    <row r="363" spans="15:73"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8"/>
      <c r="BF363" s="138"/>
      <c r="BG363" s="138"/>
      <c r="BH363" s="138"/>
      <c r="BI363" s="138"/>
      <c r="BJ363" s="138"/>
      <c r="BK363" s="138"/>
      <c r="BL363" s="138"/>
      <c r="BM363" s="138"/>
      <c r="BN363" s="138"/>
      <c r="BO363" s="138"/>
      <c r="BP363" s="138"/>
      <c r="BQ363" s="138"/>
      <c r="BR363" s="138"/>
      <c r="BS363" s="138"/>
      <c r="BT363" s="138"/>
      <c r="BU363" s="138"/>
    </row>
    <row r="364" spans="15:73"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8"/>
      <c r="BF364" s="138"/>
      <c r="BG364" s="138"/>
      <c r="BH364" s="138"/>
      <c r="BI364" s="138"/>
      <c r="BJ364" s="138"/>
      <c r="BK364" s="138"/>
      <c r="BL364" s="138"/>
      <c r="BM364" s="138"/>
      <c r="BN364" s="138"/>
      <c r="BO364" s="138"/>
      <c r="BP364" s="138"/>
      <c r="BQ364" s="138"/>
      <c r="BR364" s="138"/>
      <c r="BS364" s="138"/>
      <c r="BT364" s="138"/>
      <c r="BU364" s="138"/>
    </row>
    <row r="365" spans="15:73"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8"/>
      <c r="BM365" s="138"/>
      <c r="BN365" s="138"/>
      <c r="BO365" s="138"/>
      <c r="BP365" s="138"/>
      <c r="BQ365" s="138"/>
      <c r="BR365" s="138"/>
      <c r="BS365" s="138"/>
      <c r="BT365" s="138"/>
      <c r="BU365" s="138"/>
    </row>
    <row r="366" spans="15:73"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8"/>
      <c r="BM366" s="138"/>
      <c r="BN366" s="138"/>
      <c r="BO366" s="138"/>
      <c r="BP366" s="138"/>
      <c r="BQ366" s="138"/>
      <c r="BR366" s="138"/>
      <c r="BS366" s="138"/>
      <c r="BT366" s="138"/>
      <c r="BU366" s="138"/>
    </row>
    <row r="367" spans="15:73"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8"/>
      <c r="BM367" s="138"/>
      <c r="BN367" s="138"/>
      <c r="BO367" s="138"/>
      <c r="BP367" s="138"/>
      <c r="BQ367" s="138"/>
      <c r="BR367" s="138"/>
      <c r="BS367" s="138"/>
      <c r="BT367" s="138"/>
      <c r="BU367" s="138"/>
    </row>
    <row r="368" spans="15:73"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  <c r="BP368" s="138"/>
      <c r="BQ368" s="138"/>
      <c r="BR368" s="138"/>
      <c r="BS368" s="138"/>
      <c r="BT368" s="138"/>
      <c r="BU368" s="138"/>
    </row>
    <row r="369" spans="15:73"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8"/>
      <c r="BM369" s="138"/>
      <c r="BN369" s="138"/>
      <c r="BO369" s="138"/>
      <c r="BP369" s="138"/>
      <c r="BQ369" s="138"/>
      <c r="BR369" s="138"/>
      <c r="BS369" s="138"/>
      <c r="BT369" s="138"/>
      <c r="BU369" s="138"/>
    </row>
    <row r="370" spans="15:73"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38"/>
      <c r="AX370" s="138"/>
      <c r="AY370" s="138"/>
      <c r="AZ370" s="138"/>
      <c r="BA370" s="138"/>
      <c r="BB370" s="138"/>
      <c r="BC370" s="138"/>
      <c r="BD370" s="138"/>
      <c r="BE370" s="138"/>
      <c r="BF370" s="138"/>
      <c r="BG370" s="138"/>
      <c r="BH370" s="138"/>
      <c r="BI370" s="138"/>
      <c r="BJ370" s="138"/>
      <c r="BK370" s="138"/>
      <c r="BL370" s="138"/>
      <c r="BM370" s="138"/>
      <c r="BN370" s="138"/>
      <c r="BO370" s="138"/>
      <c r="BP370" s="138"/>
      <c r="BQ370" s="138"/>
      <c r="BR370" s="138"/>
      <c r="BS370" s="138"/>
      <c r="BT370" s="138"/>
      <c r="BU370" s="138"/>
    </row>
    <row r="371" spans="15:73"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8"/>
      <c r="BF371" s="138"/>
      <c r="BG371" s="138"/>
      <c r="BH371" s="138"/>
      <c r="BI371" s="138"/>
      <c r="BJ371" s="138"/>
      <c r="BK371" s="138"/>
      <c r="BL371" s="138"/>
      <c r="BM371" s="138"/>
      <c r="BN371" s="138"/>
      <c r="BO371" s="138"/>
      <c r="BP371" s="138"/>
      <c r="BQ371" s="138"/>
      <c r="BR371" s="138"/>
      <c r="BS371" s="138"/>
      <c r="BT371" s="138"/>
      <c r="BU371" s="138"/>
    </row>
    <row r="372" spans="15:73"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8"/>
      <c r="BF372" s="138"/>
      <c r="BG372" s="138"/>
      <c r="BH372" s="138"/>
      <c r="BI372" s="138"/>
      <c r="BJ372" s="138"/>
      <c r="BK372" s="138"/>
      <c r="BL372" s="138"/>
      <c r="BM372" s="138"/>
      <c r="BN372" s="138"/>
      <c r="BO372" s="138"/>
      <c r="BP372" s="138"/>
      <c r="BQ372" s="138"/>
      <c r="BR372" s="138"/>
      <c r="BS372" s="138"/>
      <c r="BT372" s="138"/>
      <c r="BU372" s="138"/>
    </row>
    <row r="373" spans="15:73"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38"/>
      <c r="AX373" s="138"/>
      <c r="AY373" s="138"/>
      <c r="AZ373" s="138"/>
      <c r="BA373" s="138"/>
      <c r="BB373" s="138"/>
      <c r="BC373" s="138"/>
      <c r="BD373" s="138"/>
      <c r="BE373" s="138"/>
      <c r="BF373" s="138"/>
      <c r="BG373" s="138"/>
      <c r="BH373" s="138"/>
      <c r="BI373" s="138"/>
      <c r="BJ373" s="138"/>
      <c r="BK373" s="138"/>
      <c r="BL373" s="138"/>
      <c r="BM373" s="138"/>
      <c r="BN373" s="138"/>
      <c r="BO373" s="138"/>
      <c r="BP373" s="138"/>
      <c r="BQ373" s="138"/>
      <c r="BR373" s="138"/>
      <c r="BS373" s="138"/>
      <c r="BT373" s="138"/>
      <c r="BU373" s="138"/>
    </row>
    <row r="374" spans="15:73"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  <c r="AC374" s="138"/>
      <c r="AD374" s="138"/>
      <c r="AE374" s="138"/>
      <c r="AF374" s="138"/>
      <c r="AG374" s="138"/>
      <c r="AH374" s="138"/>
      <c r="AI374" s="138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8"/>
      <c r="BM374" s="138"/>
      <c r="BN374" s="138"/>
      <c r="BO374" s="138"/>
      <c r="BP374" s="138"/>
      <c r="BQ374" s="138"/>
      <c r="BR374" s="138"/>
      <c r="BS374" s="138"/>
      <c r="BT374" s="138"/>
      <c r="BU374" s="138"/>
    </row>
    <row r="375" spans="15:73"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8"/>
      <c r="BF375" s="138"/>
      <c r="BG375" s="138"/>
      <c r="BH375" s="138"/>
      <c r="BI375" s="138"/>
      <c r="BJ375" s="138"/>
      <c r="BK375" s="138"/>
      <c r="BL375" s="138"/>
      <c r="BM375" s="138"/>
      <c r="BN375" s="138"/>
      <c r="BO375" s="138"/>
      <c r="BP375" s="138"/>
      <c r="BQ375" s="138"/>
      <c r="BR375" s="138"/>
      <c r="BS375" s="138"/>
      <c r="BT375" s="138"/>
      <c r="BU375" s="138"/>
    </row>
    <row r="376" spans="15:73"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8"/>
      <c r="BF376" s="138"/>
      <c r="BG376" s="138"/>
      <c r="BH376" s="138"/>
      <c r="BI376" s="138"/>
      <c r="BJ376" s="138"/>
      <c r="BK376" s="138"/>
      <c r="BL376" s="138"/>
      <c r="BM376" s="138"/>
      <c r="BN376" s="138"/>
      <c r="BO376" s="138"/>
      <c r="BP376" s="138"/>
      <c r="BQ376" s="138"/>
      <c r="BR376" s="138"/>
      <c r="BS376" s="138"/>
      <c r="BT376" s="138"/>
      <c r="BU376" s="138"/>
    </row>
    <row r="377" spans="15:73"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8"/>
      <c r="BM377" s="138"/>
      <c r="BN377" s="138"/>
      <c r="BO377" s="138"/>
      <c r="BP377" s="138"/>
      <c r="BQ377" s="138"/>
      <c r="BR377" s="138"/>
      <c r="BS377" s="138"/>
      <c r="BT377" s="138"/>
      <c r="BU377" s="138"/>
    </row>
    <row r="378" spans="15:73"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8"/>
      <c r="BF378" s="138"/>
      <c r="BG378" s="138"/>
      <c r="BH378" s="138"/>
      <c r="BI378" s="138"/>
      <c r="BJ378" s="138"/>
      <c r="BK378" s="138"/>
      <c r="BL378" s="138"/>
      <c r="BM378" s="138"/>
      <c r="BN378" s="138"/>
      <c r="BO378" s="138"/>
      <c r="BP378" s="138"/>
      <c r="BQ378" s="138"/>
      <c r="BR378" s="138"/>
      <c r="BS378" s="138"/>
      <c r="BT378" s="138"/>
      <c r="BU378" s="138"/>
    </row>
    <row r="379" spans="15:73"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  <c r="AC379" s="138"/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8"/>
      <c r="BM379" s="138"/>
      <c r="BN379" s="138"/>
      <c r="BO379" s="138"/>
      <c r="BP379" s="138"/>
      <c r="BQ379" s="138"/>
      <c r="BR379" s="138"/>
      <c r="BS379" s="138"/>
      <c r="BT379" s="138"/>
      <c r="BU379" s="138"/>
    </row>
    <row r="380" spans="15:73"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  <c r="AC380" s="138"/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8"/>
      <c r="BF380" s="138"/>
      <c r="BG380" s="138"/>
      <c r="BH380" s="138"/>
      <c r="BI380" s="138"/>
      <c r="BJ380" s="138"/>
      <c r="BK380" s="138"/>
      <c r="BL380" s="138"/>
      <c r="BM380" s="138"/>
      <c r="BN380" s="138"/>
      <c r="BO380" s="138"/>
      <c r="BP380" s="138"/>
      <c r="BQ380" s="138"/>
      <c r="BR380" s="138"/>
      <c r="BS380" s="138"/>
      <c r="BT380" s="138"/>
      <c r="BU380" s="138"/>
    </row>
    <row r="381" spans="15:73"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8"/>
      <c r="BF381" s="138"/>
      <c r="BG381" s="138"/>
      <c r="BH381" s="138"/>
      <c r="BI381" s="138"/>
      <c r="BJ381" s="138"/>
      <c r="BK381" s="138"/>
      <c r="BL381" s="138"/>
      <c r="BM381" s="138"/>
      <c r="BN381" s="138"/>
      <c r="BO381" s="138"/>
      <c r="BP381" s="138"/>
      <c r="BQ381" s="138"/>
      <c r="BR381" s="138"/>
      <c r="BS381" s="138"/>
      <c r="BT381" s="138"/>
      <c r="BU381" s="138"/>
    </row>
    <row r="382" spans="15:73"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8"/>
      <c r="BM382" s="138"/>
      <c r="BN382" s="138"/>
      <c r="BO382" s="138"/>
      <c r="BP382" s="138"/>
      <c r="BQ382" s="138"/>
      <c r="BR382" s="138"/>
      <c r="BS382" s="138"/>
      <c r="BT382" s="138"/>
      <c r="BU382" s="138"/>
    </row>
    <row r="383" spans="15:73"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8"/>
      <c r="BR383" s="138"/>
      <c r="BS383" s="138"/>
      <c r="BT383" s="138"/>
      <c r="BU383" s="138"/>
    </row>
    <row r="384" spans="15:73"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  <c r="AD384" s="138"/>
      <c r="AE384" s="138"/>
      <c r="AF384" s="138"/>
      <c r="AG384" s="138"/>
      <c r="AH384" s="138"/>
      <c r="AI384" s="138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8"/>
      <c r="BF384" s="138"/>
      <c r="BG384" s="138"/>
      <c r="BH384" s="138"/>
      <c r="BI384" s="138"/>
      <c r="BJ384" s="138"/>
      <c r="BK384" s="138"/>
      <c r="BL384" s="138"/>
      <c r="BM384" s="138"/>
      <c r="BN384" s="138"/>
      <c r="BO384" s="138"/>
      <c r="BP384" s="138"/>
      <c r="BQ384" s="138"/>
      <c r="BR384" s="138"/>
      <c r="BS384" s="138"/>
      <c r="BT384" s="138"/>
      <c r="BU384" s="138"/>
    </row>
    <row r="385" spans="15:73"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8"/>
      <c r="BF385" s="138"/>
      <c r="BG385" s="138"/>
      <c r="BH385" s="138"/>
      <c r="BI385" s="138"/>
      <c r="BJ385" s="138"/>
      <c r="BK385" s="138"/>
      <c r="BL385" s="138"/>
      <c r="BM385" s="138"/>
      <c r="BN385" s="138"/>
      <c r="BO385" s="138"/>
      <c r="BP385" s="138"/>
      <c r="BQ385" s="138"/>
      <c r="BR385" s="138"/>
      <c r="BS385" s="138"/>
      <c r="BT385" s="138"/>
      <c r="BU385" s="138"/>
    </row>
    <row r="386" spans="15:73"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8"/>
      <c r="BF386" s="138"/>
      <c r="BG386" s="138"/>
      <c r="BH386" s="138"/>
      <c r="BI386" s="138"/>
      <c r="BJ386" s="138"/>
      <c r="BK386" s="138"/>
      <c r="BL386" s="138"/>
      <c r="BM386" s="138"/>
      <c r="BN386" s="138"/>
      <c r="BO386" s="138"/>
      <c r="BP386" s="138"/>
      <c r="BQ386" s="138"/>
      <c r="BR386" s="138"/>
      <c r="BS386" s="138"/>
      <c r="BT386" s="138"/>
      <c r="BU386" s="138"/>
    </row>
    <row r="387" spans="15:73"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8"/>
      <c r="BF387" s="138"/>
      <c r="BG387" s="138"/>
      <c r="BH387" s="138"/>
      <c r="BI387" s="138"/>
      <c r="BJ387" s="138"/>
      <c r="BK387" s="138"/>
      <c r="BL387" s="138"/>
      <c r="BM387" s="138"/>
      <c r="BN387" s="138"/>
      <c r="BO387" s="138"/>
      <c r="BP387" s="138"/>
      <c r="BQ387" s="138"/>
      <c r="BR387" s="138"/>
      <c r="BS387" s="138"/>
      <c r="BT387" s="138"/>
      <c r="BU387" s="138"/>
    </row>
    <row r="388" spans="15:73"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8"/>
      <c r="BF388" s="138"/>
      <c r="BG388" s="138"/>
      <c r="BH388" s="138"/>
      <c r="BI388" s="138"/>
      <c r="BJ388" s="138"/>
      <c r="BK388" s="138"/>
      <c r="BL388" s="138"/>
      <c r="BM388" s="138"/>
      <c r="BN388" s="138"/>
      <c r="BO388" s="138"/>
      <c r="BP388" s="138"/>
      <c r="BQ388" s="138"/>
      <c r="BR388" s="138"/>
      <c r="BS388" s="138"/>
      <c r="BT388" s="138"/>
      <c r="BU388" s="138"/>
    </row>
    <row r="389" spans="15:73"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8"/>
      <c r="BM389" s="138"/>
      <c r="BN389" s="138"/>
      <c r="BO389" s="138"/>
      <c r="BP389" s="138"/>
      <c r="BQ389" s="138"/>
      <c r="BR389" s="138"/>
      <c r="BS389" s="138"/>
      <c r="BT389" s="138"/>
      <c r="BU389" s="138"/>
    </row>
    <row r="390" spans="15:73"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8"/>
      <c r="BF390" s="138"/>
      <c r="BG390" s="138"/>
      <c r="BH390" s="138"/>
      <c r="BI390" s="138"/>
      <c r="BJ390" s="138"/>
      <c r="BK390" s="138"/>
      <c r="BL390" s="138"/>
      <c r="BM390" s="138"/>
      <c r="BN390" s="138"/>
      <c r="BO390" s="138"/>
      <c r="BP390" s="138"/>
      <c r="BQ390" s="138"/>
      <c r="BR390" s="138"/>
      <c r="BS390" s="138"/>
      <c r="BT390" s="138"/>
      <c r="BU390" s="138"/>
    </row>
    <row r="391" spans="15:73"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8"/>
      <c r="BF391" s="138"/>
      <c r="BG391" s="138"/>
      <c r="BH391" s="138"/>
      <c r="BI391" s="138"/>
      <c r="BJ391" s="138"/>
      <c r="BK391" s="138"/>
      <c r="BL391" s="138"/>
      <c r="BM391" s="138"/>
      <c r="BN391" s="138"/>
      <c r="BO391" s="138"/>
      <c r="BP391" s="138"/>
      <c r="BQ391" s="138"/>
      <c r="BR391" s="138"/>
      <c r="BS391" s="138"/>
      <c r="BT391" s="138"/>
      <c r="BU391" s="138"/>
    </row>
    <row r="392" spans="15:73"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  <c r="AA392" s="138"/>
      <c r="AB392" s="138"/>
      <c r="AC392" s="138"/>
      <c r="AD392" s="138"/>
      <c r="AE392" s="138"/>
      <c r="AF392" s="138"/>
      <c r="AG392" s="138"/>
      <c r="AH392" s="138"/>
      <c r="AI392" s="138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8"/>
      <c r="BF392" s="138"/>
      <c r="BG392" s="138"/>
      <c r="BH392" s="138"/>
      <c r="BI392" s="138"/>
      <c r="BJ392" s="138"/>
      <c r="BK392" s="138"/>
      <c r="BL392" s="138"/>
      <c r="BM392" s="138"/>
      <c r="BN392" s="138"/>
      <c r="BO392" s="138"/>
      <c r="BP392" s="138"/>
      <c r="BQ392" s="138"/>
      <c r="BR392" s="138"/>
      <c r="BS392" s="138"/>
      <c r="BT392" s="138"/>
      <c r="BU392" s="138"/>
    </row>
    <row r="393" spans="15:73"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8"/>
      <c r="BM393" s="138"/>
      <c r="BN393" s="138"/>
      <c r="BO393" s="138"/>
      <c r="BP393" s="138"/>
      <c r="BQ393" s="138"/>
      <c r="BR393" s="138"/>
      <c r="BS393" s="138"/>
      <c r="BT393" s="138"/>
      <c r="BU393" s="138"/>
    </row>
    <row r="394" spans="15:73"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8"/>
      <c r="BM394" s="138"/>
      <c r="BN394" s="138"/>
      <c r="BO394" s="138"/>
      <c r="BP394" s="138"/>
      <c r="BQ394" s="138"/>
      <c r="BR394" s="138"/>
      <c r="BS394" s="138"/>
      <c r="BT394" s="138"/>
      <c r="BU394" s="138"/>
    </row>
    <row r="395" spans="15:73"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  <c r="AC395" s="138"/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8"/>
      <c r="BF395" s="138"/>
      <c r="BG395" s="138"/>
      <c r="BH395" s="138"/>
      <c r="BI395" s="138"/>
      <c r="BJ395" s="138"/>
      <c r="BK395" s="138"/>
      <c r="BL395" s="138"/>
      <c r="BM395" s="138"/>
      <c r="BN395" s="138"/>
      <c r="BO395" s="138"/>
      <c r="BP395" s="138"/>
      <c r="BQ395" s="138"/>
      <c r="BR395" s="138"/>
      <c r="BS395" s="138"/>
      <c r="BT395" s="138"/>
      <c r="BU395" s="138"/>
    </row>
    <row r="396" spans="15:73"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8"/>
      <c r="BM396" s="138"/>
      <c r="BN396" s="138"/>
      <c r="BO396" s="138"/>
      <c r="BP396" s="138"/>
      <c r="BQ396" s="138"/>
      <c r="BR396" s="138"/>
      <c r="BS396" s="138"/>
      <c r="BT396" s="138"/>
      <c r="BU396" s="138"/>
    </row>
    <row r="397" spans="15:73"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8"/>
      <c r="BM397" s="138"/>
      <c r="BN397" s="138"/>
      <c r="BO397" s="138"/>
      <c r="BP397" s="138"/>
      <c r="BQ397" s="138"/>
      <c r="BR397" s="138"/>
      <c r="BS397" s="138"/>
      <c r="BT397" s="138"/>
      <c r="BU397" s="138"/>
    </row>
    <row r="398" spans="15:73"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  <c r="AC398" s="138"/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8"/>
      <c r="BF398" s="138"/>
      <c r="BG398" s="138"/>
      <c r="BH398" s="138"/>
      <c r="BI398" s="138"/>
      <c r="BJ398" s="138"/>
      <c r="BK398" s="138"/>
      <c r="BL398" s="138"/>
      <c r="BM398" s="138"/>
      <c r="BN398" s="138"/>
      <c r="BO398" s="138"/>
      <c r="BP398" s="138"/>
      <c r="BQ398" s="138"/>
      <c r="BR398" s="138"/>
      <c r="BS398" s="138"/>
      <c r="BT398" s="138"/>
      <c r="BU398" s="138"/>
    </row>
    <row r="399" spans="15:73"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138"/>
      <c r="BM399" s="138"/>
      <c r="BN399" s="138"/>
      <c r="BO399" s="138"/>
      <c r="BP399" s="138"/>
      <c r="BQ399" s="138"/>
      <c r="BR399" s="138"/>
      <c r="BS399" s="138"/>
      <c r="BT399" s="138"/>
      <c r="BU399" s="138"/>
    </row>
    <row r="400" spans="15:73"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8"/>
      <c r="BF400" s="138"/>
      <c r="BG400" s="138"/>
      <c r="BH400" s="138"/>
      <c r="BI400" s="138"/>
      <c r="BJ400" s="138"/>
      <c r="BK400" s="138"/>
      <c r="BL400" s="138"/>
      <c r="BM400" s="138"/>
      <c r="BN400" s="138"/>
      <c r="BO400" s="138"/>
      <c r="BP400" s="138"/>
      <c r="BQ400" s="138"/>
      <c r="BR400" s="138"/>
      <c r="BS400" s="138"/>
      <c r="BT400" s="138"/>
      <c r="BU400" s="138"/>
    </row>
    <row r="401" spans="15:73"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138"/>
      <c r="BM401" s="138"/>
      <c r="BN401" s="138"/>
      <c r="BO401" s="138"/>
      <c r="BP401" s="138"/>
      <c r="BQ401" s="138"/>
      <c r="BR401" s="138"/>
      <c r="BS401" s="138"/>
      <c r="BT401" s="138"/>
      <c r="BU401" s="138"/>
    </row>
    <row r="402" spans="15:73"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8"/>
      <c r="BF402" s="138"/>
      <c r="BG402" s="138"/>
      <c r="BH402" s="138"/>
      <c r="BI402" s="138"/>
      <c r="BJ402" s="138"/>
      <c r="BK402" s="138"/>
      <c r="BL402" s="138"/>
      <c r="BM402" s="138"/>
      <c r="BN402" s="138"/>
      <c r="BO402" s="138"/>
      <c r="BP402" s="138"/>
      <c r="BQ402" s="138"/>
      <c r="BR402" s="138"/>
      <c r="BS402" s="138"/>
      <c r="BT402" s="138"/>
      <c r="BU402" s="138"/>
    </row>
    <row r="403" spans="15:73"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8"/>
      <c r="BM403" s="138"/>
      <c r="BN403" s="138"/>
      <c r="BO403" s="138"/>
      <c r="BP403" s="138"/>
      <c r="BQ403" s="138"/>
      <c r="BR403" s="138"/>
      <c r="BS403" s="138"/>
      <c r="BT403" s="138"/>
      <c r="BU403" s="138"/>
    </row>
    <row r="404" spans="15:73"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8"/>
      <c r="BF404" s="138"/>
      <c r="BG404" s="138"/>
      <c r="BH404" s="138"/>
      <c r="BI404" s="138"/>
      <c r="BJ404" s="138"/>
      <c r="BK404" s="138"/>
      <c r="BL404" s="138"/>
      <c r="BM404" s="138"/>
      <c r="BN404" s="138"/>
      <c r="BO404" s="138"/>
      <c r="BP404" s="138"/>
      <c r="BQ404" s="138"/>
      <c r="BR404" s="138"/>
      <c r="BS404" s="138"/>
      <c r="BT404" s="138"/>
      <c r="BU404" s="138"/>
    </row>
    <row r="405" spans="15:73"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8"/>
      <c r="BF405" s="138"/>
      <c r="BG405" s="138"/>
      <c r="BH405" s="138"/>
      <c r="BI405" s="138"/>
      <c r="BJ405" s="138"/>
      <c r="BK405" s="138"/>
      <c r="BL405" s="138"/>
      <c r="BM405" s="138"/>
      <c r="BN405" s="138"/>
      <c r="BO405" s="138"/>
      <c r="BP405" s="138"/>
      <c r="BQ405" s="138"/>
      <c r="BR405" s="138"/>
      <c r="BS405" s="138"/>
      <c r="BT405" s="138"/>
      <c r="BU405" s="138"/>
    </row>
    <row r="406" spans="15:73"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8"/>
      <c r="BM406" s="138"/>
      <c r="BN406" s="138"/>
      <c r="BO406" s="138"/>
      <c r="BP406" s="138"/>
      <c r="BQ406" s="138"/>
      <c r="BR406" s="138"/>
      <c r="BS406" s="138"/>
      <c r="BT406" s="138"/>
      <c r="BU406" s="138"/>
    </row>
    <row r="407" spans="15:73"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  <c r="AF407" s="138"/>
      <c r="AG407" s="138"/>
      <c r="AH407" s="138"/>
      <c r="AI407" s="138"/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38"/>
      <c r="AX407" s="138"/>
      <c r="AY407" s="138"/>
      <c r="AZ407" s="138"/>
      <c r="BA407" s="138"/>
      <c r="BB407" s="138"/>
      <c r="BC407" s="138"/>
      <c r="BD407" s="138"/>
      <c r="BE407" s="138"/>
      <c r="BF407" s="138"/>
      <c r="BG407" s="138"/>
      <c r="BH407" s="138"/>
      <c r="BI407" s="138"/>
      <c r="BJ407" s="138"/>
      <c r="BK407" s="138"/>
      <c r="BL407" s="138"/>
      <c r="BM407" s="138"/>
      <c r="BN407" s="138"/>
      <c r="BO407" s="138"/>
      <c r="BP407" s="138"/>
      <c r="BQ407" s="138"/>
      <c r="BR407" s="138"/>
      <c r="BS407" s="138"/>
      <c r="BT407" s="138"/>
      <c r="BU407" s="138"/>
    </row>
    <row r="408" spans="15:73"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  <c r="AC408" s="138"/>
      <c r="AD408" s="138"/>
      <c r="AE408" s="138"/>
      <c r="AF408" s="138"/>
      <c r="AG408" s="138"/>
      <c r="AH408" s="138"/>
      <c r="AI408" s="138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38"/>
      <c r="AX408" s="138"/>
      <c r="AY408" s="138"/>
      <c r="AZ408" s="138"/>
      <c r="BA408" s="138"/>
      <c r="BB408" s="138"/>
      <c r="BC408" s="138"/>
      <c r="BD408" s="138"/>
      <c r="BE408" s="138"/>
      <c r="BF408" s="138"/>
      <c r="BG408" s="138"/>
      <c r="BH408" s="138"/>
      <c r="BI408" s="138"/>
      <c r="BJ408" s="138"/>
      <c r="BK408" s="138"/>
      <c r="BL408" s="138"/>
      <c r="BM408" s="138"/>
      <c r="BN408" s="138"/>
      <c r="BO408" s="138"/>
      <c r="BP408" s="138"/>
      <c r="BQ408" s="138"/>
      <c r="BR408" s="138"/>
      <c r="BS408" s="138"/>
      <c r="BT408" s="138"/>
      <c r="BU408" s="138"/>
    </row>
    <row r="409" spans="15:73"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8"/>
      <c r="BM409" s="138"/>
      <c r="BN409" s="138"/>
      <c r="BO409" s="138"/>
      <c r="BP409" s="138"/>
      <c r="BQ409" s="138"/>
      <c r="BR409" s="138"/>
      <c r="BS409" s="138"/>
      <c r="BT409" s="138"/>
      <c r="BU409" s="138"/>
    </row>
    <row r="410" spans="15:73"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  <c r="BP410" s="138"/>
      <c r="BQ410" s="138"/>
      <c r="BR410" s="138"/>
      <c r="BS410" s="138"/>
      <c r="BT410" s="138"/>
      <c r="BU410" s="138"/>
    </row>
    <row r="411" spans="15:73"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138"/>
      <c r="BN411" s="138"/>
      <c r="BO411" s="138"/>
      <c r="BP411" s="138"/>
      <c r="BQ411" s="138"/>
      <c r="BR411" s="138"/>
      <c r="BS411" s="138"/>
      <c r="BT411" s="138"/>
      <c r="BU411" s="138"/>
    </row>
    <row r="412" spans="15:73"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8"/>
      <c r="BF412" s="138"/>
      <c r="BG412" s="138"/>
      <c r="BH412" s="138"/>
      <c r="BI412" s="138"/>
      <c r="BJ412" s="138"/>
      <c r="BK412" s="138"/>
      <c r="BL412" s="138"/>
      <c r="BM412" s="138"/>
      <c r="BN412" s="138"/>
      <c r="BO412" s="138"/>
      <c r="BP412" s="138"/>
      <c r="BQ412" s="138"/>
      <c r="BR412" s="138"/>
      <c r="BS412" s="138"/>
      <c r="BT412" s="138"/>
      <c r="BU412" s="138"/>
    </row>
    <row r="413" spans="15:73"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8"/>
      <c r="BF413" s="138"/>
      <c r="BG413" s="138"/>
      <c r="BH413" s="138"/>
      <c r="BI413" s="138"/>
      <c r="BJ413" s="138"/>
      <c r="BK413" s="138"/>
      <c r="BL413" s="138"/>
      <c r="BM413" s="138"/>
      <c r="BN413" s="138"/>
      <c r="BO413" s="138"/>
      <c r="BP413" s="138"/>
      <c r="BQ413" s="138"/>
      <c r="BR413" s="138"/>
      <c r="BS413" s="138"/>
      <c r="BT413" s="138"/>
      <c r="BU413" s="138"/>
    </row>
    <row r="414" spans="15:73"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8"/>
      <c r="BN414" s="138"/>
      <c r="BO414" s="138"/>
      <c r="BP414" s="138"/>
      <c r="BQ414" s="138"/>
      <c r="BR414" s="138"/>
      <c r="BS414" s="138"/>
      <c r="BT414" s="138"/>
      <c r="BU414" s="138"/>
    </row>
    <row r="415" spans="15:73"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 s="138"/>
      <c r="AT415" s="138"/>
      <c r="AU415" s="138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8"/>
      <c r="BF415" s="138"/>
      <c r="BG415" s="138"/>
      <c r="BH415" s="138"/>
      <c r="BI415" s="138"/>
      <c r="BJ415" s="138"/>
      <c r="BK415" s="138"/>
      <c r="BL415" s="138"/>
      <c r="BM415" s="138"/>
      <c r="BN415" s="138"/>
      <c r="BO415" s="138"/>
      <c r="BP415" s="138"/>
      <c r="BQ415" s="138"/>
      <c r="BR415" s="138"/>
      <c r="BS415" s="138"/>
      <c r="BT415" s="138"/>
      <c r="BU415" s="138"/>
    </row>
    <row r="416" spans="15:73"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8"/>
      <c r="BM416" s="138"/>
      <c r="BN416" s="138"/>
      <c r="BO416" s="138"/>
      <c r="BP416" s="138"/>
      <c r="BQ416" s="138"/>
      <c r="BR416" s="138"/>
      <c r="BS416" s="138"/>
      <c r="BT416" s="138"/>
      <c r="BU416" s="138"/>
    </row>
    <row r="417" spans="15:73"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38"/>
      <c r="AN417" s="138"/>
      <c r="AO417" s="138"/>
      <c r="AP417" s="138"/>
      <c r="AQ417" s="138"/>
      <c r="AR417" s="138"/>
      <c r="AS417" s="138"/>
      <c r="AT417" s="138"/>
      <c r="AU417" s="138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8"/>
      <c r="BF417" s="138"/>
      <c r="BG417" s="138"/>
      <c r="BH417" s="138"/>
      <c r="BI417" s="138"/>
      <c r="BJ417" s="138"/>
      <c r="BK417" s="138"/>
      <c r="BL417" s="138"/>
      <c r="BM417" s="138"/>
      <c r="BN417" s="138"/>
      <c r="BO417" s="138"/>
      <c r="BP417" s="138"/>
      <c r="BQ417" s="138"/>
      <c r="BR417" s="138"/>
      <c r="BS417" s="138"/>
      <c r="BT417" s="138"/>
      <c r="BU417" s="138"/>
    </row>
    <row r="418" spans="15:73"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8"/>
      <c r="AG418" s="138"/>
      <c r="AH418" s="138"/>
      <c r="AI418" s="138"/>
      <c r="AJ418" s="138"/>
      <c r="AK418" s="138"/>
      <c r="AL418" s="138"/>
      <c r="AM418" s="138"/>
      <c r="AN418" s="138"/>
      <c r="AO418" s="138"/>
      <c r="AP418" s="138"/>
      <c r="AQ418" s="138"/>
      <c r="AR418" s="138"/>
      <c r="AS418" s="138"/>
      <c r="AT418" s="138"/>
      <c r="AU418" s="138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8"/>
      <c r="BF418" s="138"/>
      <c r="BG418" s="138"/>
      <c r="BH418" s="138"/>
      <c r="BI418" s="138"/>
      <c r="BJ418" s="138"/>
      <c r="BK418" s="138"/>
      <c r="BL418" s="138"/>
      <c r="BM418" s="138"/>
      <c r="BN418" s="138"/>
      <c r="BO418" s="138"/>
      <c r="BP418" s="138"/>
      <c r="BQ418" s="138"/>
      <c r="BR418" s="138"/>
      <c r="BS418" s="138"/>
      <c r="BT418" s="138"/>
      <c r="BU418" s="138"/>
    </row>
    <row r="419" spans="15:73"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38"/>
      <c r="AN419" s="138"/>
      <c r="AO419" s="138"/>
      <c r="AP419" s="138"/>
      <c r="AQ419" s="138"/>
      <c r="AR419" s="138"/>
      <c r="AS419" s="138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  <c r="BK419" s="138"/>
      <c r="BL419" s="138"/>
      <c r="BM419" s="138"/>
      <c r="BN419" s="138"/>
      <c r="BO419" s="138"/>
      <c r="BP419" s="138"/>
      <c r="BQ419" s="138"/>
      <c r="BR419" s="138"/>
      <c r="BS419" s="138"/>
      <c r="BT419" s="138"/>
      <c r="BU419" s="138"/>
    </row>
    <row r="420" spans="15:73"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  <c r="AN420" s="138"/>
      <c r="AO420" s="138"/>
      <c r="AP420" s="138"/>
      <c r="AQ420" s="138"/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8"/>
      <c r="BI420" s="138"/>
      <c r="BJ420" s="138"/>
      <c r="BK420" s="138"/>
      <c r="BL420" s="138"/>
      <c r="BM420" s="138"/>
      <c r="BN420" s="138"/>
      <c r="BO420" s="138"/>
      <c r="BP420" s="138"/>
      <c r="BQ420" s="138"/>
      <c r="BR420" s="138"/>
      <c r="BS420" s="138"/>
      <c r="BT420" s="138"/>
      <c r="BU420" s="138"/>
    </row>
    <row r="421" spans="15:73"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8"/>
      <c r="BH421" s="138"/>
      <c r="BI421" s="138"/>
      <c r="BJ421" s="138"/>
      <c r="BK421" s="138"/>
      <c r="BL421" s="138"/>
      <c r="BM421" s="138"/>
      <c r="BN421" s="138"/>
      <c r="BO421" s="138"/>
      <c r="BP421" s="138"/>
      <c r="BQ421" s="138"/>
      <c r="BR421" s="138"/>
      <c r="BS421" s="138"/>
      <c r="BT421" s="138"/>
      <c r="BU421" s="138"/>
    </row>
    <row r="422" spans="15:73"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8"/>
      <c r="BM422" s="138"/>
      <c r="BN422" s="138"/>
      <c r="BO422" s="138"/>
      <c r="BP422" s="138"/>
      <c r="BQ422" s="138"/>
      <c r="BR422" s="138"/>
      <c r="BS422" s="138"/>
      <c r="BT422" s="138"/>
      <c r="BU422" s="138"/>
    </row>
    <row r="423" spans="15:73"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38"/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8"/>
      <c r="BM423" s="138"/>
      <c r="BN423" s="138"/>
      <c r="BO423" s="138"/>
      <c r="BP423" s="138"/>
      <c r="BQ423" s="138"/>
      <c r="BR423" s="138"/>
      <c r="BS423" s="138"/>
      <c r="BT423" s="138"/>
      <c r="BU423" s="138"/>
    </row>
    <row r="424" spans="15:73"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  <c r="BP424" s="138"/>
      <c r="BQ424" s="138"/>
      <c r="BR424" s="138"/>
      <c r="BS424" s="138"/>
      <c r="BT424" s="138"/>
      <c r="BU424" s="138"/>
    </row>
    <row r="425" spans="15:73"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8"/>
      <c r="BM425" s="138"/>
      <c r="BN425" s="138"/>
      <c r="BO425" s="138"/>
      <c r="BP425" s="138"/>
      <c r="BQ425" s="138"/>
      <c r="BR425" s="138"/>
      <c r="BS425" s="138"/>
      <c r="BT425" s="138"/>
      <c r="BU425" s="138"/>
    </row>
    <row r="426" spans="15:73"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  <c r="BP426" s="138"/>
      <c r="BQ426" s="138"/>
      <c r="BR426" s="138"/>
      <c r="BS426" s="138"/>
      <c r="BT426" s="138"/>
      <c r="BU426" s="138"/>
    </row>
    <row r="427" spans="15:73"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  <c r="BP427" s="138"/>
      <c r="BQ427" s="138"/>
      <c r="BR427" s="138"/>
      <c r="BS427" s="138"/>
      <c r="BT427" s="138"/>
      <c r="BU427" s="138"/>
    </row>
    <row r="428" spans="15:73"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  <c r="BP428" s="138"/>
      <c r="BQ428" s="138"/>
      <c r="BR428" s="138"/>
      <c r="BS428" s="138"/>
      <c r="BT428" s="138"/>
      <c r="BU428" s="138"/>
    </row>
    <row r="429" spans="15:73"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  <c r="BP429" s="138"/>
      <c r="BQ429" s="138"/>
      <c r="BR429" s="138"/>
      <c r="BS429" s="138"/>
      <c r="BT429" s="138"/>
      <c r="BU429" s="138"/>
    </row>
    <row r="430" spans="15:73"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  <c r="BP430" s="138"/>
      <c r="BQ430" s="138"/>
      <c r="BR430" s="138"/>
      <c r="BS430" s="138"/>
      <c r="BT430" s="138"/>
      <c r="BU430" s="138"/>
    </row>
    <row r="431" spans="15:73"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  <c r="BP431" s="138"/>
      <c r="BQ431" s="138"/>
      <c r="BR431" s="138"/>
      <c r="BS431" s="138"/>
      <c r="BT431" s="138"/>
      <c r="BU431" s="138"/>
    </row>
    <row r="432" spans="15:73"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  <c r="BP432" s="138"/>
      <c r="BQ432" s="138"/>
      <c r="BR432" s="138"/>
      <c r="BS432" s="138"/>
      <c r="BT432" s="138"/>
      <c r="BU432" s="138"/>
    </row>
    <row r="433" spans="15:73"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  <c r="BP433" s="138"/>
      <c r="BQ433" s="138"/>
      <c r="BR433" s="138"/>
      <c r="BS433" s="138"/>
      <c r="BT433" s="138"/>
      <c r="BU433" s="138"/>
    </row>
    <row r="434" spans="15:73"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8"/>
      <c r="BM434" s="138"/>
      <c r="BN434" s="138"/>
      <c r="BO434" s="138"/>
      <c r="BP434" s="138"/>
      <c r="BQ434" s="138"/>
      <c r="BR434" s="138"/>
      <c r="BS434" s="138"/>
      <c r="BT434" s="138"/>
      <c r="BU434" s="138"/>
    </row>
    <row r="435" spans="15:73"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8"/>
      <c r="BM435" s="138"/>
      <c r="BN435" s="138"/>
      <c r="BO435" s="138"/>
      <c r="BP435" s="138"/>
      <c r="BQ435" s="138"/>
      <c r="BR435" s="138"/>
      <c r="BS435" s="138"/>
      <c r="BT435" s="138"/>
      <c r="BU435" s="138"/>
    </row>
    <row r="436" spans="15:73"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  <c r="BP436" s="138"/>
      <c r="BQ436" s="138"/>
      <c r="BR436" s="138"/>
      <c r="BS436" s="138"/>
      <c r="BT436" s="138"/>
      <c r="BU436" s="138"/>
    </row>
    <row r="437" spans="15:73"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  <c r="BP437" s="138"/>
      <c r="BQ437" s="138"/>
      <c r="BR437" s="138"/>
      <c r="BS437" s="138"/>
      <c r="BT437" s="138"/>
      <c r="BU437" s="138"/>
    </row>
    <row r="438" spans="15:73"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  <c r="BP438" s="138"/>
      <c r="BQ438" s="138"/>
      <c r="BR438" s="138"/>
      <c r="BS438" s="138"/>
      <c r="BT438" s="138"/>
      <c r="BU438" s="138"/>
    </row>
    <row r="439" spans="15:73"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  <c r="BP439" s="138"/>
      <c r="BQ439" s="138"/>
      <c r="BR439" s="138"/>
      <c r="BS439" s="138"/>
      <c r="BT439" s="138"/>
      <c r="BU439" s="138"/>
    </row>
    <row r="440" spans="15:73"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  <c r="BP440" s="138"/>
      <c r="BQ440" s="138"/>
      <c r="BR440" s="138"/>
      <c r="BS440" s="138"/>
      <c r="BT440" s="138"/>
      <c r="BU440" s="138"/>
    </row>
    <row r="441" spans="15:73"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  <c r="BP441" s="138"/>
      <c r="BQ441" s="138"/>
      <c r="BR441" s="138"/>
      <c r="BS441" s="138"/>
      <c r="BT441" s="138"/>
      <c r="BU441" s="138"/>
    </row>
    <row r="442" spans="15:73"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  <c r="BP442" s="138"/>
      <c r="BQ442" s="138"/>
      <c r="BR442" s="138"/>
      <c r="BS442" s="138"/>
      <c r="BT442" s="138"/>
      <c r="BU442" s="138"/>
    </row>
    <row r="443" spans="15:73"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  <c r="BP443" s="138"/>
      <c r="BQ443" s="138"/>
      <c r="BR443" s="138"/>
      <c r="BS443" s="138"/>
      <c r="BT443" s="138"/>
      <c r="BU443" s="138"/>
    </row>
    <row r="444" spans="15:73"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  <c r="BP444" s="138"/>
      <c r="BQ444" s="138"/>
      <c r="BR444" s="138"/>
      <c r="BS444" s="138"/>
      <c r="BT444" s="138"/>
      <c r="BU444" s="138"/>
    </row>
    <row r="445" spans="15:73"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  <c r="BP445" s="138"/>
      <c r="BQ445" s="138"/>
      <c r="BR445" s="138"/>
      <c r="BS445" s="138"/>
      <c r="BT445" s="138"/>
      <c r="BU445" s="138"/>
    </row>
    <row r="446" spans="15:73"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  <c r="BP446" s="138"/>
      <c r="BQ446" s="138"/>
      <c r="BR446" s="138"/>
      <c r="BS446" s="138"/>
      <c r="BT446" s="138"/>
      <c r="BU446" s="138"/>
    </row>
    <row r="447" spans="15:73"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  <c r="BP447" s="138"/>
      <c r="BQ447" s="138"/>
      <c r="BR447" s="138"/>
      <c r="BS447" s="138"/>
      <c r="BT447" s="138"/>
      <c r="BU447" s="138"/>
    </row>
    <row r="448" spans="15:73"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  <c r="BP448" s="138"/>
      <c r="BQ448" s="138"/>
      <c r="BR448" s="138"/>
      <c r="BS448" s="138"/>
      <c r="BT448" s="138"/>
      <c r="BU448" s="138"/>
    </row>
    <row r="449" spans="15:73"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  <c r="BP449" s="138"/>
      <c r="BQ449" s="138"/>
      <c r="BR449" s="138"/>
      <c r="BS449" s="138"/>
      <c r="BT449" s="138"/>
      <c r="BU449" s="138"/>
    </row>
    <row r="450" spans="15:73"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  <c r="BP450" s="138"/>
      <c r="BQ450" s="138"/>
      <c r="BR450" s="138"/>
      <c r="BS450" s="138"/>
      <c r="BT450" s="138"/>
      <c r="BU450" s="138"/>
    </row>
    <row r="451" spans="15:73"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  <c r="BP451" s="138"/>
      <c r="BQ451" s="138"/>
      <c r="BR451" s="138"/>
      <c r="BS451" s="138"/>
      <c r="BT451" s="138"/>
      <c r="BU451" s="138"/>
    </row>
    <row r="452" spans="15:73"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  <c r="BP452" s="138"/>
      <c r="BQ452" s="138"/>
      <c r="BR452" s="138"/>
      <c r="BS452" s="138"/>
      <c r="BT452" s="138"/>
      <c r="BU452" s="138"/>
    </row>
    <row r="453" spans="15:73"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  <c r="BP453" s="138"/>
      <c r="BQ453" s="138"/>
      <c r="BR453" s="138"/>
      <c r="BS453" s="138"/>
      <c r="BT453" s="138"/>
      <c r="BU453" s="138"/>
    </row>
    <row r="454" spans="15:73"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  <c r="BP454" s="138"/>
      <c r="BQ454" s="138"/>
      <c r="BR454" s="138"/>
      <c r="BS454" s="138"/>
      <c r="BT454" s="138"/>
      <c r="BU454" s="138"/>
    </row>
    <row r="455" spans="15:73"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  <c r="BP455" s="138"/>
      <c r="BQ455" s="138"/>
      <c r="BR455" s="138"/>
      <c r="BS455" s="138"/>
      <c r="BT455" s="138"/>
      <c r="BU455" s="138"/>
    </row>
    <row r="456" spans="15:73"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  <c r="BP456" s="138"/>
      <c r="BQ456" s="138"/>
      <c r="BR456" s="138"/>
      <c r="BS456" s="138"/>
      <c r="BT456" s="138"/>
      <c r="BU456" s="138"/>
    </row>
    <row r="457" spans="15:73"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  <c r="BP457" s="138"/>
      <c r="BQ457" s="138"/>
      <c r="BR457" s="138"/>
      <c r="BS457" s="138"/>
      <c r="BT457" s="138"/>
      <c r="BU457" s="138"/>
    </row>
    <row r="458" spans="15:73"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  <c r="BP458" s="138"/>
      <c r="BQ458" s="138"/>
      <c r="BR458" s="138"/>
      <c r="BS458" s="138"/>
      <c r="BT458" s="138"/>
      <c r="BU458" s="138"/>
    </row>
    <row r="459" spans="15:73"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  <c r="BP459" s="138"/>
      <c r="BQ459" s="138"/>
      <c r="BR459" s="138"/>
      <c r="BS459" s="138"/>
      <c r="BT459" s="138"/>
      <c r="BU459" s="138"/>
    </row>
    <row r="460" spans="15:73"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38"/>
      <c r="BO460" s="138"/>
      <c r="BP460" s="138"/>
      <c r="BQ460" s="138"/>
      <c r="BR460" s="138"/>
      <c r="BS460" s="138"/>
      <c r="BT460" s="138"/>
      <c r="BU460" s="138"/>
    </row>
    <row r="461" spans="15:73"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138"/>
      <c r="BN461" s="138"/>
      <c r="BO461" s="138"/>
      <c r="BP461" s="138"/>
      <c r="BQ461" s="138"/>
      <c r="BR461" s="138"/>
      <c r="BS461" s="138"/>
      <c r="BT461" s="138"/>
      <c r="BU461" s="138"/>
    </row>
    <row r="462" spans="15:73"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  <c r="BP462" s="138"/>
      <c r="BQ462" s="138"/>
      <c r="BR462" s="138"/>
      <c r="BS462" s="138"/>
      <c r="BT462" s="138"/>
      <c r="BU462" s="138"/>
    </row>
    <row r="463" spans="15:73"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  <c r="BP463" s="138"/>
      <c r="BQ463" s="138"/>
      <c r="BR463" s="138"/>
      <c r="BS463" s="138"/>
      <c r="BT463" s="138"/>
      <c r="BU463" s="138"/>
    </row>
    <row r="464" spans="15:73"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8"/>
      <c r="BS464" s="138"/>
      <c r="BT464" s="138"/>
      <c r="BU464" s="138"/>
    </row>
    <row r="465" spans="15:73"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  <c r="BP465" s="138"/>
      <c r="BQ465" s="138"/>
      <c r="BR465" s="138"/>
      <c r="BS465" s="138"/>
      <c r="BT465" s="138"/>
      <c r="BU465" s="138"/>
    </row>
    <row r="466" spans="15:73"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  <c r="BP466" s="138"/>
      <c r="BQ466" s="138"/>
      <c r="BR466" s="138"/>
      <c r="BS466" s="138"/>
      <c r="BT466" s="138"/>
      <c r="BU466" s="138"/>
    </row>
    <row r="467" spans="15:73"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  <c r="BP467" s="138"/>
      <c r="BQ467" s="138"/>
      <c r="BR467" s="138"/>
      <c r="BS467" s="138"/>
      <c r="BT467" s="138"/>
      <c r="BU467" s="138"/>
    </row>
    <row r="468" spans="15:73"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  <c r="BP468" s="138"/>
      <c r="BQ468" s="138"/>
      <c r="BR468" s="138"/>
      <c r="BS468" s="138"/>
      <c r="BT468" s="138"/>
      <c r="BU468" s="138"/>
    </row>
    <row r="469" spans="15:73"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  <c r="BP469" s="138"/>
      <c r="BQ469" s="138"/>
      <c r="BR469" s="138"/>
      <c r="BS469" s="138"/>
      <c r="BT469" s="138"/>
      <c r="BU469" s="138"/>
    </row>
    <row r="470" spans="15:73"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  <c r="BP470" s="138"/>
      <c r="BQ470" s="138"/>
      <c r="BR470" s="138"/>
      <c r="BS470" s="138"/>
      <c r="BT470" s="138"/>
      <c r="BU470" s="138"/>
    </row>
    <row r="471" spans="15:73"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  <c r="BP471" s="138"/>
      <c r="BQ471" s="138"/>
      <c r="BR471" s="138"/>
      <c r="BS471" s="138"/>
      <c r="BT471" s="138"/>
      <c r="BU471" s="138"/>
    </row>
    <row r="472" spans="15:73"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  <c r="BP472" s="138"/>
      <c r="BQ472" s="138"/>
      <c r="BR472" s="138"/>
      <c r="BS472" s="138"/>
      <c r="BT472" s="138"/>
      <c r="BU472" s="138"/>
    </row>
    <row r="473" spans="15:73"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  <c r="BP473" s="138"/>
      <c r="BQ473" s="138"/>
      <c r="BR473" s="138"/>
      <c r="BS473" s="138"/>
      <c r="BT473" s="138"/>
      <c r="BU473" s="138"/>
    </row>
    <row r="474" spans="15:73"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  <c r="BP474" s="138"/>
      <c r="BQ474" s="138"/>
      <c r="BR474" s="138"/>
      <c r="BS474" s="138"/>
      <c r="BT474" s="138"/>
      <c r="BU474" s="138"/>
    </row>
    <row r="475" spans="15:73"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  <c r="BP475" s="138"/>
      <c r="BQ475" s="138"/>
      <c r="BR475" s="138"/>
      <c r="BS475" s="138"/>
      <c r="BT475" s="138"/>
      <c r="BU475" s="138"/>
    </row>
    <row r="476" spans="15:73"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  <c r="BP476" s="138"/>
      <c r="BQ476" s="138"/>
      <c r="BR476" s="138"/>
      <c r="BS476" s="138"/>
      <c r="BT476" s="138"/>
      <c r="BU476" s="138"/>
    </row>
    <row r="477" spans="15:73"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  <c r="BP477" s="138"/>
      <c r="BQ477" s="138"/>
      <c r="BR477" s="138"/>
      <c r="BS477" s="138"/>
      <c r="BT477" s="138"/>
      <c r="BU477" s="138"/>
    </row>
    <row r="478" spans="15:73"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  <c r="BP478" s="138"/>
      <c r="BQ478" s="138"/>
      <c r="BR478" s="138"/>
      <c r="BS478" s="138"/>
      <c r="BT478" s="138"/>
      <c r="BU478" s="138"/>
    </row>
    <row r="479" spans="15:73"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  <c r="BP479" s="138"/>
      <c r="BQ479" s="138"/>
      <c r="BR479" s="138"/>
      <c r="BS479" s="138"/>
      <c r="BT479" s="138"/>
      <c r="BU479" s="138"/>
    </row>
    <row r="480" spans="15:73"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  <c r="BP480" s="138"/>
      <c r="BQ480" s="138"/>
      <c r="BR480" s="138"/>
      <c r="BS480" s="138"/>
      <c r="BT480" s="138"/>
      <c r="BU480" s="138"/>
    </row>
    <row r="481" spans="15:73"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  <c r="BP481" s="138"/>
      <c r="BQ481" s="138"/>
      <c r="BR481" s="138"/>
      <c r="BS481" s="138"/>
      <c r="BT481" s="138"/>
      <c r="BU481" s="138"/>
    </row>
    <row r="482" spans="15:73"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  <c r="BP482" s="138"/>
      <c r="BQ482" s="138"/>
      <c r="BR482" s="138"/>
      <c r="BS482" s="138"/>
      <c r="BT482" s="138"/>
      <c r="BU482" s="138"/>
    </row>
    <row r="483" spans="15:73"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  <c r="BP483" s="138"/>
      <c r="BQ483" s="138"/>
      <c r="BR483" s="138"/>
      <c r="BS483" s="138"/>
      <c r="BT483" s="138"/>
      <c r="BU483" s="138"/>
    </row>
    <row r="484" spans="15:73"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  <c r="BP484" s="138"/>
      <c r="BQ484" s="138"/>
      <c r="BR484" s="138"/>
      <c r="BS484" s="138"/>
      <c r="BT484" s="138"/>
      <c r="BU484" s="138"/>
    </row>
    <row r="485" spans="15:73"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  <c r="BP485" s="138"/>
      <c r="BQ485" s="138"/>
      <c r="BR485" s="138"/>
      <c r="BS485" s="138"/>
      <c r="BT485" s="138"/>
      <c r="BU485" s="138"/>
    </row>
    <row r="486" spans="15:73"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  <c r="AF486" s="138"/>
      <c r="AG486" s="138"/>
      <c r="AH486" s="138"/>
      <c r="AI486" s="138"/>
      <c r="AJ486" s="138"/>
      <c r="AK486" s="138"/>
      <c r="AL486" s="138"/>
      <c r="AM486" s="138"/>
      <c r="AN486" s="138"/>
      <c r="AO486" s="138"/>
      <c r="AP486" s="138"/>
      <c r="AQ486" s="138"/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8"/>
      <c r="BI486" s="138"/>
      <c r="BJ486" s="138"/>
      <c r="BK486" s="138"/>
      <c r="BL486" s="138"/>
      <c r="BM486" s="138"/>
      <c r="BN486" s="138"/>
      <c r="BO486" s="138"/>
      <c r="BP486" s="138"/>
      <c r="BQ486" s="138"/>
      <c r="BR486" s="138"/>
      <c r="BS486" s="138"/>
      <c r="BT486" s="138"/>
      <c r="BU486" s="138"/>
    </row>
    <row r="487" spans="15:73"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  <c r="AV487" s="138"/>
      <c r="AW487" s="138"/>
      <c r="AX487" s="138"/>
      <c r="AY487" s="138"/>
      <c r="AZ487" s="138"/>
      <c r="BA487" s="138"/>
      <c r="BB487" s="138"/>
      <c r="BC487" s="138"/>
      <c r="BD487" s="138"/>
      <c r="BE487" s="138"/>
      <c r="BF487" s="138"/>
      <c r="BG487" s="138"/>
      <c r="BH487" s="138"/>
      <c r="BI487" s="138"/>
      <c r="BJ487" s="138"/>
      <c r="BK487" s="138"/>
      <c r="BL487" s="138"/>
      <c r="BM487" s="138"/>
      <c r="BN487" s="138"/>
      <c r="BO487" s="138"/>
      <c r="BP487" s="138"/>
      <c r="BQ487" s="138"/>
      <c r="BR487" s="138"/>
      <c r="BS487" s="138"/>
      <c r="BT487" s="138"/>
      <c r="BU487" s="138"/>
    </row>
    <row r="488" spans="15:73"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  <c r="AA488" s="138"/>
      <c r="AB488" s="138"/>
      <c r="AC488" s="138"/>
      <c r="AD488" s="138"/>
      <c r="AE488" s="138"/>
      <c r="AF488" s="138"/>
      <c r="AG488" s="138"/>
      <c r="AH488" s="138"/>
      <c r="AI488" s="138"/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  <c r="AV488" s="138"/>
      <c r="AW488" s="138"/>
      <c r="AX488" s="138"/>
      <c r="AY488" s="138"/>
      <c r="AZ488" s="138"/>
      <c r="BA488" s="138"/>
      <c r="BB488" s="138"/>
      <c r="BC488" s="138"/>
      <c r="BD488" s="138"/>
      <c r="BE488" s="138"/>
      <c r="BF488" s="138"/>
      <c r="BG488" s="138"/>
      <c r="BH488" s="138"/>
      <c r="BI488" s="138"/>
      <c r="BJ488" s="138"/>
      <c r="BK488" s="138"/>
      <c r="BL488" s="138"/>
      <c r="BM488" s="138"/>
      <c r="BN488" s="138"/>
      <c r="BO488" s="138"/>
      <c r="BP488" s="138"/>
      <c r="BQ488" s="138"/>
      <c r="BR488" s="138"/>
      <c r="BS488" s="138"/>
      <c r="BT488" s="138"/>
      <c r="BU488" s="138"/>
    </row>
    <row r="489" spans="15:73"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  <c r="AA489" s="138"/>
      <c r="AB489" s="138"/>
      <c r="AC489" s="138"/>
      <c r="AD489" s="138"/>
      <c r="AE489" s="138"/>
      <c r="AF489" s="138"/>
      <c r="AG489" s="138"/>
      <c r="AH489" s="138"/>
      <c r="AI489" s="138"/>
      <c r="AJ489" s="138"/>
      <c r="AK489" s="138"/>
      <c r="AL489" s="138"/>
      <c r="AM489" s="138"/>
      <c r="AN489" s="138"/>
      <c r="AO489" s="138"/>
      <c r="AP489" s="138"/>
      <c r="AQ489" s="138"/>
      <c r="AR489" s="138"/>
      <c r="AS489" s="138"/>
      <c r="AT489" s="138"/>
      <c r="AU489" s="138"/>
      <c r="AV489" s="138"/>
      <c r="AW489" s="138"/>
      <c r="AX489" s="138"/>
      <c r="AY489" s="138"/>
      <c r="AZ489" s="138"/>
      <c r="BA489" s="138"/>
      <c r="BB489" s="138"/>
      <c r="BC489" s="138"/>
      <c r="BD489" s="138"/>
      <c r="BE489" s="138"/>
      <c r="BF489" s="138"/>
      <c r="BG489" s="138"/>
      <c r="BH489" s="138"/>
      <c r="BI489" s="138"/>
      <c r="BJ489" s="138"/>
      <c r="BK489" s="138"/>
      <c r="BL489" s="138"/>
      <c r="BM489" s="138"/>
      <c r="BN489" s="138"/>
      <c r="BO489" s="138"/>
      <c r="BP489" s="138"/>
      <c r="BQ489" s="138"/>
      <c r="BR489" s="138"/>
      <c r="BS489" s="138"/>
      <c r="BT489" s="138"/>
      <c r="BU489" s="138"/>
    </row>
    <row r="490" spans="15:73"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38"/>
      <c r="AT490" s="138"/>
      <c r="AU490" s="138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8"/>
      <c r="BF490" s="138"/>
      <c r="BG490" s="138"/>
      <c r="BH490" s="138"/>
      <c r="BI490" s="138"/>
      <c r="BJ490" s="138"/>
      <c r="BK490" s="138"/>
      <c r="BL490" s="138"/>
      <c r="BM490" s="138"/>
      <c r="BN490" s="138"/>
      <c r="BO490" s="138"/>
      <c r="BP490" s="138"/>
      <c r="BQ490" s="138"/>
      <c r="BR490" s="138"/>
      <c r="BS490" s="138"/>
      <c r="BT490" s="138"/>
      <c r="BU490" s="138"/>
    </row>
    <row r="491" spans="15:73"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  <c r="AA491" s="138"/>
      <c r="AB491" s="138"/>
      <c r="AC491" s="138"/>
      <c r="AD491" s="138"/>
      <c r="AE491" s="138"/>
      <c r="AF491" s="138"/>
      <c r="AG491" s="138"/>
      <c r="AH491" s="138"/>
      <c r="AI491" s="138"/>
      <c r="AJ491" s="138"/>
      <c r="AK491" s="138"/>
      <c r="AL491" s="138"/>
      <c r="AM491" s="138"/>
      <c r="AN491" s="138"/>
      <c r="AO491" s="138"/>
      <c r="AP491" s="138"/>
      <c r="AQ491" s="138"/>
      <c r="AR491" s="138"/>
      <c r="AS491" s="138"/>
      <c r="AT491" s="138"/>
      <c r="AU491" s="138"/>
      <c r="AV491" s="138"/>
      <c r="AW491" s="138"/>
      <c r="AX491" s="138"/>
      <c r="AY491" s="138"/>
      <c r="AZ491" s="138"/>
      <c r="BA491" s="138"/>
      <c r="BB491" s="138"/>
      <c r="BC491" s="138"/>
      <c r="BD491" s="138"/>
      <c r="BE491" s="138"/>
      <c r="BF491" s="138"/>
      <c r="BG491" s="138"/>
      <c r="BH491" s="138"/>
      <c r="BI491" s="138"/>
      <c r="BJ491" s="138"/>
      <c r="BK491" s="138"/>
      <c r="BL491" s="138"/>
      <c r="BM491" s="138"/>
      <c r="BN491" s="138"/>
      <c r="BO491" s="138"/>
      <c r="BP491" s="138"/>
      <c r="BQ491" s="138"/>
      <c r="BR491" s="138"/>
      <c r="BS491" s="138"/>
      <c r="BT491" s="138"/>
      <c r="BU491" s="138"/>
    </row>
    <row r="492" spans="15:73"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  <c r="AV492" s="138"/>
      <c r="AW492" s="138"/>
      <c r="AX492" s="138"/>
      <c r="AY492" s="138"/>
      <c r="AZ492" s="138"/>
      <c r="BA492" s="138"/>
      <c r="BB492" s="138"/>
      <c r="BC492" s="138"/>
      <c r="BD492" s="138"/>
      <c r="BE492" s="138"/>
      <c r="BF492" s="138"/>
      <c r="BG492" s="138"/>
      <c r="BH492" s="138"/>
      <c r="BI492" s="138"/>
      <c r="BJ492" s="138"/>
      <c r="BK492" s="138"/>
      <c r="BL492" s="138"/>
      <c r="BM492" s="138"/>
      <c r="BN492" s="138"/>
      <c r="BO492" s="138"/>
      <c r="BP492" s="138"/>
      <c r="BQ492" s="138"/>
      <c r="BR492" s="138"/>
      <c r="BS492" s="138"/>
      <c r="BT492" s="138"/>
      <c r="BU492" s="138"/>
    </row>
    <row r="493" spans="15:73"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  <c r="AF493" s="138"/>
      <c r="AG493" s="138"/>
      <c r="AH493" s="138"/>
      <c r="AI493" s="138"/>
      <c r="AJ493" s="138"/>
      <c r="AK493" s="138"/>
      <c r="AL493" s="138"/>
      <c r="AM493" s="138"/>
      <c r="AN493" s="138"/>
      <c r="AO493" s="138"/>
      <c r="AP493" s="138"/>
      <c r="AQ493" s="138"/>
      <c r="AR493" s="138"/>
      <c r="AS493" s="138"/>
      <c r="AT493" s="138"/>
      <c r="AU493" s="138"/>
      <c r="AV493" s="138"/>
      <c r="AW493" s="138"/>
      <c r="AX493" s="138"/>
      <c r="AY493" s="138"/>
      <c r="AZ493" s="138"/>
      <c r="BA493" s="138"/>
      <c r="BB493" s="138"/>
      <c r="BC493" s="138"/>
      <c r="BD493" s="138"/>
      <c r="BE493" s="138"/>
      <c r="BF493" s="138"/>
      <c r="BG493" s="138"/>
      <c r="BH493" s="138"/>
      <c r="BI493" s="138"/>
      <c r="BJ493" s="138"/>
      <c r="BK493" s="138"/>
      <c r="BL493" s="138"/>
      <c r="BM493" s="138"/>
      <c r="BN493" s="138"/>
      <c r="BO493" s="138"/>
      <c r="BP493" s="138"/>
      <c r="BQ493" s="138"/>
      <c r="BR493" s="138"/>
      <c r="BS493" s="138"/>
      <c r="BT493" s="138"/>
      <c r="BU493" s="138"/>
    </row>
    <row r="494" spans="15:73"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  <c r="AF494" s="138"/>
      <c r="AG494" s="138"/>
      <c r="AH494" s="138"/>
      <c r="AI494" s="138"/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  <c r="AV494" s="138"/>
      <c r="AW494" s="138"/>
      <c r="AX494" s="138"/>
      <c r="AY494" s="138"/>
      <c r="AZ494" s="138"/>
      <c r="BA494" s="138"/>
      <c r="BB494" s="138"/>
      <c r="BC494" s="138"/>
      <c r="BD494" s="138"/>
      <c r="BE494" s="138"/>
      <c r="BF494" s="138"/>
      <c r="BG494" s="138"/>
      <c r="BH494" s="138"/>
      <c r="BI494" s="138"/>
      <c r="BJ494" s="138"/>
      <c r="BK494" s="138"/>
      <c r="BL494" s="138"/>
      <c r="BM494" s="138"/>
      <c r="BN494" s="138"/>
      <c r="BO494" s="138"/>
      <c r="BP494" s="138"/>
      <c r="BQ494" s="138"/>
      <c r="BR494" s="138"/>
      <c r="BS494" s="138"/>
      <c r="BT494" s="138"/>
      <c r="BU494" s="138"/>
    </row>
    <row r="495" spans="15:73"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  <c r="AA495" s="138"/>
      <c r="AB495" s="138"/>
      <c r="AC495" s="138"/>
      <c r="AD495" s="138"/>
      <c r="AE495" s="138"/>
      <c r="AF495" s="138"/>
      <c r="AG495" s="138"/>
      <c r="AH495" s="138"/>
      <c r="AI495" s="138"/>
      <c r="AJ495" s="138"/>
      <c r="AK495" s="138"/>
      <c r="AL495" s="138"/>
      <c r="AM495" s="138"/>
      <c r="AN495" s="138"/>
      <c r="AO495" s="138"/>
      <c r="AP495" s="138"/>
      <c r="AQ495" s="138"/>
      <c r="AR495" s="138"/>
      <c r="AS495" s="138"/>
      <c r="AT495" s="138"/>
      <c r="AU495" s="138"/>
      <c r="AV495" s="138"/>
      <c r="AW495" s="138"/>
      <c r="AX495" s="138"/>
      <c r="AY495" s="138"/>
      <c r="AZ495" s="138"/>
      <c r="BA495" s="138"/>
      <c r="BB495" s="138"/>
      <c r="BC495" s="138"/>
      <c r="BD495" s="138"/>
      <c r="BE495" s="138"/>
      <c r="BF495" s="138"/>
      <c r="BG495" s="138"/>
      <c r="BH495" s="138"/>
      <c r="BI495" s="138"/>
      <c r="BJ495" s="138"/>
      <c r="BK495" s="138"/>
      <c r="BL495" s="138"/>
      <c r="BM495" s="138"/>
      <c r="BN495" s="138"/>
      <c r="BO495" s="138"/>
      <c r="BP495" s="138"/>
      <c r="BQ495" s="138"/>
      <c r="BR495" s="138"/>
      <c r="BS495" s="138"/>
      <c r="BT495" s="138"/>
      <c r="BU495" s="138"/>
    </row>
    <row r="496" spans="15:73"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8"/>
      <c r="BM496" s="138"/>
      <c r="BN496" s="138"/>
      <c r="BO496" s="138"/>
      <c r="BP496" s="138"/>
      <c r="BQ496" s="138"/>
      <c r="BR496" s="138"/>
      <c r="BS496" s="138"/>
      <c r="BT496" s="138"/>
      <c r="BU496" s="138"/>
    </row>
    <row r="497" spans="15:73"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8"/>
      <c r="BM497" s="138"/>
      <c r="BN497" s="138"/>
      <c r="BO497" s="138"/>
      <c r="BP497" s="138"/>
      <c r="BQ497" s="138"/>
      <c r="BR497" s="138"/>
      <c r="BS497" s="138"/>
      <c r="BT497" s="138"/>
      <c r="BU497" s="138"/>
    </row>
    <row r="498" spans="15:73"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38"/>
      <c r="BN498" s="138"/>
      <c r="BO498" s="138"/>
      <c r="BP498" s="138"/>
      <c r="BQ498" s="138"/>
      <c r="BR498" s="138"/>
      <c r="BS498" s="138"/>
      <c r="BT498" s="138"/>
      <c r="BU498" s="138"/>
    </row>
    <row r="499" spans="15:73"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  <c r="AV499" s="138"/>
      <c r="AW499" s="138"/>
      <c r="AX499" s="138"/>
      <c r="AY499" s="138"/>
      <c r="AZ499" s="138"/>
      <c r="BA499" s="138"/>
      <c r="BB499" s="138"/>
      <c r="BC499" s="138"/>
      <c r="BD499" s="138"/>
      <c r="BE499" s="138"/>
      <c r="BF499" s="138"/>
      <c r="BG499" s="138"/>
      <c r="BH499" s="138"/>
      <c r="BI499" s="138"/>
      <c r="BJ499" s="138"/>
      <c r="BK499" s="138"/>
      <c r="BL499" s="138"/>
      <c r="BM499" s="138"/>
      <c r="BN499" s="138"/>
      <c r="BO499" s="138"/>
      <c r="BP499" s="138"/>
      <c r="BQ499" s="138"/>
      <c r="BR499" s="138"/>
      <c r="BS499" s="138"/>
      <c r="BT499" s="138"/>
      <c r="BU499" s="138"/>
    </row>
    <row r="500" spans="15:73"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  <c r="AC500" s="138"/>
      <c r="AD500" s="138"/>
      <c r="AE500" s="138"/>
      <c r="AF500" s="138"/>
      <c r="AG500" s="138"/>
      <c r="AH500" s="138"/>
      <c r="AI500" s="138"/>
      <c r="AJ500" s="138"/>
      <c r="AK500" s="138"/>
      <c r="AL500" s="138"/>
      <c r="AM500" s="138"/>
      <c r="AN500" s="138"/>
      <c r="AO500" s="138"/>
      <c r="AP500" s="138"/>
      <c r="AQ500" s="138"/>
      <c r="AR500" s="138"/>
      <c r="AS500" s="138"/>
      <c r="AT500" s="138"/>
      <c r="AU500" s="138"/>
      <c r="AV500" s="138"/>
      <c r="AW500" s="138"/>
      <c r="AX500" s="138"/>
      <c r="AY500" s="138"/>
      <c r="AZ500" s="138"/>
      <c r="BA500" s="138"/>
      <c r="BB500" s="138"/>
      <c r="BC500" s="138"/>
      <c r="BD500" s="138"/>
      <c r="BE500" s="138"/>
      <c r="BF500" s="138"/>
      <c r="BG500" s="138"/>
      <c r="BH500" s="138"/>
      <c r="BI500" s="138"/>
      <c r="BJ500" s="138"/>
      <c r="BK500" s="138"/>
      <c r="BL500" s="138"/>
      <c r="BM500" s="138"/>
      <c r="BN500" s="138"/>
      <c r="BO500" s="138"/>
      <c r="BP500" s="138"/>
      <c r="BQ500" s="138"/>
      <c r="BR500" s="138"/>
      <c r="BS500" s="138"/>
      <c r="BT500" s="138"/>
      <c r="BU500" s="138"/>
    </row>
    <row r="501" spans="15:73"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B501" s="138"/>
      <c r="AC501" s="138"/>
      <c r="AD501" s="138"/>
      <c r="AE501" s="138"/>
      <c r="AF501" s="138"/>
      <c r="AG501" s="138"/>
      <c r="AH501" s="138"/>
      <c r="AI501" s="138"/>
      <c r="AJ501" s="138"/>
      <c r="AK501" s="138"/>
      <c r="AL501" s="138"/>
      <c r="AM501" s="138"/>
      <c r="AN501" s="138"/>
      <c r="AO501" s="138"/>
      <c r="AP501" s="138"/>
      <c r="AQ501" s="138"/>
      <c r="AR501" s="138"/>
      <c r="AS501" s="138"/>
      <c r="AT501" s="138"/>
      <c r="AU501" s="138"/>
      <c r="AV501" s="138"/>
      <c r="AW501" s="138"/>
      <c r="AX501" s="138"/>
      <c r="AY501" s="138"/>
      <c r="AZ501" s="138"/>
      <c r="BA501" s="138"/>
      <c r="BB501" s="138"/>
      <c r="BC501" s="138"/>
      <c r="BD501" s="138"/>
      <c r="BE501" s="138"/>
      <c r="BF501" s="138"/>
      <c r="BG501" s="138"/>
      <c r="BH501" s="138"/>
      <c r="BI501" s="138"/>
      <c r="BJ501" s="138"/>
      <c r="BK501" s="138"/>
      <c r="BL501" s="138"/>
      <c r="BM501" s="138"/>
      <c r="BN501" s="138"/>
      <c r="BO501" s="138"/>
      <c r="BP501" s="138"/>
      <c r="BQ501" s="138"/>
      <c r="BR501" s="138"/>
      <c r="BS501" s="138"/>
      <c r="BT501" s="138"/>
      <c r="BU501" s="138"/>
    </row>
    <row r="502" spans="15:73"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  <c r="AD502" s="138"/>
      <c r="AE502" s="138"/>
      <c r="AF502" s="138"/>
      <c r="AG502" s="138"/>
      <c r="AH502" s="138"/>
      <c r="AI502" s="138"/>
      <c r="AJ502" s="138"/>
      <c r="AK502" s="138"/>
      <c r="AL502" s="138"/>
      <c r="AM502" s="138"/>
      <c r="AN502" s="138"/>
      <c r="AO502" s="138"/>
      <c r="AP502" s="138"/>
      <c r="AQ502" s="138"/>
      <c r="AR502" s="138"/>
      <c r="AS502" s="138"/>
      <c r="AT502" s="138"/>
      <c r="AU502" s="138"/>
      <c r="AV502" s="138"/>
      <c r="AW502" s="138"/>
      <c r="AX502" s="138"/>
      <c r="AY502" s="138"/>
      <c r="AZ502" s="138"/>
      <c r="BA502" s="138"/>
      <c r="BB502" s="138"/>
      <c r="BC502" s="138"/>
      <c r="BD502" s="138"/>
      <c r="BE502" s="138"/>
      <c r="BF502" s="138"/>
      <c r="BG502" s="138"/>
      <c r="BH502" s="138"/>
      <c r="BI502" s="138"/>
      <c r="BJ502" s="138"/>
      <c r="BK502" s="138"/>
      <c r="BL502" s="138"/>
      <c r="BM502" s="138"/>
      <c r="BN502" s="138"/>
      <c r="BO502" s="138"/>
      <c r="BP502" s="138"/>
      <c r="BQ502" s="138"/>
      <c r="BR502" s="138"/>
      <c r="BS502" s="138"/>
      <c r="BT502" s="138"/>
      <c r="BU502" s="138"/>
    </row>
    <row r="503" spans="15:73"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  <c r="AA503" s="138"/>
      <c r="AB503" s="138"/>
      <c r="AC503" s="138"/>
      <c r="AD503" s="138"/>
      <c r="AE503" s="138"/>
      <c r="AF503" s="138"/>
      <c r="AG503" s="138"/>
      <c r="AH503" s="138"/>
      <c r="AI503" s="138"/>
      <c r="AJ503" s="138"/>
      <c r="AK503" s="138"/>
      <c r="AL503" s="138"/>
      <c r="AM503" s="138"/>
      <c r="AN503" s="138"/>
      <c r="AO503" s="138"/>
      <c r="AP503" s="138"/>
      <c r="AQ503" s="138"/>
      <c r="AR503" s="138"/>
      <c r="AS503" s="138"/>
      <c r="AT503" s="138"/>
      <c r="AU503" s="138"/>
      <c r="AV503" s="138"/>
      <c r="AW503" s="138"/>
      <c r="AX503" s="138"/>
      <c r="AY503" s="138"/>
      <c r="AZ503" s="138"/>
      <c r="BA503" s="138"/>
      <c r="BB503" s="138"/>
      <c r="BC503" s="138"/>
      <c r="BD503" s="138"/>
      <c r="BE503" s="138"/>
      <c r="BF503" s="138"/>
      <c r="BG503" s="138"/>
      <c r="BH503" s="138"/>
      <c r="BI503" s="138"/>
      <c r="BJ503" s="138"/>
      <c r="BK503" s="138"/>
      <c r="BL503" s="138"/>
      <c r="BM503" s="138"/>
      <c r="BN503" s="138"/>
      <c r="BO503" s="138"/>
      <c r="BP503" s="138"/>
      <c r="BQ503" s="138"/>
      <c r="BR503" s="138"/>
      <c r="BS503" s="138"/>
      <c r="BT503" s="138"/>
      <c r="BU503" s="138"/>
    </row>
    <row r="504" spans="15:73"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  <c r="AN504" s="138"/>
      <c r="AO504" s="138"/>
      <c r="AP504" s="138"/>
      <c r="AQ504" s="138"/>
      <c r="AR504" s="138"/>
      <c r="AS504" s="138"/>
      <c r="AT504" s="138"/>
      <c r="AU504" s="138"/>
      <c r="AV504" s="138"/>
      <c r="AW504" s="138"/>
      <c r="AX504" s="138"/>
      <c r="AY504" s="138"/>
      <c r="AZ504" s="138"/>
      <c r="BA504" s="138"/>
      <c r="BB504" s="138"/>
      <c r="BC504" s="138"/>
      <c r="BD504" s="138"/>
      <c r="BE504" s="138"/>
      <c r="BF504" s="138"/>
      <c r="BG504" s="138"/>
      <c r="BH504" s="138"/>
      <c r="BI504" s="138"/>
      <c r="BJ504" s="138"/>
      <c r="BK504" s="138"/>
      <c r="BL504" s="138"/>
      <c r="BM504" s="138"/>
      <c r="BN504" s="138"/>
      <c r="BO504" s="138"/>
      <c r="BP504" s="138"/>
      <c r="BQ504" s="138"/>
      <c r="BR504" s="138"/>
      <c r="BS504" s="138"/>
      <c r="BT504" s="138"/>
      <c r="BU504" s="138"/>
    </row>
    <row r="505" spans="15:73"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  <c r="AC505" s="138"/>
      <c r="AD505" s="138"/>
      <c r="AE505" s="138"/>
      <c r="AF505" s="138"/>
      <c r="AG505" s="138"/>
      <c r="AH505" s="138"/>
      <c r="AI505" s="138"/>
      <c r="AJ505" s="138"/>
      <c r="AK505" s="138"/>
      <c r="AL505" s="138"/>
      <c r="AM505" s="138"/>
      <c r="AN505" s="138"/>
      <c r="AO505" s="138"/>
      <c r="AP505" s="138"/>
      <c r="AQ505" s="138"/>
      <c r="AR505" s="138"/>
      <c r="AS505" s="138"/>
      <c r="AT505" s="138"/>
      <c r="AU505" s="138"/>
      <c r="AV505" s="138"/>
      <c r="AW505" s="138"/>
      <c r="AX505" s="138"/>
      <c r="AY505" s="138"/>
      <c r="AZ505" s="138"/>
      <c r="BA505" s="138"/>
      <c r="BB505" s="138"/>
      <c r="BC505" s="138"/>
      <c r="BD505" s="138"/>
      <c r="BE505" s="138"/>
      <c r="BF505" s="138"/>
      <c r="BG505" s="138"/>
      <c r="BH505" s="138"/>
      <c r="BI505" s="138"/>
      <c r="BJ505" s="138"/>
      <c r="BK505" s="138"/>
      <c r="BL505" s="138"/>
      <c r="BM505" s="138"/>
      <c r="BN505" s="138"/>
      <c r="BO505" s="138"/>
      <c r="BP505" s="138"/>
      <c r="BQ505" s="138"/>
      <c r="BR505" s="138"/>
      <c r="BS505" s="138"/>
      <c r="BT505" s="138"/>
      <c r="BU505" s="138"/>
    </row>
    <row r="506" spans="15:73"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  <c r="AA506" s="138"/>
      <c r="AB506" s="138"/>
      <c r="AC506" s="138"/>
      <c r="AD506" s="138"/>
      <c r="AE506" s="138"/>
      <c r="AF506" s="138"/>
      <c r="AG506" s="138"/>
      <c r="AH506" s="138"/>
      <c r="AI506" s="138"/>
      <c r="AJ506" s="138"/>
      <c r="AK506" s="138"/>
      <c r="AL506" s="138"/>
      <c r="AM506" s="138"/>
      <c r="AN506" s="138"/>
      <c r="AO506" s="138"/>
      <c r="AP506" s="138"/>
      <c r="AQ506" s="138"/>
      <c r="AR506" s="138"/>
      <c r="AS506" s="138"/>
      <c r="AT506" s="138"/>
      <c r="AU506" s="138"/>
      <c r="AV506" s="138"/>
      <c r="AW506" s="138"/>
      <c r="AX506" s="138"/>
      <c r="AY506" s="138"/>
      <c r="AZ506" s="138"/>
      <c r="BA506" s="138"/>
      <c r="BB506" s="138"/>
      <c r="BC506" s="138"/>
      <c r="BD506" s="138"/>
      <c r="BE506" s="138"/>
      <c r="BF506" s="138"/>
      <c r="BG506" s="138"/>
      <c r="BH506" s="138"/>
      <c r="BI506" s="138"/>
      <c r="BJ506" s="138"/>
      <c r="BK506" s="138"/>
      <c r="BL506" s="138"/>
      <c r="BM506" s="138"/>
      <c r="BN506" s="138"/>
      <c r="BO506" s="138"/>
      <c r="BP506" s="138"/>
      <c r="BQ506" s="138"/>
      <c r="BR506" s="138"/>
      <c r="BS506" s="138"/>
      <c r="BT506" s="138"/>
      <c r="BU506" s="138"/>
    </row>
    <row r="507" spans="15:73"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  <c r="AA507" s="138"/>
      <c r="AB507" s="138"/>
      <c r="AC507" s="138"/>
      <c r="AD507" s="138"/>
      <c r="AE507" s="138"/>
      <c r="AF507" s="138"/>
      <c r="AG507" s="138"/>
      <c r="AH507" s="138"/>
      <c r="AI507" s="138"/>
      <c r="AJ507" s="138"/>
      <c r="AK507" s="138"/>
      <c r="AL507" s="138"/>
      <c r="AM507" s="138"/>
      <c r="AN507" s="138"/>
      <c r="AO507" s="138"/>
      <c r="AP507" s="138"/>
      <c r="AQ507" s="138"/>
      <c r="AR507" s="138"/>
      <c r="AS507" s="138"/>
      <c r="AT507" s="138"/>
      <c r="AU507" s="138"/>
      <c r="AV507" s="138"/>
      <c r="AW507" s="138"/>
      <c r="AX507" s="138"/>
      <c r="AY507" s="138"/>
      <c r="AZ507" s="138"/>
      <c r="BA507" s="138"/>
      <c r="BB507" s="138"/>
      <c r="BC507" s="138"/>
      <c r="BD507" s="138"/>
      <c r="BE507" s="138"/>
      <c r="BF507" s="138"/>
      <c r="BG507" s="138"/>
      <c r="BH507" s="138"/>
      <c r="BI507" s="138"/>
      <c r="BJ507" s="138"/>
      <c r="BK507" s="138"/>
      <c r="BL507" s="138"/>
      <c r="BM507" s="138"/>
      <c r="BN507" s="138"/>
      <c r="BO507" s="138"/>
      <c r="BP507" s="138"/>
      <c r="BQ507" s="138"/>
      <c r="BR507" s="138"/>
      <c r="BS507" s="138"/>
      <c r="BT507" s="138"/>
      <c r="BU507" s="138"/>
    </row>
    <row r="508" spans="15:73"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  <c r="AA508" s="138"/>
      <c r="AB508" s="138"/>
      <c r="AC508" s="138"/>
      <c r="AD508" s="138"/>
      <c r="AE508" s="138"/>
      <c r="AF508" s="138"/>
      <c r="AG508" s="138"/>
      <c r="AH508" s="138"/>
      <c r="AI508" s="138"/>
      <c r="AJ508" s="138"/>
      <c r="AK508" s="138"/>
      <c r="AL508" s="138"/>
      <c r="AM508" s="138"/>
      <c r="AN508" s="138"/>
      <c r="AO508" s="138"/>
      <c r="AP508" s="138"/>
      <c r="AQ508" s="138"/>
      <c r="AR508" s="138"/>
      <c r="AS508" s="138"/>
      <c r="AT508" s="138"/>
      <c r="AU508" s="138"/>
      <c r="AV508" s="138"/>
      <c r="AW508" s="138"/>
      <c r="AX508" s="138"/>
      <c r="AY508" s="138"/>
      <c r="AZ508" s="138"/>
      <c r="BA508" s="138"/>
      <c r="BB508" s="138"/>
      <c r="BC508" s="138"/>
      <c r="BD508" s="138"/>
      <c r="BE508" s="138"/>
      <c r="BF508" s="138"/>
      <c r="BG508" s="138"/>
      <c r="BH508" s="138"/>
      <c r="BI508" s="138"/>
      <c r="BJ508" s="138"/>
      <c r="BK508" s="138"/>
      <c r="BL508" s="138"/>
      <c r="BM508" s="138"/>
      <c r="BN508" s="138"/>
      <c r="BO508" s="138"/>
      <c r="BP508" s="138"/>
      <c r="BQ508" s="138"/>
      <c r="BR508" s="138"/>
      <c r="BS508" s="138"/>
      <c r="BT508" s="138"/>
      <c r="BU508" s="138"/>
    </row>
    <row r="509" spans="15:73"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  <c r="AA509" s="138"/>
      <c r="AB509" s="138"/>
      <c r="AC509" s="138"/>
      <c r="AD509" s="138"/>
      <c r="AE509" s="138"/>
      <c r="AF509" s="138"/>
      <c r="AG509" s="138"/>
      <c r="AH509" s="138"/>
      <c r="AI509" s="138"/>
      <c r="AJ509" s="138"/>
      <c r="AK509" s="138"/>
      <c r="AL509" s="138"/>
      <c r="AM509" s="138"/>
      <c r="AN509" s="138"/>
      <c r="AO509" s="138"/>
      <c r="AP509" s="138"/>
      <c r="AQ509" s="138"/>
      <c r="AR509" s="138"/>
      <c r="AS509" s="138"/>
      <c r="AT509" s="138"/>
      <c r="AU509" s="138"/>
      <c r="AV509" s="138"/>
      <c r="AW509" s="138"/>
      <c r="AX509" s="138"/>
      <c r="AY509" s="138"/>
      <c r="AZ509" s="138"/>
      <c r="BA509" s="138"/>
      <c r="BB509" s="138"/>
      <c r="BC509" s="138"/>
      <c r="BD509" s="138"/>
      <c r="BE509" s="138"/>
      <c r="BF509" s="138"/>
      <c r="BG509" s="138"/>
      <c r="BH509" s="138"/>
      <c r="BI509" s="138"/>
      <c r="BJ509" s="138"/>
      <c r="BK509" s="138"/>
      <c r="BL509" s="138"/>
      <c r="BM509" s="138"/>
      <c r="BN509" s="138"/>
      <c r="BO509" s="138"/>
      <c r="BP509" s="138"/>
      <c r="BQ509" s="138"/>
      <c r="BR509" s="138"/>
      <c r="BS509" s="138"/>
      <c r="BT509" s="138"/>
      <c r="BU509" s="138"/>
    </row>
    <row r="510" spans="15:73"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38"/>
      <c r="AK510" s="138"/>
      <c r="AL510" s="138"/>
      <c r="AM510" s="138"/>
      <c r="AN510" s="138"/>
      <c r="AO510" s="138"/>
      <c r="AP510" s="138"/>
      <c r="AQ510" s="138"/>
      <c r="AR510" s="138"/>
      <c r="AS510" s="138"/>
      <c r="AT510" s="138"/>
      <c r="AU510" s="138"/>
      <c r="AV510" s="138"/>
      <c r="AW510" s="138"/>
      <c r="AX510" s="138"/>
      <c r="AY510" s="138"/>
      <c r="AZ510" s="138"/>
      <c r="BA510" s="138"/>
      <c r="BB510" s="138"/>
      <c r="BC510" s="138"/>
      <c r="BD510" s="138"/>
      <c r="BE510" s="138"/>
      <c r="BF510" s="138"/>
      <c r="BG510" s="138"/>
      <c r="BH510" s="138"/>
      <c r="BI510" s="138"/>
      <c r="BJ510" s="138"/>
      <c r="BK510" s="138"/>
      <c r="BL510" s="138"/>
      <c r="BM510" s="138"/>
      <c r="BN510" s="138"/>
      <c r="BO510" s="138"/>
      <c r="BP510" s="138"/>
      <c r="BQ510" s="138"/>
      <c r="BR510" s="138"/>
      <c r="BS510" s="138"/>
      <c r="BT510" s="138"/>
      <c r="BU510" s="138"/>
    </row>
    <row r="511" spans="15:73"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  <c r="AF511" s="138"/>
      <c r="AG511" s="138"/>
      <c r="AH511" s="138"/>
      <c r="AI511" s="138"/>
      <c r="AJ511" s="138"/>
      <c r="AK511" s="138"/>
      <c r="AL511" s="138"/>
      <c r="AM511" s="138"/>
      <c r="AN511" s="138"/>
      <c r="AO511" s="138"/>
      <c r="AP511" s="138"/>
      <c r="AQ511" s="138"/>
      <c r="AR511" s="138"/>
      <c r="AS511" s="138"/>
      <c r="AT511" s="138"/>
      <c r="AU511" s="138"/>
      <c r="AV511" s="138"/>
      <c r="AW511" s="138"/>
      <c r="AX511" s="138"/>
      <c r="AY511" s="138"/>
      <c r="AZ511" s="138"/>
      <c r="BA511" s="138"/>
      <c r="BB511" s="138"/>
      <c r="BC511" s="138"/>
      <c r="BD511" s="138"/>
      <c r="BE511" s="138"/>
      <c r="BF511" s="138"/>
      <c r="BG511" s="138"/>
      <c r="BH511" s="138"/>
      <c r="BI511" s="138"/>
      <c r="BJ511" s="138"/>
      <c r="BK511" s="138"/>
      <c r="BL511" s="138"/>
      <c r="BM511" s="138"/>
      <c r="BN511" s="138"/>
      <c r="BO511" s="138"/>
      <c r="BP511" s="138"/>
      <c r="BQ511" s="138"/>
      <c r="BR511" s="138"/>
      <c r="BS511" s="138"/>
      <c r="BT511" s="138"/>
      <c r="BU511" s="138"/>
    </row>
    <row r="512" spans="15:73"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  <c r="AC512" s="138"/>
      <c r="AD512" s="138"/>
      <c r="AE512" s="138"/>
      <c r="AF512" s="138"/>
      <c r="AG512" s="138"/>
      <c r="AH512" s="138"/>
      <c r="AI512" s="138"/>
      <c r="AJ512" s="138"/>
      <c r="AK512" s="138"/>
      <c r="AL512" s="138"/>
      <c r="AM512" s="138"/>
      <c r="AN512" s="138"/>
      <c r="AO512" s="138"/>
      <c r="AP512" s="138"/>
      <c r="AQ512" s="138"/>
      <c r="AR512" s="138"/>
      <c r="AS512" s="138"/>
      <c r="AT512" s="138"/>
      <c r="AU512" s="138"/>
      <c r="AV512" s="138"/>
      <c r="AW512" s="138"/>
      <c r="AX512" s="138"/>
      <c r="AY512" s="138"/>
      <c r="AZ512" s="138"/>
      <c r="BA512" s="138"/>
      <c r="BB512" s="138"/>
      <c r="BC512" s="138"/>
      <c r="BD512" s="138"/>
      <c r="BE512" s="138"/>
      <c r="BF512" s="138"/>
      <c r="BG512" s="138"/>
      <c r="BH512" s="138"/>
      <c r="BI512" s="138"/>
      <c r="BJ512" s="138"/>
      <c r="BK512" s="138"/>
      <c r="BL512" s="138"/>
      <c r="BM512" s="138"/>
      <c r="BN512" s="138"/>
      <c r="BO512" s="138"/>
      <c r="BP512" s="138"/>
      <c r="BQ512" s="138"/>
      <c r="BR512" s="138"/>
      <c r="BS512" s="138"/>
      <c r="BT512" s="138"/>
      <c r="BU512" s="138"/>
    </row>
    <row r="513" spans="15:73"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  <c r="AA513" s="138"/>
      <c r="AB513" s="138"/>
      <c r="AC513" s="138"/>
      <c r="AD513" s="138"/>
      <c r="AE513" s="138"/>
      <c r="AF513" s="138"/>
      <c r="AG513" s="138"/>
      <c r="AH513" s="138"/>
      <c r="AI513" s="138"/>
      <c r="AJ513" s="138"/>
      <c r="AK513" s="138"/>
      <c r="AL513" s="138"/>
      <c r="AM513" s="138"/>
      <c r="AN513" s="138"/>
      <c r="AO513" s="138"/>
      <c r="AP513" s="138"/>
      <c r="AQ513" s="138"/>
      <c r="AR513" s="138"/>
      <c r="AS513" s="138"/>
      <c r="AT513" s="138"/>
      <c r="AU513" s="138"/>
      <c r="AV513" s="138"/>
      <c r="AW513" s="138"/>
      <c r="AX513" s="138"/>
      <c r="AY513" s="138"/>
      <c r="AZ513" s="138"/>
      <c r="BA513" s="138"/>
      <c r="BB513" s="138"/>
      <c r="BC513" s="138"/>
      <c r="BD513" s="138"/>
      <c r="BE513" s="138"/>
      <c r="BF513" s="138"/>
      <c r="BG513" s="138"/>
      <c r="BH513" s="138"/>
      <c r="BI513" s="138"/>
      <c r="BJ513" s="138"/>
      <c r="BK513" s="138"/>
      <c r="BL513" s="138"/>
      <c r="BM513" s="138"/>
      <c r="BN513" s="138"/>
      <c r="BO513" s="138"/>
      <c r="BP513" s="138"/>
      <c r="BQ513" s="138"/>
      <c r="BR513" s="138"/>
      <c r="BS513" s="138"/>
      <c r="BT513" s="138"/>
      <c r="BU513" s="138"/>
    </row>
    <row r="514" spans="15:73"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  <c r="AC514" s="138"/>
      <c r="AD514" s="138"/>
      <c r="AE514" s="138"/>
      <c r="AF514" s="138"/>
      <c r="AG514" s="138"/>
      <c r="AH514" s="138"/>
      <c r="AI514" s="138"/>
      <c r="AJ514" s="138"/>
      <c r="AK514" s="138"/>
      <c r="AL514" s="138"/>
      <c r="AM514" s="138"/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8"/>
      <c r="AZ514" s="138"/>
      <c r="BA514" s="138"/>
      <c r="BB514" s="138"/>
      <c r="BC514" s="138"/>
      <c r="BD514" s="138"/>
      <c r="BE514" s="138"/>
      <c r="BF514" s="138"/>
      <c r="BG514" s="138"/>
      <c r="BH514" s="138"/>
      <c r="BI514" s="138"/>
      <c r="BJ514" s="138"/>
      <c r="BK514" s="138"/>
      <c r="BL514" s="138"/>
      <c r="BM514" s="138"/>
      <c r="BN514" s="138"/>
      <c r="BO514" s="138"/>
      <c r="BP514" s="138"/>
      <c r="BQ514" s="138"/>
      <c r="BR514" s="138"/>
      <c r="BS514" s="138"/>
      <c r="BT514" s="138"/>
      <c r="BU514" s="138"/>
    </row>
    <row r="515" spans="15:73"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  <c r="AC515" s="138"/>
      <c r="AD515" s="138"/>
      <c r="AE515" s="138"/>
      <c r="AF515" s="138"/>
      <c r="AG515" s="138"/>
      <c r="AH515" s="138"/>
      <c r="AI515" s="138"/>
      <c r="AJ515" s="138"/>
      <c r="AK515" s="138"/>
      <c r="AL515" s="138"/>
      <c r="AM515" s="138"/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38"/>
      <c r="AX515" s="138"/>
      <c r="AY515" s="138"/>
      <c r="AZ515" s="138"/>
      <c r="BA515" s="138"/>
      <c r="BB515" s="138"/>
      <c r="BC515" s="138"/>
      <c r="BD515" s="138"/>
      <c r="BE515" s="138"/>
      <c r="BF515" s="138"/>
      <c r="BG515" s="138"/>
      <c r="BH515" s="138"/>
      <c r="BI515" s="138"/>
      <c r="BJ515" s="138"/>
      <c r="BK515" s="138"/>
      <c r="BL515" s="138"/>
      <c r="BM515" s="138"/>
      <c r="BN515" s="138"/>
      <c r="BO515" s="138"/>
      <c r="BP515" s="138"/>
      <c r="BQ515" s="138"/>
      <c r="BR515" s="138"/>
      <c r="BS515" s="138"/>
      <c r="BT515" s="138"/>
      <c r="BU515" s="138"/>
    </row>
    <row r="516" spans="15:73"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  <c r="AC516" s="138"/>
      <c r="AD516" s="138"/>
      <c r="AE516" s="138"/>
      <c r="AF516" s="138"/>
      <c r="AG516" s="138"/>
      <c r="AH516" s="138"/>
      <c r="AI516" s="138"/>
      <c r="AJ516" s="138"/>
      <c r="AK516" s="138"/>
      <c r="AL516" s="138"/>
      <c r="AM516" s="138"/>
      <c r="AN516" s="138"/>
      <c r="AO516" s="138"/>
      <c r="AP516" s="138"/>
      <c r="AQ516" s="138"/>
      <c r="AR516" s="138"/>
      <c r="AS516" s="138"/>
      <c r="AT516" s="138"/>
      <c r="AU516" s="138"/>
      <c r="AV516" s="138"/>
      <c r="AW516" s="138"/>
      <c r="AX516" s="138"/>
      <c r="AY516" s="138"/>
      <c r="AZ516" s="138"/>
      <c r="BA516" s="138"/>
      <c r="BB516" s="138"/>
      <c r="BC516" s="138"/>
      <c r="BD516" s="138"/>
      <c r="BE516" s="138"/>
      <c r="BF516" s="138"/>
      <c r="BG516" s="138"/>
      <c r="BH516" s="138"/>
      <c r="BI516" s="138"/>
      <c r="BJ516" s="138"/>
      <c r="BK516" s="138"/>
      <c r="BL516" s="138"/>
      <c r="BM516" s="138"/>
      <c r="BN516" s="138"/>
      <c r="BO516" s="138"/>
      <c r="BP516" s="138"/>
      <c r="BQ516" s="138"/>
      <c r="BR516" s="138"/>
      <c r="BS516" s="138"/>
      <c r="BT516" s="138"/>
      <c r="BU516" s="138"/>
    </row>
    <row r="517" spans="15:73"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  <c r="AC517" s="138"/>
      <c r="AD517" s="138"/>
      <c r="AE517" s="138"/>
      <c r="AF517" s="138"/>
      <c r="AG517" s="138"/>
      <c r="AH517" s="138"/>
      <c r="AI517" s="138"/>
      <c r="AJ517" s="138"/>
      <c r="AK517" s="138"/>
      <c r="AL517" s="138"/>
      <c r="AM517" s="138"/>
      <c r="AN517" s="138"/>
      <c r="AO517" s="138"/>
      <c r="AP517" s="138"/>
      <c r="AQ517" s="138"/>
      <c r="AR517" s="138"/>
      <c r="AS517" s="138"/>
      <c r="AT517" s="138"/>
      <c r="AU517" s="138"/>
      <c r="AV517" s="138"/>
      <c r="AW517" s="138"/>
      <c r="AX517" s="138"/>
      <c r="AY517" s="138"/>
      <c r="AZ517" s="138"/>
      <c r="BA517" s="138"/>
      <c r="BB517" s="138"/>
      <c r="BC517" s="138"/>
      <c r="BD517" s="138"/>
      <c r="BE517" s="138"/>
      <c r="BF517" s="138"/>
      <c r="BG517" s="138"/>
      <c r="BH517" s="138"/>
      <c r="BI517" s="138"/>
      <c r="BJ517" s="138"/>
      <c r="BK517" s="138"/>
      <c r="BL517" s="138"/>
      <c r="BM517" s="138"/>
      <c r="BN517" s="138"/>
      <c r="BO517" s="138"/>
      <c r="BP517" s="138"/>
      <c r="BQ517" s="138"/>
      <c r="BR517" s="138"/>
      <c r="BS517" s="138"/>
      <c r="BT517" s="138"/>
      <c r="BU517" s="138"/>
    </row>
    <row r="518" spans="15:73"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  <c r="AC518" s="138"/>
      <c r="AD518" s="138"/>
      <c r="AE518" s="138"/>
      <c r="AF518" s="138"/>
      <c r="AG518" s="138"/>
      <c r="AH518" s="138"/>
      <c r="AI518" s="138"/>
      <c r="AJ518" s="138"/>
      <c r="AK518" s="138"/>
      <c r="AL518" s="138"/>
      <c r="AM518" s="138"/>
      <c r="AN518" s="138"/>
      <c r="AO518" s="138"/>
      <c r="AP518" s="138"/>
      <c r="AQ518" s="138"/>
      <c r="AR518" s="138"/>
      <c r="AS518" s="138"/>
      <c r="AT518" s="138"/>
      <c r="AU518" s="138"/>
      <c r="AV518" s="138"/>
      <c r="AW518" s="138"/>
      <c r="AX518" s="138"/>
      <c r="AY518" s="138"/>
      <c r="AZ518" s="138"/>
      <c r="BA518" s="138"/>
      <c r="BB518" s="138"/>
      <c r="BC518" s="138"/>
      <c r="BD518" s="138"/>
      <c r="BE518" s="138"/>
      <c r="BF518" s="138"/>
      <c r="BG518" s="138"/>
      <c r="BH518" s="138"/>
      <c r="BI518" s="138"/>
      <c r="BJ518" s="138"/>
      <c r="BK518" s="138"/>
      <c r="BL518" s="138"/>
      <c r="BM518" s="138"/>
      <c r="BN518" s="138"/>
      <c r="BO518" s="138"/>
      <c r="BP518" s="138"/>
      <c r="BQ518" s="138"/>
      <c r="BR518" s="138"/>
      <c r="BS518" s="138"/>
      <c r="BT518" s="138"/>
      <c r="BU518" s="138"/>
    </row>
    <row r="519" spans="15:73"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  <c r="AC519" s="138"/>
      <c r="AD519" s="138"/>
      <c r="AE519" s="138"/>
      <c r="AF519" s="138"/>
      <c r="AG519" s="138"/>
      <c r="AH519" s="138"/>
      <c r="AI519" s="138"/>
      <c r="AJ519" s="138"/>
      <c r="AK519" s="138"/>
      <c r="AL519" s="138"/>
      <c r="AM519" s="138"/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8"/>
      <c r="BF519" s="138"/>
      <c r="BG519" s="138"/>
      <c r="BH519" s="138"/>
      <c r="BI519" s="138"/>
      <c r="BJ519" s="138"/>
      <c r="BK519" s="138"/>
      <c r="BL519" s="138"/>
      <c r="BM519" s="138"/>
      <c r="BN519" s="138"/>
      <c r="BO519" s="138"/>
      <c r="BP519" s="138"/>
      <c r="BQ519" s="138"/>
      <c r="BR519" s="138"/>
      <c r="BS519" s="138"/>
      <c r="BT519" s="138"/>
      <c r="BU519" s="138"/>
    </row>
    <row r="520" spans="15:73"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  <c r="AC520" s="138"/>
      <c r="AD520" s="138"/>
      <c r="AE520" s="138"/>
      <c r="AF520" s="138"/>
      <c r="AG520" s="138"/>
      <c r="AH520" s="138"/>
      <c r="AI520" s="138"/>
      <c r="AJ520" s="138"/>
      <c r="AK520" s="138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  <c r="BI520" s="138"/>
      <c r="BJ520" s="138"/>
      <c r="BK520" s="138"/>
      <c r="BL520" s="138"/>
      <c r="BM520" s="138"/>
      <c r="BN520" s="138"/>
      <c r="BO520" s="138"/>
      <c r="BP520" s="138"/>
      <c r="BQ520" s="138"/>
      <c r="BR520" s="138"/>
      <c r="BS520" s="138"/>
      <c r="BT520" s="138"/>
      <c r="BU520" s="138"/>
    </row>
    <row r="521" spans="15:73"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  <c r="AC521" s="138"/>
      <c r="AD521" s="138"/>
      <c r="AE521" s="138"/>
      <c r="AF521" s="138"/>
      <c r="AG521" s="138"/>
      <c r="AH521" s="138"/>
      <c r="AI521" s="138"/>
      <c r="AJ521" s="138"/>
      <c r="AK521" s="138"/>
      <c r="AL521" s="138"/>
      <c r="AM521" s="138"/>
      <c r="AN521" s="138"/>
      <c r="AO521" s="138"/>
      <c r="AP521" s="138"/>
      <c r="AQ521" s="138"/>
      <c r="AR521" s="138"/>
      <c r="AS521" s="138"/>
      <c r="AT521" s="138"/>
      <c r="AU521" s="138"/>
      <c r="AV521" s="138"/>
      <c r="AW521" s="138"/>
      <c r="AX521" s="138"/>
      <c r="AY521" s="138"/>
      <c r="AZ521" s="138"/>
      <c r="BA521" s="138"/>
      <c r="BB521" s="138"/>
      <c r="BC521" s="138"/>
      <c r="BD521" s="138"/>
      <c r="BE521" s="138"/>
      <c r="BF521" s="138"/>
      <c r="BG521" s="138"/>
      <c r="BH521" s="138"/>
      <c r="BI521" s="138"/>
      <c r="BJ521" s="138"/>
      <c r="BK521" s="138"/>
      <c r="BL521" s="138"/>
      <c r="BM521" s="138"/>
      <c r="BN521" s="138"/>
      <c r="BO521" s="138"/>
      <c r="BP521" s="138"/>
      <c r="BQ521" s="138"/>
      <c r="BR521" s="138"/>
      <c r="BS521" s="138"/>
      <c r="BT521" s="138"/>
      <c r="BU521" s="138"/>
    </row>
    <row r="522" spans="15:73"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  <c r="AF522" s="138"/>
      <c r="AG522" s="138"/>
      <c r="AH522" s="138"/>
      <c r="AI522" s="138"/>
      <c r="AJ522" s="138"/>
      <c r="AK522" s="138"/>
      <c r="AL522" s="138"/>
      <c r="AM522" s="138"/>
      <c r="AN522" s="138"/>
      <c r="AO522" s="138"/>
      <c r="AP522" s="138"/>
      <c r="AQ522" s="138"/>
      <c r="AR522" s="138"/>
      <c r="AS522" s="138"/>
      <c r="AT522" s="138"/>
      <c r="AU522" s="138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38"/>
      <c r="BJ522" s="138"/>
      <c r="BK522" s="138"/>
      <c r="BL522" s="138"/>
      <c r="BM522" s="138"/>
      <c r="BN522" s="138"/>
      <c r="BO522" s="138"/>
      <c r="BP522" s="138"/>
      <c r="BQ522" s="138"/>
      <c r="BR522" s="138"/>
      <c r="BS522" s="138"/>
      <c r="BT522" s="138"/>
      <c r="BU522" s="138"/>
    </row>
    <row r="523" spans="15:73"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  <c r="AC523" s="138"/>
      <c r="AD523" s="138"/>
      <c r="AE523" s="138"/>
      <c r="AF523" s="138"/>
      <c r="AG523" s="138"/>
      <c r="AH523" s="138"/>
      <c r="AI523" s="138"/>
      <c r="AJ523" s="138"/>
      <c r="AK523" s="138"/>
      <c r="AL523" s="138"/>
      <c r="AM523" s="138"/>
      <c r="AN523" s="138"/>
      <c r="AO523" s="138"/>
      <c r="AP523" s="138"/>
      <c r="AQ523" s="138"/>
      <c r="AR523" s="138"/>
      <c r="AS523" s="138"/>
      <c r="AT523" s="138"/>
      <c r="AU523" s="138"/>
      <c r="AV523" s="138"/>
      <c r="AW523" s="138"/>
      <c r="AX523" s="138"/>
      <c r="AY523" s="138"/>
      <c r="AZ523" s="138"/>
      <c r="BA523" s="138"/>
      <c r="BB523" s="138"/>
      <c r="BC523" s="138"/>
      <c r="BD523" s="138"/>
      <c r="BE523" s="138"/>
      <c r="BF523" s="138"/>
      <c r="BG523" s="138"/>
      <c r="BH523" s="138"/>
      <c r="BI523" s="138"/>
      <c r="BJ523" s="138"/>
      <c r="BK523" s="138"/>
      <c r="BL523" s="138"/>
      <c r="BM523" s="138"/>
      <c r="BN523" s="138"/>
      <c r="BO523" s="138"/>
      <c r="BP523" s="138"/>
      <c r="BQ523" s="138"/>
      <c r="BR523" s="138"/>
      <c r="BS523" s="138"/>
      <c r="BT523" s="138"/>
      <c r="BU523" s="138"/>
    </row>
    <row r="524" spans="15:73"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  <c r="AC524" s="138"/>
      <c r="AD524" s="138"/>
      <c r="AE524" s="138"/>
      <c r="AF524" s="138"/>
      <c r="AG524" s="138"/>
      <c r="AH524" s="138"/>
      <c r="AI524" s="138"/>
      <c r="AJ524" s="138"/>
      <c r="AK524" s="138"/>
      <c r="AL524" s="138"/>
      <c r="AM524" s="138"/>
      <c r="AN524" s="138"/>
      <c r="AO524" s="138"/>
      <c r="AP524" s="138"/>
      <c r="AQ524" s="138"/>
      <c r="AR524" s="138"/>
      <c r="AS524" s="138"/>
      <c r="AT524" s="138"/>
      <c r="AU524" s="138"/>
      <c r="AV524" s="138"/>
      <c r="AW524" s="138"/>
      <c r="AX524" s="138"/>
      <c r="AY524" s="138"/>
      <c r="AZ524" s="138"/>
      <c r="BA524" s="138"/>
      <c r="BB524" s="138"/>
      <c r="BC524" s="138"/>
      <c r="BD524" s="138"/>
      <c r="BE524" s="138"/>
      <c r="BF524" s="138"/>
      <c r="BG524" s="138"/>
      <c r="BH524" s="138"/>
      <c r="BI524" s="138"/>
      <c r="BJ524" s="138"/>
      <c r="BK524" s="138"/>
      <c r="BL524" s="138"/>
      <c r="BM524" s="138"/>
      <c r="BN524" s="138"/>
      <c r="BO524" s="138"/>
      <c r="BP524" s="138"/>
      <c r="BQ524" s="138"/>
      <c r="BR524" s="138"/>
      <c r="BS524" s="138"/>
      <c r="BT524" s="138"/>
      <c r="BU524" s="138"/>
    </row>
    <row r="525" spans="15:73"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  <c r="AC525" s="138"/>
      <c r="AD525" s="138"/>
      <c r="AE525" s="138"/>
      <c r="AF525" s="138"/>
      <c r="AG525" s="138"/>
      <c r="AH525" s="138"/>
      <c r="AI525" s="138"/>
      <c r="AJ525" s="138"/>
      <c r="AK525" s="138"/>
      <c r="AL525" s="138"/>
      <c r="AM525" s="138"/>
      <c r="AN525" s="138"/>
      <c r="AO525" s="138"/>
      <c r="AP525" s="138"/>
      <c r="AQ525" s="138"/>
      <c r="AR525" s="138"/>
      <c r="AS525" s="138"/>
      <c r="AT525" s="138"/>
      <c r="AU525" s="138"/>
      <c r="AV525" s="138"/>
      <c r="AW525" s="138"/>
      <c r="AX525" s="138"/>
      <c r="AY525" s="138"/>
      <c r="AZ525" s="138"/>
      <c r="BA525" s="138"/>
      <c r="BB525" s="138"/>
      <c r="BC525" s="138"/>
      <c r="BD525" s="138"/>
      <c r="BE525" s="138"/>
      <c r="BF525" s="138"/>
      <c r="BG525" s="138"/>
      <c r="BH525" s="138"/>
      <c r="BI525" s="138"/>
      <c r="BJ525" s="138"/>
      <c r="BK525" s="138"/>
      <c r="BL525" s="138"/>
      <c r="BM525" s="138"/>
      <c r="BN525" s="138"/>
      <c r="BO525" s="138"/>
      <c r="BP525" s="138"/>
      <c r="BQ525" s="138"/>
      <c r="BR525" s="138"/>
      <c r="BS525" s="138"/>
      <c r="BT525" s="138"/>
      <c r="BU525" s="138"/>
    </row>
    <row r="526" spans="15:73"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  <c r="AA526" s="138"/>
      <c r="AB526" s="138"/>
      <c r="AC526" s="138"/>
      <c r="AD526" s="138"/>
      <c r="AE526" s="138"/>
      <c r="AF526" s="138"/>
      <c r="AG526" s="138"/>
      <c r="AH526" s="138"/>
      <c r="AI526" s="138"/>
      <c r="AJ526" s="138"/>
      <c r="AK526" s="138"/>
      <c r="AL526" s="138"/>
      <c r="AM526" s="138"/>
      <c r="AN526" s="138"/>
      <c r="AO526" s="138"/>
      <c r="AP526" s="138"/>
      <c r="AQ526" s="138"/>
      <c r="AR526" s="138"/>
      <c r="AS526" s="138"/>
      <c r="AT526" s="138"/>
      <c r="AU526" s="138"/>
      <c r="AV526" s="138"/>
      <c r="AW526" s="138"/>
      <c r="AX526" s="138"/>
      <c r="AY526" s="138"/>
      <c r="AZ526" s="138"/>
      <c r="BA526" s="138"/>
      <c r="BB526" s="138"/>
      <c r="BC526" s="138"/>
      <c r="BD526" s="138"/>
      <c r="BE526" s="138"/>
      <c r="BF526" s="138"/>
      <c r="BG526" s="138"/>
      <c r="BH526" s="138"/>
      <c r="BI526" s="138"/>
      <c r="BJ526" s="138"/>
      <c r="BK526" s="138"/>
      <c r="BL526" s="138"/>
      <c r="BM526" s="138"/>
      <c r="BN526" s="138"/>
      <c r="BO526" s="138"/>
      <c r="BP526" s="138"/>
      <c r="BQ526" s="138"/>
      <c r="BR526" s="138"/>
      <c r="BS526" s="138"/>
      <c r="BT526" s="138"/>
      <c r="BU526" s="138"/>
    </row>
    <row r="527" spans="15:73"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  <c r="AC527" s="138"/>
      <c r="AD527" s="138"/>
      <c r="AE527" s="138"/>
      <c r="AF527" s="138"/>
      <c r="AG527" s="138"/>
      <c r="AH527" s="138"/>
      <c r="AI527" s="138"/>
      <c r="AJ527" s="138"/>
      <c r="AK527" s="138"/>
      <c r="AL527" s="138"/>
      <c r="AM527" s="138"/>
      <c r="AN527" s="138"/>
      <c r="AO527" s="138"/>
      <c r="AP527" s="138"/>
      <c r="AQ527" s="138"/>
      <c r="AR527" s="138"/>
      <c r="AS527" s="138"/>
      <c r="AT527" s="138"/>
      <c r="AU527" s="138"/>
      <c r="AV527" s="138"/>
      <c r="AW527" s="138"/>
      <c r="AX527" s="138"/>
      <c r="AY527" s="138"/>
      <c r="AZ527" s="138"/>
      <c r="BA527" s="138"/>
      <c r="BB527" s="138"/>
      <c r="BC527" s="138"/>
      <c r="BD527" s="138"/>
      <c r="BE527" s="138"/>
      <c r="BF527" s="138"/>
      <c r="BG527" s="138"/>
      <c r="BH527" s="138"/>
      <c r="BI527" s="138"/>
      <c r="BJ527" s="138"/>
      <c r="BK527" s="138"/>
      <c r="BL527" s="138"/>
      <c r="BM527" s="138"/>
      <c r="BN527" s="138"/>
      <c r="BO527" s="138"/>
      <c r="BP527" s="138"/>
      <c r="BQ527" s="138"/>
      <c r="BR527" s="138"/>
      <c r="BS527" s="138"/>
      <c r="BT527" s="138"/>
      <c r="BU527" s="138"/>
    </row>
    <row r="528" spans="15:73"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  <c r="AC528" s="138"/>
      <c r="AD528" s="138"/>
      <c r="AE528" s="138"/>
      <c r="AF528" s="138"/>
      <c r="AG528" s="138"/>
      <c r="AH528" s="138"/>
      <c r="AI528" s="138"/>
      <c r="AJ528" s="138"/>
      <c r="AK528" s="138"/>
      <c r="AL528" s="138"/>
      <c r="AM528" s="138"/>
      <c r="AN528" s="138"/>
      <c r="AO528" s="138"/>
      <c r="AP528" s="138"/>
      <c r="AQ528" s="138"/>
      <c r="AR528" s="138"/>
      <c r="AS528" s="138"/>
      <c r="AT528" s="138"/>
      <c r="AU528" s="138"/>
      <c r="AV528" s="138"/>
      <c r="AW528" s="138"/>
      <c r="AX528" s="138"/>
      <c r="AY528" s="138"/>
      <c r="AZ528" s="138"/>
      <c r="BA528" s="138"/>
      <c r="BB528" s="138"/>
      <c r="BC528" s="138"/>
      <c r="BD528" s="138"/>
      <c r="BE528" s="138"/>
      <c r="BF528" s="138"/>
      <c r="BG528" s="138"/>
      <c r="BH528" s="138"/>
      <c r="BI528" s="138"/>
      <c r="BJ528" s="138"/>
      <c r="BK528" s="138"/>
      <c r="BL528" s="138"/>
      <c r="BM528" s="138"/>
      <c r="BN528" s="138"/>
      <c r="BO528" s="138"/>
      <c r="BP528" s="138"/>
      <c r="BQ528" s="138"/>
      <c r="BR528" s="138"/>
      <c r="BS528" s="138"/>
      <c r="BT528" s="138"/>
      <c r="BU528" s="138"/>
    </row>
    <row r="529" spans="15:73"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  <c r="AC529" s="138"/>
      <c r="AD529" s="138"/>
      <c r="AE529" s="138"/>
      <c r="AF529" s="138"/>
      <c r="AG529" s="138"/>
      <c r="AH529" s="138"/>
      <c r="AI529" s="138"/>
      <c r="AJ529" s="138"/>
      <c r="AK529" s="138"/>
      <c r="AL529" s="138"/>
      <c r="AM529" s="138"/>
      <c r="AN529" s="138"/>
      <c r="AO529" s="138"/>
      <c r="AP529" s="138"/>
      <c r="AQ529" s="138"/>
      <c r="AR529" s="138"/>
      <c r="AS529" s="138"/>
      <c r="AT529" s="138"/>
      <c r="AU529" s="138"/>
      <c r="AV529" s="138"/>
      <c r="AW529" s="138"/>
      <c r="AX529" s="138"/>
      <c r="AY529" s="138"/>
      <c r="AZ529" s="138"/>
      <c r="BA529" s="138"/>
      <c r="BB529" s="138"/>
      <c r="BC529" s="138"/>
      <c r="BD529" s="138"/>
      <c r="BE529" s="138"/>
      <c r="BF529" s="138"/>
      <c r="BG529" s="138"/>
      <c r="BH529" s="138"/>
      <c r="BI529" s="138"/>
      <c r="BJ529" s="138"/>
      <c r="BK529" s="138"/>
      <c r="BL529" s="138"/>
      <c r="BM529" s="138"/>
      <c r="BN529" s="138"/>
      <c r="BO529" s="138"/>
      <c r="BP529" s="138"/>
      <c r="BQ529" s="138"/>
      <c r="BR529" s="138"/>
      <c r="BS529" s="138"/>
      <c r="BT529" s="138"/>
      <c r="BU529" s="138"/>
    </row>
    <row r="530" spans="15:73"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  <c r="AC530" s="138"/>
      <c r="AD530" s="138"/>
      <c r="AE530" s="138"/>
      <c r="AF530" s="138"/>
      <c r="AG530" s="138"/>
      <c r="AH530" s="138"/>
      <c r="AI530" s="138"/>
      <c r="AJ530" s="138"/>
      <c r="AK530" s="138"/>
      <c r="AL530" s="138"/>
      <c r="AM530" s="138"/>
      <c r="AN530" s="138"/>
      <c r="AO530" s="138"/>
      <c r="AP530" s="138"/>
      <c r="AQ530" s="138"/>
      <c r="AR530" s="138"/>
      <c r="AS530" s="138"/>
      <c r="AT530" s="138"/>
      <c r="AU530" s="138"/>
      <c r="AV530" s="138"/>
      <c r="AW530" s="138"/>
      <c r="AX530" s="138"/>
      <c r="AY530" s="138"/>
      <c r="AZ530" s="138"/>
      <c r="BA530" s="138"/>
      <c r="BB530" s="138"/>
      <c r="BC530" s="138"/>
      <c r="BD530" s="138"/>
      <c r="BE530" s="138"/>
      <c r="BF530" s="138"/>
      <c r="BG530" s="138"/>
      <c r="BH530" s="138"/>
      <c r="BI530" s="138"/>
      <c r="BJ530" s="138"/>
      <c r="BK530" s="138"/>
      <c r="BL530" s="138"/>
      <c r="BM530" s="138"/>
      <c r="BN530" s="138"/>
      <c r="BO530" s="138"/>
      <c r="BP530" s="138"/>
      <c r="BQ530" s="138"/>
      <c r="BR530" s="138"/>
      <c r="BS530" s="138"/>
      <c r="BT530" s="138"/>
      <c r="BU530" s="138"/>
    </row>
    <row r="531" spans="15:73"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8"/>
      <c r="AG531" s="138"/>
      <c r="AH531" s="138"/>
      <c r="AI531" s="138"/>
      <c r="AJ531" s="138"/>
      <c r="AK531" s="138"/>
      <c r="AL531" s="138"/>
      <c r="AM531" s="138"/>
      <c r="AN531" s="138"/>
      <c r="AO531" s="138"/>
      <c r="AP531" s="138"/>
      <c r="AQ531" s="138"/>
      <c r="AR531" s="138"/>
      <c r="AS531" s="138"/>
      <c r="AT531" s="138"/>
      <c r="AU531" s="138"/>
      <c r="AV531" s="138"/>
      <c r="AW531" s="138"/>
      <c r="AX531" s="138"/>
      <c r="AY531" s="138"/>
      <c r="AZ531" s="138"/>
      <c r="BA531" s="138"/>
      <c r="BB531" s="138"/>
      <c r="BC531" s="138"/>
      <c r="BD531" s="138"/>
      <c r="BE531" s="138"/>
      <c r="BF531" s="138"/>
      <c r="BG531" s="138"/>
      <c r="BH531" s="138"/>
      <c r="BI531" s="138"/>
      <c r="BJ531" s="138"/>
      <c r="BK531" s="138"/>
      <c r="BL531" s="138"/>
      <c r="BM531" s="138"/>
      <c r="BN531" s="138"/>
      <c r="BO531" s="138"/>
      <c r="BP531" s="138"/>
      <c r="BQ531" s="138"/>
      <c r="BR531" s="138"/>
      <c r="BS531" s="138"/>
      <c r="BT531" s="138"/>
      <c r="BU531" s="138"/>
    </row>
    <row r="532" spans="15:73"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8"/>
      <c r="AG532" s="138"/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8"/>
      <c r="AR532" s="138"/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38"/>
      <c r="BC532" s="138"/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8"/>
      <c r="BN532" s="138"/>
      <c r="BO532" s="138"/>
      <c r="BP532" s="138"/>
      <c r="BQ532" s="138"/>
      <c r="BR532" s="138"/>
      <c r="BS532" s="138"/>
      <c r="BT532" s="138"/>
      <c r="BU532" s="138"/>
    </row>
    <row r="533" spans="15:73"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  <c r="AE533" s="138"/>
      <c r="AF533" s="138"/>
      <c r="AG533" s="138"/>
      <c r="AH533" s="138"/>
      <c r="AI533" s="138"/>
      <c r="AJ533" s="138"/>
      <c r="AK533" s="138"/>
      <c r="AL533" s="138"/>
      <c r="AM533" s="138"/>
      <c r="AN533" s="138"/>
      <c r="AO533" s="138"/>
      <c r="AP533" s="138"/>
      <c r="AQ533" s="138"/>
      <c r="AR533" s="138"/>
      <c r="AS533" s="138"/>
      <c r="AT533" s="138"/>
      <c r="AU533" s="138"/>
      <c r="AV533" s="138"/>
      <c r="AW533" s="138"/>
      <c r="AX533" s="138"/>
      <c r="AY533" s="138"/>
      <c r="AZ533" s="138"/>
      <c r="BA533" s="138"/>
      <c r="BB533" s="138"/>
      <c r="BC533" s="138"/>
      <c r="BD533" s="138"/>
      <c r="BE533" s="138"/>
      <c r="BF533" s="138"/>
      <c r="BG533" s="138"/>
      <c r="BH533" s="138"/>
      <c r="BI533" s="138"/>
      <c r="BJ533" s="138"/>
      <c r="BK533" s="138"/>
      <c r="BL533" s="138"/>
      <c r="BM533" s="138"/>
      <c r="BN533" s="138"/>
      <c r="BO533" s="138"/>
      <c r="BP533" s="138"/>
      <c r="BQ533" s="138"/>
      <c r="BR533" s="138"/>
      <c r="BS533" s="138"/>
      <c r="BT533" s="138"/>
      <c r="BU533" s="138"/>
    </row>
    <row r="534" spans="15:73"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  <c r="AC534" s="138"/>
      <c r="AD534" s="138"/>
      <c r="AE534" s="138"/>
      <c r="AF534" s="138"/>
      <c r="AG534" s="138"/>
      <c r="AH534" s="138"/>
      <c r="AI534" s="138"/>
      <c r="AJ534" s="138"/>
      <c r="AK534" s="138"/>
      <c r="AL534" s="138"/>
      <c r="AM534" s="138"/>
      <c r="AN534" s="138"/>
      <c r="AO534" s="138"/>
      <c r="AP534" s="138"/>
      <c r="AQ534" s="138"/>
      <c r="AR534" s="138"/>
      <c r="AS534" s="138"/>
      <c r="AT534" s="138"/>
      <c r="AU534" s="138"/>
      <c r="AV534" s="138"/>
      <c r="AW534" s="138"/>
      <c r="AX534" s="138"/>
      <c r="AY534" s="138"/>
      <c r="AZ534" s="138"/>
      <c r="BA534" s="138"/>
      <c r="BB534" s="138"/>
      <c r="BC534" s="138"/>
      <c r="BD534" s="138"/>
      <c r="BE534" s="138"/>
      <c r="BF534" s="138"/>
      <c r="BG534" s="138"/>
      <c r="BH534" s="138"/>
      <c r="BI534" s="138"/>
      <c r="BJ534" s="138"/>
      <c r="BK534" s="138"/>
      <c r="BL534" s="138"/>
      <c r="BM534" s="138"/>
      <c r="BN534" s="138"/>
      <c r="BO534" s="138"/>
      <c r="BP534" s="138"/>
      <c r="BQ534" s="138"/>
      <c r="BR534" s="138"/>
      <c r="BS534" s="138"/>
      <c r="BT534" s="138"/>
      <c r="BU534" s="138"/>
    </row>
    <row r="535" spans="15:73"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  <c r="AF535" s="138"/>
      <c r="AG535" s="138"/>
      <c r="AH535" s="138"/>
      <c r="AI535" s="138"/>
      <c r="AJ535" s="138"/>
      <c r="AK535" s="138"/>
      <c r="AL535" s="138"/>
      <c r="AM535" s="138"/>
      <c r="AN535" s="138"/>
      <c r="AO535" s="138"/>
      <c r="AP535" s="138"/>
      <c r="AQ535" s="138"/>
      <c r="AR535" s="138"/>
      <c r="AS535" s="138"/>
      <c r="AT535" s="138"/>
      <c r="AU535" s="138"/>
      <c r="AV535" s="138"/>
      <c r="AW535" s="138"/>
      <c r="AX535" s="138"/>
      <c r="AY535" s="138"/>
      <c r="AZ535" s="138"/>
      <c r="BA535" s="138"/>
      <c r="BB535" s="138"/>
      <c r="BC535" s="138"/>
      <c r="BD535" s="138"/>
      <c r="BE535" s="138"/>
      <c r="BF535" s="138"/>
      <c r="BG535" s="138"/>
      <c r="BH535" s="138"/>
      <c r="BI535" s="138"/>
      <c r="BJ535" s="138"/>
      <c r="BK535" s="138"/>
      <c r="BL535" s="138"/>
      <c r="BM535" s="138"/>
      <c r="BN535" s="138"/>
      <c r="BO535" s="138"/>
      <c r="BP535" s="138"/>
      <c r="BQ535" s="138"/>
      <c r="BR535" s="138"/>
      <c r="BS535" s="138"/>
      <c r="BT535" s="138"/>
      <c r="BU535" s="138"/>
    </row>
    <row r="536" spans="15:73"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  <c r="AE536" s="138"/>
      <c r="AF536" s="138"/>
      <c r="AG536" s="138"/>
      <c r="AH536" s="138"/>
      <c r="AI536" s="138"/>
      <c r="AJ536" s="138"/>
      <c r="AK536" s="138"/>
      <c r="AL536" s="138"/>
      <c r="AM536" s="138"/>
      <c r="AN536" s="138"/>
      <c r="AO536" s="138"/>
      <c r="AP536" s="138"/>
      <c r="AQ536" s="138"/>
      <c r="AR536" s="138"/>
      <c r="AS536" s="138"/>
      <c r="AT536" s="138"/>
      <c r="AU536" s="138"/>
      <c r="AV536" s="138"/>
      <c r="AW536" s="138"/>
      <c r="AX536" s="138"/>
      <c r="AY536" s="138"/>
      <c r="AZ536" s="138"/>
      <c r="BA536" s="138"/>
      <c r="BB536" s="138"/>
      <c r="BC536" s="138"/>
      <c r="BD536" s="138"/>
      <c r="BE536" s="138"/>
      <c r="BF536" s="138"/>
      <c r="BG536" s="138"/>
      <c r="BH536" s="138"/>
      <c r="BI536" s="138"/>
      <c r="BJ536" s="138"/>
      <c r="BK536" s="138"/>
      <c r="BL536" s="138"/>
      <c r="BM536" s="138"/>
      <c r="BN536" s="138"/>
      <c r="BO536" s="138"/>
      <c r="BP536" s="138"/>
      <c r="BQ536" s="138"/>
      <c r="BR536" s="138"/>
      <c r="BS536" s="138"/>
      <c r="BT536" s="138"/>
      <c r="BU536" s="138"/>
    </row>
    <row r="537" spans="15:73"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  <c r="AE537" s="138"/>
      <c r="AF537" s="138"/>
      <c r="AG537" s="138"/>
      <c r="AH537" s="138"/>
      <c r="AI537" s="138"/>
      <c r="AJ537" s="138"/>
      <c r="AK537" s="138"/>
      <c r="AL537" s="138"/>
      <c r="AM537" s="138"/>
      <c r="AN537" s="138"/>
      <c r="AO537" s="138"/>
      <c r="AP537" s="138"/>
      <c r="AQ537" s="138"/>
      <c r="AR537" s="138"/>
      <c r="AS537" s="138"/>
      <c r="AT537" s="138"/>
      <c r="AU537" s="138"/>
      <c r="AV537" s="138"/>
      <c r="AW537" s="138"/>
      <c r="AX537" s="138"/>
      <c r="AY537" s="138"/>
      <c r="AZ537" s="138"/>
      <c r="BA537" s="138"/>
      <c r="BB537" s="138"/>
      <c r="BC537" s="138"/>
      <c r="BD537" s="138"/>
      <c r="BE537" s="138"/>
      <c r="BF537" s="138"/>
      <c r="BG537" s="138"/>
      <c r="BH537" s="138"/>
      <c r="BI537" s="138"/>
      <c r="BJ537" s="138"/>
      <c r="BK537" s="138"/>
      <c r="BL537" s="138"/>
      <c r="BM537" s="138"/>
      <c r="BN537" s="138"/>
      <c r="BO537" s="138"/>
      <c r="BP537" s="138"/>
      <c r="BQ537" s="138"/>
      <c r="BR537" s="138"/>
      <c r="BS537" s="138"/>
      <c r="BT537" s="138"/>
      <c r="BU537" s="138"/>
    </row>
    <row r="538" spans="15:73"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  <c r="AF538" s="138"/>
      <c r="AG538" s="138"/>
      <c r="AH538" s="138"/>
      <c r="AI538" s="138"/>
      <c r="AJ538" s="138"/>
      <c r="AK538" s="138"/>
      <c r="AL538" s="138"/>
      <c r="AM538" s="138"/>
      <c r="AN538" s="138"/>
      <c r="AO538" s="138"/>
      <c r="AP538" s="138"/>
      <c r="AQ538" s="138"/>
      <c r="AR538" s="138"/>
      <c r="AS538" s="138"/>
      <c r="AT538" s="138"/>
      <c r="AU538" s="138"/>
      <c r="AV538" s="138"/>
      <c r="AW538" s="138"/>
      <c r="AX538" s="138"/>
      <c r="AY538" s="138"/>
      <c r="AZ538" s="138"/>
      <c r="BA538" s="138"/>
      <c r="BB538" s="138"/>
      <c r="BC538" s="138"/>
      <c r="BD538" s="138"/>
      <c r="BE538" s="138"/>
      <c r="BF538" s="138"/>
      <c r="BG538" s="138"/>
      <c r="BH538" s="138"/>
      <c r="BI538" s="138"/>
      <c r="BJ538" s="138"/>
      <c r="BK538" s="138"/>
      <c r="BL538" s="138"/>
      <c r="BM538" s="138"/>
      <c r="BN538" s="138"/>
      <c r="BO538" s="138"/>
      <c r="BP538" s="138"/>
      <c r="BQ538" s="138"/>
      <c r="BR538" s="138"/>
      <c r="BS538" s="138"/>
      <c r="BT538" s="138"/>
      <c r="BU538" s="138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37"/>
  <sheetViews>
    <sheetView showGridLines="0" zoomScale="70" zoomScaleNormal="70" workbookViewId="0"/>
  </sheetViews>
  <sheetFormatPr defaultColWidth="9.109375" defaultRowHeight="13.2"/>
  <cols>
    <col min="1" max="1" width="16" style="18" customWidth="1"/>
    <col min="2" max="2" width="12.33203125" style="18" bestFit="1" customWidth="1"/>
    <col min="3" max="3" width="11.6640625" style="18" bestFit="1" customWidth="1"/>
    <col min="4" max="4" width="8.6640625" style="18" bestFit="1" customWidth="1"/>
    <col min="5" max="5" width="11.5546875" style="18" bestFit="1" customWidth="1"/>
    <col min="6" max="6" width="1.6640625" style="18" customWidth="1"/>
    <col min="7" max="9" width="11.5546875" style="18" bestFit="1" customWidth="1"/>
    <col min="10" max="10" width="10.6640625" style="18" customWidth="1"/>
    <col min="11" max="11" width="13.5546875" style="18" customWidth="1"/>
    <col min="12" max="16384" width="9.109375" style="18"/>
  </cols>
  <sheetData>
    <row r="1" spans="1:11" ht="13.8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3.8">
      <c r="A2" s="19"/>
      <c r="B2" s="199" t="s">
        <v>58</v>
      </c>
      <c r="C2" s="199"/>
      <c r="D2" s="199"/>
      <c r="E2" s="199"/>
      <c r="F2" s="23"/>
      <c r="G2" s="199" t="s">
        <v>59</v>
      </c>
      <c r="H2" s="199"/>
      <c r="I2" s="199"/>
      <c r="J2" s="19"/>
    </row>
    <row r="3" spans="1:11" ht="13.8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60</v>
      </c>
    </row>
    <row r="4" spans="1:11" ht="13.8">
      <c r="A4" s="26" t="s">
        <v>61</v>
      </c>
      <c r="B4" s="28" t="s">
        <v>62</v>
      </c>
      <c r="C4" s="28" t="s">
        <v>26</v>
      </c>
      <c r="D4" s="28" t="s">
        <v>27</v>
      </c>
      <c r="E4" s="30" t="s">
        <v>63</v>
      </c>
      <c r="F4" s="29"/>
      <c r="G4" s="28" t="s">
        <v>64</v>
      </c>
      <c r="H4" s="28" t="s">
        <v>65</v>
      </c>
      <c r="I4" s="28" t="s">
        <v>63</v>
      </c>
      <c r="J4" s="28" t="s">
        <v>66</v>
      </c>
    </row>
    <row r="5" spans="1:11" ht="14.4">
      <c r="A5" s="19"/>
      <c r="B5" s="200" t="s">
        <v>67</v>
      </c>
      <c r="C5" s="200"/>
      <c r="D5" s="200"/>
      <c r="E5" s="200"/>
      <c r="F5" s="200"/>
      <c r="G5" s="200"/>
      <c r="H5" s="200"/>
      <c r="I5" s="200"/>
      <c r="J5" s="200"/>
    </row>
    <row r="6" spans="1:11" ht="13.8">
      <c r="A6" s="19" t="s">
        <v>34</v>
      </c>
      <c r="B6" s="52">
        <v>402.01499999999999</v>
      </c>
      <c r="C6" s="53">
        <v>51100.43</v>
      </c>
      <c r="D6" s="53">
        <v>639.45289700599983</v>
      </c>
      <c r="E6" s="37">
        <f>SUM(B6:D6)</f>
        <v>52141.897897005998</v>
      </c>
      <c r="F6" s="53"/>
      <c r="G6" s="53">
        <f>I6-H6</f>
        <v>37966.877728954991</v>
      </c>
      <c r="H6" s="53">
        <v>13833.684168051001</v>
      </c>
      <c r="I6" s="53">
        <f>E6-J6</f>
        <v>51800.561897005995</v>
      </c>
      <c r="J6" s="53">
        <v>341.33600000000001</v>
      </c>
    </row>
    <row r="7" spans="1:11" ht="16.2">
      <c r="A7" s="19" t="s">
        <v>35</v>
      </c>
      <c r="B7" s="52">
        <f>J6</f>
        <v>341.33600000000001</v>
      </c>
      <c r="C7" s="53">
        <f>C23</f>
        <v>50564.716999999997</v>
      </c>
      <c r="D7" s="53">
        <f>D23</f>
        <v>782.87279764099992</v>
      </c>
      <c r="E7" s="37">
        <f>E23</f>
        <v>51688.925797641001</v>
      </c>
      <c r="F7" s="53"/>
      <c r="G7" s="53">
        <f>G23</f>
        <v>37580.432300251006</v>
      </c>
      <c r="H7" s="53">
        <f>H23</f>
        <v>13767.707497390002</v>
      </c>
      <c r="I7" s="53">
        <f>I23</f>
        <v>51348.139797640993</v>
      </c>
      <c r="J7" s="53">
        <f>J22</f>
        <v>340.786</v>
      </c>
    </row>
    <row r="8" spans="1:11" ht="16.2">
      <c r="A8" s="19" t="s">
        <v>36</v>
      </c>
      <c r="B8" s="52">
        <f>J7</f>
        <v>340.786</v>
      </c>
      <c r="C8" s="53">
        <v>51859.214</v>
      </c>
      <c r="D8" s="53">
        <v>500</v>
      </c>
      <c r="E8" s="37">
        <f>SUM(B8:D8)</f>
        <v>52700</v>
      </c>
      <c r="F8" s="53"/>
      <c r="G8" s="53">
        <v>38100</v>
      </c>
      <c r="H8" s="53">
        <v>14200</v>
      </c>
      <c r="I8" s="53">
        <f>E8-J8</f>
        <v>52300</v>
      </c>
      <c r="J8" s="53">
        <v>400</v>
      </c>
    </row>
    <row r="9" spans="1:11" ht="13.8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1" ht="13.8">
      <c r="A10" s="55" t="s">
        <v>37</v>
      </c>
      <c r="B10" s="56"/>
      <c r="C10" s="7"/>
      <c r="D10" s="7"/>
      <c r="E10" s="7"/>
      <c r="F10" s="7"/>
      <c r="G10" s="7"/>
      <c r="H10" s="7"/>
      <c r="I10" s="7"/>
      <c r="J10" s="7"/>
    </row>
    <row r="11" spans="1:11" ht="14.4">
      <c r="A11" s="23" t="s">
        <v>39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  <c r="K11" s="160"/>
    </row>
    <row r="12" spans="1:11" ht="14.4">
      <c r="A12" s="23" t="s">
        <v>40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  <c r="K12" s="160"/>
    </row>
    <row r="13" spans="1:11" ht="14.4">
      <c r="A13" s="23" t="s">
        <v>42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  <c r="K13" s="160"/>
    </row>
    <row r="14" spans="1:11" ht="14.4">
      <c r="A14" s="23" t="s">
        <v>43</v>
      </c>
      <c r="B14" s="56">
        <f t="shared" si="3"/>
        <v>359.39299999999997</v>
      </c>
      <c r="C14" s="7">
        <v>4665.6540000000005</v>
      </c>
      <c r="D14" s="7">
        <f>(62004.8*1.10231)/1000</f>
        <v>68.348511087999995</v>
      </c>
      <c r="E14" s="7">
        <f t="shared" si="0"/>
        <v>5093.3955110880006</v>
      </c>
      <c r="F14" s="6"/>
      <c r="G14" s="5">
        <f t="shared" si="1"/>
        <v>3080.2835676670006</v>
      </c>
      <c r="H14" s="7">
        <f>(1322049.1*1.10231)/1000</f>
        <v>1457.3079434209999</v>
      </c>
      <c r="I14" s="6">
        <f t="shared" si="2"/>
        <v>4537.5915110880005</v>
      </c>
      <c r="J14" s="6">
        <v>555.80399999999997</v>
      </c>
      <c r="K14" s="160"/>
    </row>
    <row r="15" spans="1:11" ht="14.4">
      <c r="A15" s="23" t="s">
        <v>44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  <c r="K15" s="160"/>
    </row>
    <row r="16" spans="1:11" ht="14.4">
      <c r="A16" s="23" t="s">
        <v>46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  <c r="K16" s="160"/>
    </row>
    <row r="17" spans="1:11" ht="14.4">
      <c r="A17" s="23" t="s">
        <v>47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  <c r="K17" s="160"/>
    </row>
    <row r="18" spans="1:11" ht="14.4">
      <c r="A18" s="23" t="s">
        <v>48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  <c r="K18" s="160"/>
    </row>
    <row r="19" spans="1:11" ht="14.4">
      <c r="A19" s="23" t="s">
        <v>50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  <c r="K19" s="160"/>
    </row>
    <row r="20" spans="1:11" ht="14.4">
      <c r="A20" s="23" t="s">
        <v>51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  <c r="K20" s="160"/>
    </row>
    <row r="21" spans="1:11" ht="14.4">
      <c r="A21" s="23" t="s">
        <v>52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  <c r="K21" s="160"/>
    </row>
    <row r="22" spans="1:11" ht="14.4">
      <c r="A22" s="23" t="s">
        <v>38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  <c r="K22" s="160"/>
    </row>
    <row r="23" spans="1:11" ht="13.8">
      <c r="A23" s="23" t="s">
        <v>28</v>
      </c>
      <c r="B23" s="56"/>
      <c r="C23" s="7">
        <f>SUM(C11:C22)</f>
        <v>50564.716999999997</v>
      </c>
      <c r="D23" s="7">
        <f>SUM(D11:D22)</f>
        <v>782.87279764099992</v>
      </c>
      <c r="E23" s="7">
        <f>B11+C23+D23</f>
        <v>51688.925797641001</v>
      </c>
      <c r="F23" s="7"/>
      <c r="G23" s="7">
        <f>SUM(G11:G22)</f>
        <v>37580.432300251006</v>
      </c>
      <c r="H23" s="7">
        <f>SUM(H11:H22)</f>
        <v>13767.707497390002</v>
      </c>
      <c r="I23" s="7">
        <f>SUM(I11:I22)</f>
        <v>51348.139797640993</v>
      </c>
      <c r="J23" s="7"/>
    </row>
    <row r="24" spans="1:11" ht="13.8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1" ht="13.8">
      <c r="A25" s="55" t="s">
        <v>54</v>
      </c>
      <c r="B25" s="56"/>
      <c r="C25" s="7"/>
      <c r="D25" s="7"/>
      <c r="E25" s="7"/>
      <c r="F25" s="7"/>
      <c r="G25" s="7"/>
      <c r="H25" s="7"/>
      <c r="I25" s="7"/>
      <c r="J25" s="7"/>
    </row>
    <row r="26" spans="1:11" ht="14.4">
      <c r="A26" s="23" t="s">
        <v>39</v>
      </c>
      <c r="B26" s="56">
        <f>J22</f>
        <v>340.786</v>
      </c>
      <c r="C26" s="7">
        <v>4591.6390000000001</v>
      </c>
      <c r="D26" s="7">
        <f>(56516.5*1.10231)/1000</f>
        <v>62.298703114999995</v>
      </c>
      <c r="E26" s="7">
        <f>SUM(B26:D26)</f>
        <v>4994.7237031149998</v>
      </c>
      <c r="F26" s="7"/>
      <c r="G26" s="7">
        <f t="shared" ref="G26:G30" si="6">I26-H26</f>
        <v>3492.8933177700001</v>
      </c>
      <c r="H26" s="7">
        <f>(989149.5*1.10231)/1000</f>
        <v>1090.3493853449997</v>
      </c>
      <c r="I26" s="6">
        <f>E26-J26</f>
        <v>4583.242703115</v>
      </c>
      <c r="J26" s="7">
        <v>411.48099999999999</v>
      </c>
      <c r="K26" s="160"/>
    </row>
    <row r="27" spans="1:11" ht="14.4">
      <c r="A27" s="23" t="s">
        <v>40</v>
      </c>
      <c r="B27" s="56">
        <f>J26</f>
        <v>411.48099999999999</v>
      </c>
      <c r="C27" s="7">
        <v>4456.7700000000004</v>
      </c>
      <c r="D27" s="7">
        <f>(33708.1*1.10231)/1000</f>
        <v>37.156775710999995</v>
      </c>
      <c r="E27" s="7">
        <f>SUM(B27:D27)</f>
        <v>4905.4077757109999</v>
      </c>
      <c r="F27" s="7"/>
      <c r="G27" s="7">
        <f t="shared" si="6"/>
        <v>3277.398553041</v>
      </c>
      <c r="H27" s="7">
        <f>(1136157*1.10231)/1000</f>
        <v>1252.3972226699998</v>
      </c>
      <c r="I27" s="6">
        <f>E27-J27</f>
        <v>4529.7957757109998</v>
      </c>
      <c r="J27" s="7">
        <v>375.61200000000002</v>
      </c>
      <c r="K27" s="160"/>
    </row>
    <row r="28" spans="1:11" ht="14.4">
      <c r="A28" s="23" t="s">
        <v>42</v>
      </c>
      <c r="B28" s="56">
        <f>J27</f>
        <v>375.61200000000002</v>
      </c>
      <c r="C28" s="7">
        <v>4629.5519999999997</v>
      </c>
      <c r="D28" s="7">
        <f>(33713.7*1.10231)/1000</f>
        <v>37.162948646999993</v>
      </c>
      <c r="E28" s="7">
        <f>SUM(B28:D28)</f>
        <v>5042.3269486469999</v>
      </c>
      <c r="F28" s="7"/>
      <c r="G28" s="7">
        <f t="shared" si="6"/>
        <v>3235.8188905589996</v>
      </c>
      <c r="H28" s="7">
        <f>(1265704.8*1.10231)/1000</f>
        <v>1395.1990580879999</v>
      </c>
      <c r="I28" s="6">
        <f>E28-J28</f>
        <v>4631.0179486469997</v>
      </c>
      <c r="J28" s="7">
        <v>411.30900000000003</v>
      </c>
      <c r="K28" s="160"/>
    </row>
    <row r="29" spans="1:11" ht="14.4">
      <c r="A29" s="23" t="s">
        <v>43</v>
      </c>
      <c r="B29" s="56">
        <f>J28</f>
        <v>411.30900000000003</v>
      </c>
      <c r="C29" s="7">
        <v>4533.1530000000002</v>
      </c>
      <c r="D29" s="7">
        <f>(40167.4*1.10231)/1000</f>
        <v>44.276926693999997</v>
      </c>
      <c r="E29" s="7">
        <f>SUM(B29:D29)</f>
        <v>4988.7389266940008</v>
      </c>
      <c r="F29" s="7"/>
      <c r="G29" s="7">
        <f t="shared" si="6"/>
        <v>3259.9617703520012</v>
      </c>
      <c r="H29" s="7">
        <f>(1177548.2*1.10231)/1000</f>
        <v>1298.0231563419998</v>
      </c>
      <c r="I29" s="6">
        <f>E29-J29</f>
        <v>4557.9849266940009</v>
      </c>
      <c r="J29" s="7">
        <v>430.75400000000002</v>
      </c>
      <c r="K29" s="160"/>
    </row>
    <row r="30" spans="1:11" ht="14.4">
      <c r="A30" s="17" t="s">
        <v>44</v>
      </c>
      <c r="B30" s="57">
        <f>J29</f>
        <v>430.75400000000002</v>
      </c>
      <c r="C30" s="48">
        <v>4089.9549999999999</v>
      </c>
      <c r="D30" s="48">
        <f>(46777.6*1.10231)/1000</f>
        <v>51.563416255999996</v>
      </c>
      <c r="E30" s="48">
        <f>SUM(B30:D30)</f>
        <v>4572.2724162559998</v>
      </c>
      <c r="F30" s="48"/>
      <c r="G30" s="48">
        <f t="shared" si="6"/>
        <v>3104.2082034579998</v>
      </c>
      <c r="H30" s="48">
        <f>(981745.8*1.10231)/1000</f>
        <v>1082.1882127979998</v>
      </c>
      <c r="I30" s="64">
        <f>E30-J30</f>
        <v>4186.3964162559996</v>
      </c>
      <c r="J30" s="48">
        <v>385.87599999999998</v>
      </c>
      <c r="K30" s="160"/>
    </row>
    <row r="31" spans="1:11" ht="16.2">
      <c r="A31" s="58" t="s">
        <v>68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1" ht="14.4">
      <c r="A32" s="19" t="s">
        <v>69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3.8">
      <c r="A33" s="25" t="s">
        <v>57</v>
      </c>
      <c r="B33" s="50">
        <f ca="1">NOW()</f>
        <v>44662.676440277777</v>
      </c>
      <c r="C33" s="44"/>
      <c r="D33" s="38"/>
      <c r="E33" s="38"/>
      <c r="F33" s="38"/>
      <c r="G33" s="38"/>
      <c r="H33" s="38"/>
      <c r="I33" s="38"/>
      <c r="J33" s="38"/>
    </row>
    <row r="34" spans="1:10">
      <c r="A34" s="59"/>
      <c r="B34" s="60"/>
      <c r="C34" s="61"/>
      <c r="D34" s="60"/>
      <c r="E34" s="131"/>
      <c r="F34" s="60"/>
      <c r="G34" s="60"/>
      <c r="H34" s="62"/>
      <c r="I34" s="131"/>
      <c r="J34" s="60"/>
    </row>
    <row r="35" spans="1:10">
      <c r="A35" s="59"/>
      <c r="B35" s="60"/>
      <c r="C35" s="60"/>
      <c r="D35" s="60"/>
      <c r="E35" s="60"/>
      <c r="F35" s="60"/>
      <c r="G35" s="60"/>
      <c r="H35" s="60"/>
      <c r="I35" s="60"/>
      <c r="J35" s="60"/>
    </row>
    <row r="36" spans="1:10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>
      <c r="A37" s="59"/>
      <c r="B37" s="59"/>
      <c r="C37" s="59"/>
      <c r="D37" s="59"/>
      <c r="E37" s="59"/>
      <c r="F37" s="59"/>
      <c r="G37" s="59"/>
      <c r="H37" s="59"/>
      <c r="I37" s="59"/>
      <c r="J37" s="59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4"/>
  <sheetViews>
    <sheetView showGridLines="0" zoomScale="70" zoomScaleNormal="70" workbookViewId="0"/>
  </sheetViews>
  <sheetFormatPr defaultColWidth="9.109375" defaultRowHeight="13.2"/>
  <cols>
    <col min="1" max="1" width="15.44140625" style="18" customWidth="1"/>
    <col min="2" max="2" width="12.33203125" style="18" bestFit="1" customWidth="1"/>
    <col min="3" max="3" width="12.109375" style="18" bestFit="1" customWidth="1"/>
    <col min="4" max="4" width="11" style="18" bestFit="1" customWidth="1"/>
    <col min="5" max="5" width="11.33203125" style="18" bestFit="1" customWidth="1"/>
    <col min="6" max="6" width="3.6640625" style="18" customWidth="1"/>
    <col min="7" max="7" width="11.5546875" style="18" bestFit="1" customWidth="1"/>
    <col min="8" max="8" width="10.6640625" style="18" customWidth="1"/>
    <col min="9" max="9" width="12.6640625" style="18" customWidth="1"/>
    <col min="10" max="10" width="9.6640625" style="18" bestFit="1" customWidth="1"/>
    <col min="11" max="11" width="11.5546875" style="18" bestFit="1" customWidth="1"/>
    <col min="12" max="12" width="12.5546875" style="18" bestFit="1" customWidth="1"/>
    <col min="13" max="16384" width="9.109375" style="18"/>
  </cols>
  <sheetData>
    <row r="1" spans="1:13" ht="13.8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3.8">
      <c r="A2" s="19"/>
      <c r="B2" s="199" t="s">
        <v>58</v>
      </c>
      <c r="C2" s="199"/>
      <c r="D2" s="199"/>
      <c r="E2" s="199"/>
      <c r="F2" s="23"/>
      <c r="G2" s="199" t="s">
        <v>59</v>
      </c>
      <c r="H2" s="199"/>
      <c r="I2" s="199"/>
      <c r="J2" s="192"/>
      <c r="K2" s="192"/>
      <c r="L2" s="19"/>
    </row>
    <row r="3" spans="1:13" ht="13.8">
      <c r="A3" s="19" t="s">
        <v>17</v>
      </c>
      <c r="B3" s="21" t="s">
        <v>70</v>
      </c>
      <c r="C3" s="40" t="s">
        <v>26</v>
      </c>
      <c r="D3" s="40" t="s">
        <v>71</v>
      </c>
      <c r="E3" s="40" t="s">
        <v>63</v>
      </c>
      <c r="F3" s="40"/>
      <c r="G3" s="192" t="s">
        <v>64</v>
      </c>
      <c r="H3" s="192"/>
      <c r="I3" s="192"/>
      <c r="J3" s="40" t="s">
        <v>72</v>
      </c>
      <c r="K3" s="40" t="s">
        <v>63</v>
      </c>
      <c r="L3" s="40" t="s">
        <v>60</v>
      </c>
    </row>
    <row r="4" spans="1:13" ht="16.2">
      <c r="A4" s="26" t="s">
        <v>61</v>
      </c>
      <c r="B4" s="28" t="s">
        <v>62</v>
      </c>
      <c r="C4" s="29"/>
      <c r="D4" s="29"/>
      <c r="E4" s="29"/>
      <c r="F4" s="29"/>
      <c r="G4" s="28" t="s">
        <v>28</v>
      </c>
      <c r="H4" s="28" t="s">
        <v>73</v>
      </c>
      <c r="I4" s="28" t="s">
        <v>74</v>
      </c>
      <c r="J4" s="29"/>
      <c r="K4" s="29"/>
      <c r="L4" s="40" t="s">
        <v>66</v>
      </c>
    </row>
    <row r="5" spans="1:13" ht="14.4">
      <c r="A5" s="19"/>
      <c r="B5" s="201" t="s">
        <v>75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3" ht="13.8">
      <c r="A6" s="19" t="s">
        <v>34</v>
      </c>
      <c r="B6" s="54">
        <v>1775.316</v>
      </c>
      <c r="C6" s="54">
        <v>24911.120999999996</v>
      </c>
      <c r="D6" s="54">
        <v>319.89</v>
      </c>
      <c r="E6" s="54">
        <f>SUM(B6:D6)</f>
        <v>27006.326999999994</v>
      </c>
      <c r="F6" s="54"/>
      <c r="G6" s="54">
        <f>K6-J6</f>
        <v>22316.961999999996</v>
      </c>
      <c r="H6" s="54">
        <v>8657.8000000000011</v>
      </c>
      <c r="I6" s="37">
        <f>G6-H6</f>
        <v>13659.161999999995</v>
      </c>
      <c r="J6" s="54">
        <v>2836.69</v>
      </c>
      <c r="K6" s="54">
        <f>E6-L6</f>
        <v>25153.651999999995</v>
      </c>
      <c r="L6" s="54">
        <v>1852.675</v>
      </c>
      <c r="M6" s="124"/>
    </row>
    <row r="7" spans="1:13" ht="16.2">
      <c r="A7" s="19" t="s">
        <v>35</v>
      </c>
      <c r="B7" s="54">
        <f>L6</f>
        <v>1852.675</v>
      </c>
      <c r="C7" s="54">
        <f>C23</f>
        <v>25022.667000000001</v>
      </c>
      <c r="D7" s="54">
        <f>D23</f>
        <v>301.9644297936</v>
      </c>
      <c r="E7" s="54">
        <f>E23</f>
        <v>27177.3064297936</v>
      </c>
      <c r="F7" s="54"/>
      <c r="G7" s="54">
        <f>G23</f>
        <v>23322.575127803797</v>
      </c>
      <c r="H7" s="54">
        <f t="shared" ref="H7:J7" si="0">H23</f>
        <v>8849.5114432999999</v>
      </c>
      <c r="I7" s="37">
        <f t="shared" si="0"/>
        <v>14473.063684503799</v>
      </c>
      <c r="J7" s="54">
        <f t="shared" si="0"/>
        <v>1723.4983019897998</v>
      </c>
      <c r="K7" s="54">
        <f>E7-L7</f>
        <v>25046.0734297936</v>
      </c>
      <c r="L7" s="54">
        <f>L22</f>
        <v>2131.2330000000002</v>
      </c>
      <c r="M7" s="122"/>
    </row>
    <row r="8" spans="1:13" ht="16.2">
      <c r="A8" s="19" t="s">
        <v>36</v>
      </c>
      <c r="B8" s="54">
        <f>L7</f>
        <v>2131.2330000000002</v>
      </c>
      <c r="C8" s="54">
        <v>26205</v>
      </c>
      <c r="D8" s="54">
        <v>450</v>
      </c>
      <c r="E8" s="54">
        <f>SUM(B8:D8)</f>
        <v>28786.233</v>
      </c>
      <c r="F8" s="54"/>
      <c r="G8" s="54">
        <f>K8-J8</f>
        <v>25085</v>
      </c>
      <c r="H8" s="54">
        <v>10700</v>
      </c>
      <c r="I8" s="37">
        <f>G8-H8</f>
        <v>14385</v>
      </c>
      <c r="J8" s="54">
        <v>1725</v>
      </c>
      <c r="K8" s="54">
        <f>E8-L8</f>
        <v>26810</v>
      </c>
      <c r="L8" s="54">
        <v>1976.2330000000002</v>
      </c>
    </row>
    <row r="9" spans="1:13" ht="13.8">
      <c r="A9" s="19"/>
      <c r="B9" s="54"/>
      <c r="C9" s="54"/>
      <c r="D9" s="54"/>
      <c r="E9" s="54"/>
      <c r="F9" s="54"/>
      <c r="G9" s="54"/>
      <c r="H9" s="54"/>
      <c r="I9" s="123"/>
      <c r="J9" s="54"/>
      <c r="K9" s="54"/>
      <c r="L9" s="54"/>
    </row>
    <row r="10" spans="1:13" ht="13.8">
      <c r="A10" s="41" t="s">
        <v>37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3.8">
      <c r="A11" s="23" t="s">
        <v>39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3.8">
      <c r="A12" s="23" t="s">
        <v>40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3.8">
      <c r="A13" s="23" t="s">
        <v>42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3.8">
      <c r="A14" s="23" t="s">
        <v>43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3.8">
      <c r="A15" s="23" t="s">
        <v>44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3.8">
      <c r="A16" s="23" t="s">
        <v>46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3.8">
      <c r="A17" s="23" t="s">
        <v>47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3.8">
      <c r="A18" s="23" t="s">
        <v>48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3.8">
      <c r="A19" s="23" t="s">
        <v>50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3.8">
      <c r="A20" s="23" t="s">
        <v>51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3.8">
      <c r="A21" s="23" t="s">
        <v>52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3.8">
      <c r="A22" s="23" t="s">
        <v>38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3.8">
      <c r="A23" s="23" t="s">
        <v>28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3.8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8">
      <c r="A25" s="41" t="s">
        <v>54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8">
      <c r="A26" s="23" t="s">
        <v>39</v>
      </c>
      <c r="B26" s="6">
        <f>L22</f>
        <v>2131.2330000000002</v>
      </c>
      <c r="C26" s="7">
        <v>2347.58</v>
      </c>
      <c r="D26" s="7">
        <f>(15994.4*2204.622)/1000000</f>
        <v>35.261606116799996</v>
      </c>
      <c r="E26" s="7">
        <f t="shared" ref="E26:E30" si="9">SUM(B26:D26)</f>
        <v>4514.0746061168002</v>
      </c>
      <c r="F26" s="6"/>
      <c r="G26" s="6">
        <f>K26-J26</f>
        <v>2070.5737418166</v>
      </c>
      <c r="H26" s="7">
        <v>832.42700000000002</v>
      </c>
      <c r="I26" s="7">
        <f t="shared" ref="I26:I29" si="10">G26-H26</f>
        <v>1238.1467418165998</v>
      </c>
      <c r="J26" s="7">
        <f>(25929.1*2204.622)/1000000</f>
        <v>57.16386430019999</v>
      </c>
      <c r="K26" s="7">
        <f>E26-L26</f>
        <v>2127.7376061168002</v>
      </c>
      <c r="L26" s="6">
        <v>2386.337</v>
      </c>
    </row>
    <row r="27" spans="1:14" ht="13.8">
      <c r="A27" s="23" t="s">
        <v>40</v>
      </c>
      <c r="B27" s="6">
        <f>L26</f>
        <v>2386.337</v>
      </c>
      <c r="C27" s="7">
        <v>2235.37</v>
      </c>
      <c r="D27" s="7">
        <f>(15494*2204.622)/1000000</f>
        <v>34.158413267999997</v>
      </c>
      <c r="E27" s="7">
        <f t="shared" si="9"/>
        <v>4655.8654132680003</v>
      </c>
      <c r="F27" s="6"/>
      <c r="G27" s="6">
        <f>K27-J27</f>
        <v>1996.2802733038002</v>
      </c>
      <c r="H27" s="7">
        <v>818.01271279999992</v>
      </c>
      <c r="I27" s="7">
        <f t="shared" si="10"/>
        <v>1178.2675605038003</v>
      </c>
      <c r="J27" s="7">
        <f>(115041.1*2204.622)/1000000</f>
        <v>253.62213996419999</v>
      </c>
      <c r="K27" s="7">
        <f>E27-L27</f>
        <v>2249.9024132680001</v>
      </c>
      <c r="L27" s="6">
        <v>2405.9630000000002</v>
      </c>
    </row>
    <row r="28" spans="1:14" ht="13.8">
      <c r="A28" s="23" t="s">
        <v>42</v>
      </c>
      <c r="B28" s="6">
        <f>L27</f>
        <v>2405.9630000000002</v>
      </c>
      <c r="C28" s="7">
        <v>2324.183</v>
      </c>
      <c r="D28" s="7">
        <f>(14351.1*2204.622)/1000000</f>
        <v>31.638750784199999</v>
      </c>
      <c r="E28" s="7">
        <f t="shared" si="9"/>
        <v>4761.7847507842007</v>
      </c>
      <c r="F28" s="68"/>
      <c r="G28" s="6">
        <f>K28-J28</f>
        <v>2113.2355269914005</v>
      </c>
      <c r="H28" s="7">
        <v>937.33500000000004</v>
      </c>
      <c r="I28" s="7">
        <f t="shared" si="10"/>
        <v>1175.9005269914005</v>
      </c>
      <c r="J28" s="7">
        <f>(82852.4*2204.622)/1000000</f>
        <v>182.65822379279999</v>
      </c>
      <c r="K28" s="7">
        <f>E28-L28</f>
        <v>2295.8937507842006</v>
      </c>
      <c r="L28" s="6">
        <v>2465.8910000000001</v>
      </c>
    </row>
    <row r="29" spans="1:14" ht="13.8">
      <c r="A29" s="23" t="s">
        <v>43</v>
      </c>
      <c r="B29" s="6">
        <f>L28</f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8"/>
      <c r="G29" s="6">
        <f>K29-J29</f>
        <v>1975.1484729870001</v>
      </c>
      <c r="H29" s="7">
        <v>791.38699999999994</v>
      </c>
      <c r="I29" s="7">
        <f t="shared" si="10"/>
        <v>1183.7614729870002</v>
      </c>
      <c r="J29" s="7">
        <f>(128993.8*2204.622)/1000000</f>
        <v>284.38256934359998</v>
      </c>
      <c r="K29" s="7">
        <f>E29-L29</f>
        <v>2259.5310423306</v>
      </c>
      <c r="L29" s="6">
        <v>2499.924</v>
      </c>
    </row>
    <row r="30" spans="1:14" ht="13.8">
      <c r="A30" s="17" t="s">
        <v>44</v>
      </c>
      <c r="B30" s="64">
        <f>L29</f>
        <v>2499.924</v>
      </c>
      <c r="C30" s="48">
        <v>2064.1990000000001</v>
      </c>
      <c r="D30" s="48">
        <f>(9762.4*2204.622)/1000000</f>
        <v>21.522401812799998</v>
      </c>
      <c r="E30" s="48">
        <f t="shared" si="9"/>
        <v>4585.6454018127997</v>
      </c>
      <c r="F30" s="16"/>
      <c r="G30" s="64">
        <f>K30-J30</f>
        <v>1783.8920882499997</v>
      </c>
      <c r="H30" s="48" t="s">
        <v>76</v>
      </c>
      <c r="I30" s="48" t="s">
        <v>76</v>
      </c>
      <c r="J30" s="48">
        <f>(106887.4*2204.622)/1000000</f>
        <v>235.64631356279995</v>
      </c>
      <c r="K30" s="48">
        <f>E30-L30</f>
        <v>2019.5384018127997</v>
      </c>
      <c r="L30" s="64">
        <v>2566.107</v>
      </c>
    </row>
    <row r="31" spans="1:14" ht="16.2">
      <c r="A31" s="58" t="s">
        <v>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4" ht="14.4">
      <c r="A32" s="19" t="s">
        <v>69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1" ht="13.8">
      <c r="A33" s="25" t="s">
        <v>57</v>
      </c>
      <c r="B33" s="50">
        <f ca="1">NOW()</f>
        <v>44662.676440277777</v>
      </c>
      <c r="K33" s="46"/>
    </row>
    <row r="34" spans="1:11">
      <c r="E34" s="46"/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09375" defaultRowHeight="13.2"/>
  <cols>
    <col min="1" max="1" width="15.33203125" style="18" customWidth="1"/>
    <col min="2" max="2" width="13.109375" style="18" customWidth="1"/>
    <col min="3" max="3" width="12.109375" style="18" customWidth="1"/>
    <col min="4" max="4" width="13.44140625" style="18" customWidth="1"/>
    <col min="5" max="5" width="15.33203125" style="18" customWidth="1"/>
    <col min="6" max="6" width="10.5546875" style="18" customWidth="1"/>
    <col min="7" max="7" width="11.6640625" style="18" customWidth="1"/>
    <col min="8" max="8" width="8.6640625" style="18" customWidth="1"/>
    <col min="9" max="9" width="9.6640625" style="18" customWidth="1"/>
    <col min="10" max="11" width="7.6640625" style="18" customWidth="1"/>
    <col min="12" max="12" width="8.5546875" style="18" customWidth="1"/>
    <col min="13" max="13" width="9.5546875" style="18" customWidth="1"/>
    <col min="14" max="15" width="7.5546875" style="18" customWidth="1"/>
    <col min="16" max="18" width="9.109375" style="18"/>
    <col min="19" max="19" width="17.44140625" style="18" bestFit="1" customWidth="1"/>
    <col min="20" max="20" width="9.109375" style="18"/>
    <col min="21" max="21" width="28.33203125" style="18" bestFit="1" customWidth="1"/>
    <col min="22" max="16384" width="9.109375" style="18"/>
  </cols>
  <sheetData>
    <row r="1" spans="1:15" ht="13.8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8">
      <c r="A2" s="19"/>
      <c r="B2" s="199" t="s">
        <v>58</v>
      </c>
      <c r="C2" s="199"/>
      <c r="D2" s="199"/>
      <c r="E2" s="199"/>
      <c r="F2" s="100"/>
      <c r="G2" s="199" t="s">
        <v>59</v>
      </c>
      <c r="H2" s="199"/>
      <c r="I2" s="199"/>
      <c r="J2" s="199"/>
      <c r="K2" s="100"/>
      <c r="L2" s="19"/>
      <c r="M2" s="19"/>
      <c r="N2" s="19"/>
      <c r="O2" s="19"/>
    </row>
    <row r="3" spans="1:15" ht="13.8">
      <c r="A3" s="19" t="s">
        <v>17</v>
      </c>
      <c r="B3" s="25" t="s">
        <v>70</v>
      </c>
      <c r="C3" s="25"/>
      <c r="D3" s="25"/>
      <c r="E3" s="25"/>
      <c r="F3" s="101"/>
      <c r="G3" s="25"/>
      <c r="H3" s="25"/>
      <c r="I3" s="25"/>
      <c r="J3" s="25"/>
      <c r="K3" s="21" t="s">
        <v>60</v>
      </c>
      <c r="L3" s="19"/>
      <c r="M3" s="19"/>
      <c r="N3" s="19"/>
      <c r="O3" s="19"/>
    </row>
    <row r="4" spans="1:15" ht="13.8">
      <c r="A4" s="26" t="s">
        <v>78</v>
      </c>
      <c r="B4" s="28" t="s">
        <v>79</v>
      </c>
      <c r="C4" s="78" t="s">
        <v>26</v>
      </c>
      <c r="D4" s="30" t="s">
        <v>71</v>
      </c>
      <c r="E4" s="28" t="s">
        <v>80</v>
      </c>
      <c r="F4" s="29"/>
      <c r="G4" s="28" t="s">
        <v>81</v>
      </c>
      <c r="H4" s="28" t="s">
        <v>30</v>
      </c>
      <c r="I4" s="28" t="s">
        <v>82</v>
      </c>
      <c r="J4" s="28" t="s">
        <v>83</v>
      </c>
      <c r="K4" s="28" t="s">
        <v>62</v>
      </c>
      <c r="L4" s="19"/>
      <c r="M4" s="19"/>
      <c r="N4" s="19"/>
      <c r="O4" s="19"/>
    </row>
    <row r="5" spans="1:15" ht="14.4">
      <c r="A5" s="19"/>
      <c r="B5" s="202" t="s">
        <v>84</v>
      </c>
      <c r="C5" s="202"/>
      <c r="D5" s="202"/>
      <c r="E5" s="202"/>
      <c r="F5" s="202"/>
      <c r="G5" s="202"/>
      <c r="H5" s="202"/>
      <c r="I5" s="202"/>
      <c r="J5" s="202"/>
      <c r="K5" s="202"/>
      <c r="L5" s="19"/>
      <c r="M5" s="19"/>
      <c r="N5" s="19"/>
      <c r="O5" s="19"/>
    </row>
    <row r="6" spans="1:15" ht="13.8">
      <c r="A6" s="19" t="s">
        <v>34</v>
      </c>
      <c r="B6" s="102">
        <v>476.97603460691334</v>
      </c>
      <c r="C6" s="102">
        <v>5945</v>
      </c>
      <c r="D6" s="103">
        <v>1.0880000000000001</v>
      </c>
      <c r="E6" s="155">
        <f>B6+C6+D6</f>
        <v>6423.0640346069131</v>
      </c>
      <c r="F6" s="104"/>
      <c r="G6" s="102">
        <v>1712.01</v>
      </c>
      <c r="H6" s="105">
        <v>340.64748459156186</v>
      </c>
      <c r="I6" s="102">
        <v>3914.4</v>
      </c>
      <c r="J6" s="106">
        <f>E6-K6</f>
        <v>5967.0571726351982</v>
      </c>
      <c r="K6" s="102">
        <v>456.0068619717149</v>
      </c>
      <c r="L6" s="19"/>
      <c r="M6" s="19"/>
      <c r="N6" s="19"/>
      <c r="O6" s="19"/>
    </row>
    <row r="7" spans="1:15" ht="16.2">
      <c r="A7" s="23" t="s">
        <v>35</v>
      </c>
      <c r="B7" s="106">
        <f>K6</f>
        <v>456.0068619717149</v>
      </c>
      <c r="C7" s="106">
        <v>4435</v>
      </c>
      <c r="D7" s="107">
        <v>1</v>
      </c>
      <c r="E7" s="106">
        <f>B7+C7+D7</f>
        <v>4892.0068619717149</v>
      </c>
      <c r="F7" s="108"/>
      <c r="G7" s="106">
        <v>1562.7429999999999</v>
      </c>
      <c r="H7" s="109">
        <v>282.68453874670092</v>
      </c>
      <c r="I7" s="106">
        <v>2687</v>
      </c>
      <c r="J7" s="106">
        <f>E7-K7</f>
        <v>4532.4953140718344</v>
      </c>
      <c r="K7" s="106">
        <v>359.5115478998805</v>
      </c>
      <c r="L7" s="19"/>
      <c r="M7" s="19"/>
      <c r="N7" s="19"/>
      <c r="O7" s="19"/>
    </row>
    <row r="8" spans="1:15" ht="16.2">
      <c r="A8" s="17" t="s">
        <v>36</v>
      </c>
      <c r="B8" s="110">
        <f>K7</f>
        <v>359.5115478998805</v>
      </c>
      <c r="C8" s="110">
        <v>5377</v>
      </c>
      <c r="D8" s="111">
        <v>25</v>
      </c>
      <c r="E8" s="110">
        <f>B8+C8+D8</f>
        <v>5761.5115478998805</v>
      </c>
      <c r="F8" s="112"/>
      <c r="G8" s="110">
        <v>1475</v>
      </c>
      <c r="H8" s="113">
        <v>285</v>
      </c>
      <c r="I8" s="110">
        <v>3591.2</v>
      </c>
      <c r="J8" s="110">
        <f>E8-K8</f>
        <v>5351.2</v>
      </c>
      <c r="K8" s="110">
        <v>410.31154789988068</v>
      </c>
      <c r="L8" s="19"/>
      <c r="M8" s="19"/>
      <c r="N8" s="19"/>
      <c r="O8" s="19"/>
    </row>
    <row r="9" spans="1:15" ht="16.2">
      <c r="A9" s="58" t="s">
        <v>85</v>
      </c>
      <c r="B9" s="19"/>
      <c r="C9" s="104"/>
      <c r="D9" s="104"/>
      <c r="E9" s="104"/>
      <c r="F9" s="104"/>
      <c r="G9" s="114"/>
      <c r="H9" s="104"/>
      <c r="I9" s="104"/>
      <c r="J9" s="104"/>
      <c r="K9" s="19"/>
      <c r="L9" s="19"/>
      <c r="M9" s="19"/>
      <c r="N9" s="19"/>
      <c r="O9" s="19"/>
    </row>
    <row r="10" spans="1:15" ht="14.4">
      <c r="A10" s="19" t="s">
        <v>86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">
      <c r="A11" s="19" t="s">
        <v>87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8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8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8">
      <c r="A15" s="19"/>
      <c r="B15" s="199" t="s">
        <v>58</v>
      </c>
      <c r="C15" s="199"/>
      <c r="D15" s="199"/>
      <c r="E15" s="199"/>
      <c r="F15" s="19"/>
      <c r="G15" s="199" t="s">
        <v>59</v>
      </c>
      <c r="H15" s="199"/>
      <c r="I15" s="199"/>
      <c r="J15" s="19"/>
      <c r="K15" s="19"/>
      <c r="L15" s="19"/>
      <c r="M15" s="19"/>
      <c r="N15" s="19"/>
      <c r="O15" s="19"/>
    </row>
    <row r="16" spans="1:15" ht="13.8">
      <c r="A16" s="19" t="s">
        <v>17</v>
      </c>
      <c r="B16" s="21" t="s">
        <v>70</v>
      </c>
      <c r="C16" s="25"/>
      <c r="D16" s="25"/>
      <c r="E16" s="25"/>
      <c r="F16" s="25"/>
      <c r="G16" s="25"/>
      <c r="H16" s="25"/>
      <c r="I16" s="25"/>
      <c r="J16" s="21" t="s">
        <v>60</v>
      </c>
      <c r="K16" s="19"/>
      <c r="L16" s="19"/>
      <c r="M16" s="19"/>
      <c r="N16" s="19"/>
      <c r="O16" s="19"/>
    </row>
    <row r="17" spans="1:15" ht="13.8">
      <c r="A17" s="26" t="s">
        <v>61</v>
      </c>
      <c r="B17" s="28" t="s">
        <v>62</v>
      </c>
      <c r="C17" s="78" t="s">
        <v>26</v>
      </c>
      <c r="D17" s="30" t="s">
        <v>71</v>
      </c>
      <c r="E17" s="28" t="s">
        <v>83</v>
      </c>
      <c r="F17" s="29"/>
      <c r="G17" s="106" t="s">
        <v>88</v>
      </c>
      <c r="H17" s="28" t="s">
        <v>30</v>
      </c>
      <c r="I17" s="30" t="s">
        <v>63</v>
      </c>
      <c r="J17" s="28" t="s">
        <v>62</v>
      </c>
      <c r="K17" s="19"/>
      <c r="L17" s="19"/>
      <c r="M17" s="19"/>
      <c r="N17" s="19"/>
      <c r="O17" s="19"/>
    </row>
    <row r="18" spans="1:15" ht="14.4">
      <c r="A18" s="19"/>
      <c r="B18" s="202" t="s">
        <v>89</v>
      </c>
      <c r="C18" s="202"/>
      <c r="D18" s="202"/>
      <c r="E18" s="202"/>
      <c r="F18" s="202"/>
      <c r="G18" s="202"/>
      <c r="H18" s="202"/>
      <c r="I18" s="202"/>
      <c r="J18" s="202"/>
      <c r="K18" s="19"/>
      <c r="L18" s="19"/>
      <c r="M18" s="19"/>
      <c r="N18" s="19"/>
      <c r="O18" s="19"/>
    </row>
    <row r="19" spans="1:15" ht="13.8">
      <c r="A19" s="19" t="s">
        <v>34</v>
      </c>
      <c r="B19" s="102">
        <v>43</v>
      </c>
      <c r="C19" s="105">
        <v>779.976</v>
      </c>
      <c r="D19" s="103">
        <v>0</v>
      </c>
      <c r="E19" s="156">
        <f>B19+C19+D19</f>
        <v>822.976</v>
      </c>
      <c r="F19" s="19"/>
      <c r="G19" s="105">
        <v>688.44474810762813</v>
      </c>
      <c r="H19" s="105">
        <v>109.65925189237197</v>
      </c>
      <c r="I19" s="109">
        <f>SUM(G19:H19)</f>
        <v>798.10400000000004</v>
      </c>
      <c r="J19" s="102">
        <v>24.872</v>
      </c>
      <c r="K19" s="19"/>
      <c r="L19" s="19"/>
      <c r="M19" s="19"/>
      <c r="N19" s="19"/>
      <c r="O19" s="19"/>
    </row>
    <row r="20" spans="1:15" ht="16.2">
      <c r="A20" s="23" t="s">
        <v>35</v>
      </c>
      <c r="B20" s="106">
        <f>J19</f>
        <v>24.872</v>
      </c>
      <c r="C20" s="109">
        <v>648.57100000000003</v>
      </c>
      <c r="D20" s="107">
        <v>0</v>
      </c>
      <c r="E20" s="109">
        <f>B20+C20+D20</f>
        <v>673.44299999999998</v>
      </c>
      <c r="F20" s="108"/>
      <c r="G20" s="109">
        <v>573.37749036166895</v>
      </c>
      <c r="H20" s="109">
        <v>60.759509638330982</v>
      </c>
      <c r="I20" s="109">
        <f>SUM(G20:H20)</f>
        <v>634.13699999999994</v>
      </c>
      <c r="J20" s="106">
        <v>39.305999999999997</v>
      </c>
      <c r="K20" s="19"/>
      <c r="L20" s="19"/>
      <c r="M20" s="19"/>
      <c r="N20" s="19"/>
      <c r="O20" s="19"/>
    </row>
    <row r="21" spans="1:15" ht="16.2">
      <c r="A21" s="17" t="s">
        <v>36</v>
      </c>
      <c r="B21" s="110">
        <f>J20</f>
        <v>39.305999999999997</v>
      </c>
      <c r="C21" s="113">
        <v>650</v>
      </c>
      <c r="D21" s="111">
        <v>0</v>
      </c>
      <c r="E21" s="113">
        <f>B21+C21+D21</f>
        <v>689.30600000000004</v>
      </c>
      <c r="F21" s="112"/>
      <c r="G21" s="113">
        <v>604.30600000000004</v>
      </c>
      <c r="H21" s="113">
        <v>60</v>
      </c>
      <c r="I21" s="113">
        <f>SUM(G21:H21)</f>
        <v>664.30600000000004</v>
      </c>
      <c r="J21" s="110">
        <v>25</v>
      </c>
      <c r="K21" s="19"/>
      <c r="L21" s="19"/>
      <c r="M21" s="19"/>
      <c r="N21" s="19"/>
      <c r="O21" s="19"/>
    </row>
    <row r="22" spans="1:15" ht="16.2">
      <c r="A22" s="58" t="s">
        <v>85</v>
      </c>
      <c r="B22" s="19"/>
      <c r="C22" s="104"/>
      <c r="D22" s="104"/>
      <c r="E22" s="104"/>
      <c r="F22" s="104"/>
      <c r="G22" s="104"/>
      <c r="H22" s="104"/>
      <c r="I22" s="19"/>
      <c r="J22" s="19"/>
      <c r="K22" s="19"/>
      <c r="L22" s="19"/>
      <c r="M22" s="19"/>
      <c r="N22" s="19"/>
      <c r="O22" s="19"/>
    </row>
    <row r="23" spans="1:15" ht="14.4">
      <c r="A23" s="19" t="s">
        <v>90</v>
      </c>
      <c r="B23" s="108"/>
      <c r="C23" s="108"/>
      <c r="D23" s="108"/>
      <c r="E23" s="108"/>
      <c r="F23" s="108"/>
      <c r="G23" s="108"/>
      <c r="H23" s="108"/>
      <c r="I23" s="19"/>
      <c r="J23" s="19"/>
      <c r="K23" s="19"/>
      <c r="L23" s="19"/>
      <c r="M23" s="19"/>
      <c r="N23" s="19"/>
      <c r="O23" s="19"/>
    </row>
    <row r="24" spans="1:15" ht="13.8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8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8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8">
      <c r="A27" s="19"/>
      <c r="B27" s="199" t="s">
        <v>58</v>
      </c>
      <c r="C27" s="199"/>
      <c r="D27" s="199"/>
      <c r="E27" s="199"/>
      <c r="F27" s="19"/>
      <c r="G27" s="199" t="s">
        <v>59</v>
      </c>
      <c r="H27" s="199"/>
      <c r="I27" s="199"/>
      <c r="J27" s="19"/>
      <c r="K27" s="19"/>
      <c r="L27" s="19"/>
      <c r="M27" s="19"/>
      <c r="N27" s="19"/>
      <c r="O27" s="19"/>
    </row>
    <row r="28" spans="1:15" ht="13.8">
      <c r="A28" s="19" t="s">
        <v>17</v>
      </c>
      <c r="B28" s="21" t="s">
        <v>70</v>
      </c>
      <c r="C28" s="25"/>
      <c r="D28" s="25"/>
      <c r="E28" s="25"/>
      <c r="F28" s="25"/>
      <c r="G28" s="25"/>
      <c r="H28" s="25"/>
      <c r="I28" s="25"/>
      <c r="J28" s="21" t="s">
        <v>60</v>
      </c>
      <c r="K28" s="19"/>
      <c r="L28" s="19"/>
      <c r="M28" s="19"/>
      <c r="N28" s="19"/>
      <c r="O28" s="19"/>
    </row>
    <row r="29" spans="1:15" ht="13.8">
      <c r="A29" s="26" t="s">
        <v>61</v>
      </c>
      <c r="B29" s="28" t="s">
        <v>62</v>
      </c>
      <c r="C29" s="28" t="s">
        <v>26</v>
      </c>
      <c r="D29" s="30" t="s">
        <v>71</v>
      </c>
      <c r="E29" s="28" t="s">
        <v>83</v>
      </c>
      <c r="F29" s="29"/>
      <c r="G29" s="28" t="s">
        <v>64</v>
      </c>
      <c r="H29" s="28" t="s">
        <v>30</v>
      </c>
      <c r="I29" s="28" t="s">
        <v>63</v>
      </c>
      <c r="J29" s="28" t="s">
        <v>66</v>
      </c>
      <c r="K29" s="19"/>
      <c r="L29" s="19"/>
      <c r="M29" s="19"/>
      <c r="N29" s="19"/>
      <c r="O29" s="19"/>
    </row>
    <row r="30" spans="1:15" ht="14.4">
      <c r="A30" s="19"/>
      <c r="B30" s="202" t="s">
        <v>91</v>
      </c>
      <c r="C30" s="202"/>
      <c r="D30" s="202"/>
      <c r="E30" s="202"/>
      <c r="F30" s="202"/>
      <c r="G30" s="202"/>
      <c r="H30" s="202"/>
      <c r="I30" s="202"/>
      <c r="J30" s="202"/>
      <c r="K30" s="19"/>
      <c r="L30" s="19"/>
      <c r="M30" s="19"/>
      <c r="N30" s="19"/>
      <c r="O30" s="19"/>
    </row>
    <row r="31" spans="1:15" ht="13.8">
      <c r="A31" s="19" t="s">
        <v>34</v>
      </c>
      <c r="B31" s="103">
        <v>35.040999999999997</v>
      </c>
      <c r="C31" s="105">
        <v>481.34800000000001</v>
      </c>
      <c r="D31" s="103">
        <v>0.26666000000000001</v>
      </c>
      <c r="E31" s="115">
        <f>B31+C31+D31</f>
        <v>516.65566000000001</v>
      </c>
      <c r="F31" s="19"/>
      <c r="G31" s="109">
        <f>I31-H31</f>
        <v>388.20178644136797</v>
      </c>
      <c r="H31" s="105">
        <v>83.915873558632001</v>
      </c>
      <c r="I31" s="109">
        <f>E31-J31</f>
        <v>472.11766</v>
      </c>
      <c r="J31" s="109">
        <v>44.537999999999997</v>
      </c>
      <c r="K31" s="19"/>
      <c r="L31" s="19"/>
      <c r="M31" s="19"/>
      <c r="N31" s="19"/>
      <c r="O31" s="19"/>
    </row>
    <row r="32" spans="1:15" ht="16.2">
      <c r="A32" s="23" t="s">
        <v>35</v>
      </c>
      <c r="B32" s="107">
        <f>J31</f>
        <v>44.537999999999997</v>
      </c>
      <c r="C32" s="109">
        <v>399.91800000000001</v>
      </c>
      <c r="D32" s="107">
        <v>21.365218272682</v>
      </c>
      <c r="E32" s="115">
        <f>B32+C32+D32</f>
        <v>465.82121827268202</v>
      </c>
      <c r="F32" s="108"/>
      <c r="G32" s="109">
        <f>I32-H32</f>
        <v>355.51274692573605</v>
      </c>
      <c r="H32" s="109">
        <v>62.100471346945994</v>
      </c>
      <c r="I32" s="109">
        <f>E32-J32</f>
        <v>417.61321827268205</v>
      </c>
      <c r="J32" s="109">
        <v>48.207999999999998</v>
      </c>
      <c r="K32" s="19"/>
      <c r="L32" s="19"/>
      <c r="M32" s="19"/>
      <c r="N32" s="19"/>
      <c r="O32" s="19"/>
    </row>
    <row r="33" spans="1:15" ht="16.2">
      <c r="A33" s="17" t="s">
        <v>36</v>
      </c>
      <c r="B33" s="111">
        <f>J32</f>
        <v>48.207999999999998</v>
      </c>
      <c r="C33" s="113">
        <v>390</v>
      </c>
      <c r="D33" s="111">
        <v>5</v>
      </c>
      <c r="E33" s="116">
        <f>B33+C33+D33</f>
        <v>443.20799999999997</v>
      </c>
      <c r="F33" s="112"/>
      <c r="G33" s="113">
        <f>I33-H33</f>
        <v>317.20799999999997</v>
      </c>
      <c r="H33" s="113">
        <v>81</v>
      </c>
      <c r="I33" s="113">
        <f>E33-J33</f>
        <v>398.20799999999997</v>
      </c>
      <c r="J33" s="113">
        <v>45</v>
      </c>
      <c r="K33" s="19"/>
      <c r="L33" s="19"/>
      <c r="M33" s="19"/>
      <c r="N33" s="19"/>
      <c r="O33" s="19"/>
    </row>
    <row r="34" spans="1:15" ht="16.2">
      <c r="A34" s="58" t="s">
        <v>85</v>
      </c>
      <c r="B34" s="19"/>
      <c r="C34" s="104"/>
      <c r="D34" s="104"/>
      <c r="E34" s="104"/>
      <c r="F34" s="104"/>
      <c r="G34" s="104"/>
      <c r="H34" s="104"/>
      <c r="I34" s="19"/>
      <c r="J34" s="19"/>
      <c r="K34" s="19"/>
      <c r="L34" s="19"/>
      <c r="M34" s="19"/>
      <c r="N34" s="19"/>
      <c r="O34" s="19"/>
    </row>
    <row r="35" spans="1:15" ht="14.4">
      <c r="A35" s="19" t="s">
        <v>90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3.8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3.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8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3.8">
      <c r="A39" s="19"/>
      <c r="B39" s="199" t="s">
        <v>13</v>
      </c>
      <c r="C39" s="199"/>
      <c r="D39" s="21" t="s">
        <v>14</v>
      </c>
      <c r="E39" s="199" t="s">
        <v>15</v>
      </c>
      <c r="F39" s="199"/>
      <c r="G39" s="199"/>
      <c r="H39" s="199"/>
      <c r="I39" s="19"/>
      <c r="J39" s="199" t="s">
        <v>59</v>
      </c>
      <c r="K39" s="199"/>
      <c r="L39" s="199"/>
      <c r="M39" s="199"/>
      <c r="N39" s="199"/>
      <c r="O39" s="100"/>
    </row>
    <row r="40" spans="1:15" ht="13.8">
      <c r="A40" s="19" t="s">
        <v>17</v>
      </c>
      <c r="B40" s="21" t="s">
        <v>18</v>
      </c>
      <c r="C40" s="21" t="s">
        <v>19</v>
      </c>
      <c r="D40" s="19"/>
      <c r="E40" s="21" t="s">
        <v>70</v>
      </c>
      <c r="F40" s="21"/>
      <c r="G40" s="21"/>
      <c r="H40" s="21"/>
      <c r="I40" s="19"/>
      <c r="J40" s="117" t="s">
        <v>88</v>
      </c>
      <c r="K40" s="21"/>
      <c r="L40" s="21" t="s">
        <v>22</v>
      </c>
      <c r="M40" s="21"/>
      <c r="N40" s="21"/>
      <c r="O40" s="21" t="s">
        <v>60</v>
      </c>
    </row>
    <row r="41" spans="1:15" ht="13.8">
      <c r="A41" s="26" t="s">
        <v>78</v>
      </c>
      <c r="B41" s="27"/>
      <c r="C41" s="27"/>
      <c r="D41" s="27"/>
      <c r="E41" s="28" t="s">
        <v>62</v>
      </c>
      <c r="F41" s="28" t="s">
        <v>26</v>
      </c>
      <c r="G41" s="28" t="s">
        <v>71</v>
      </c>
      <c r="H41" s="28" t="s">
        <v>83</v>
      </c>
      <c r="I41" s="28"/>
      <c r="J41" s="28" t="s">
        <v>92</v>
      </c>
      <c r="K41" s="28" t="s">
        <v>81</v>
      </c>
      <c r="L41" s="28" t="s">
        <v>29</v>
      </c>
      <c r="M41" s="30" t="s">
        <v>30</v>
      </c>
      <c r="N41" s="28" t="s">
        <v>63</v>
      </c>
      <c r="O41" s="28" t="s">
        <v>66</v>
      </c>
    </row>
    <row r="42" spans="1:15" ht="14.4">
      <c r="A42" s="19"/>
      <c r="B42" s="203" t="s">
        <v>93</v>
      </c>
      <c r="C42" s="204"/>
      <c r="D42" s="118" t="s">
        <v>94</v>
      </c>
      <c r="E42" s="205" t="s">
        <v>95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4"/>
    </row>
    <row r="43" spans="1:15" ht="13.8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3.8">
      <c r="A44" s="19" t="s">
        <v>34</v>
      </c>
      <c r="B44" s="102">
        <v>1432.7</v>
      </c>
      <c r="C44" s="102">
        <v>1389.7</v>
      </c>
      <c r="D44" s="106">
        <f>F44*1000/C44</f>
        <v>3933.5734331150607</v>
      </c>
      <c r="E44" s="102">
        <v>2421.09</v>
      </c>
      <c r="F44" s="102">
        <v>5466.4870000000001</v>
      </c>
      <c r="G44" s="109">
        <v>113.82652333129602</v>
      </c>
      <c r="H44" s="106">
        <f>SUM(E44:G44)</f>
        <v>8001.4035233312961</v>
      </c>
      <c r="I44" s="102"/>
      <c r="J44" s="102">
        <v>3221.4</v>
      </c>
      <c r="K44" s="102">
        <v>774.15131240000005</v>
      </c>
      <c r="L44" s="109">
        <f>N44-J44-K44-M44</f>
        <v>277.31027254689639</v>
      </c>
      <c r="M44" s="105">
        <v>1610.288415053104</v>
      </c>
      <c r="N44" s="102">
        <v>5883.1500000000005</v>
      </c>
      <c r="O44" s="102">
        <v>2118.1880000000001</v>
      </c>
    </row>
    <row r="45" spans="1:15" ht="16.2">
      <c r="A45" s="23" t="s">
        <v>35</v>
      </c>
      <c r="B45" s="106">
        <v>1662.5</v>
      </c>
      <c r="C45" s="106">
        <v>1615.2</v>
      </c>
      <c r="D45" s="106">
        <f>F45*1000/C45</f>
        <v>3812.7476473501733</v>
      </c>
      <c r="E45" s="106">
        <f>O44</f>
        <v>2118.1880000000001</v>
      </c>
      <c r="F45" s="106">
        <v>6158.35</v>
      </c>
      <c r="G45" s="109">
        <v>121.04780464882167</v>
      </c>
      <c r="H45" s="106">
        <f>SUM(E45:G45)</f>
        <v>8397.5858046488229</v>
      </c>
      <c r="I45" s="106"/>
      <c r="J45" s="106">
        <v>3357.2</v>
      </c>
      <c r="K45" s="106">
        <v>872.91017669999985</v>
      </c>
      <c r="L45" s="109">
        <f>N45-J45-K45-M45</f>
        <v>782.56198954251931</v>
      </c>
      <c r="M45" s="109">
        <v>1416.7516384063038</v>
      </c>
      <c r="N45" s="106">
        <f>H45-O45</f>
        <v>6429.4238046488226</v>
      </c>
      <c r="O45" s="106">
        <v>1968.162</v>
      </c>
    </row>
    <row r="46" spans="1:15" ht="16.2">
      <c r="A46" s="17" t="s">
        <v>36</v>
      </c>
      <c r="B46" s="110">
        <v>1585.2</v>
      </c>
      <c r="C46" s="110">
        <v>1545</v>
      </c>
      <c r="D46" s="110">
        <f>F46*1000/C46</f>
        <v>4135.46925566343</v>
      </c>
      <c r="E46" s="110">
        <f>O45</f>
        <v>1968.162</v>
      </c>
      <c r="F46" s="110">
        <v>6389.3</v>
      </c>
      <c r="G46" s="113">
        <v>115</v>
      </c>
      <c r="H46" s="110">
        <f>SUM(E46:G46)</f>
        <v>8472.4619999999995</v>
      </c>
      <c r="I46" s="110"/>
      <c r="J46" s="110">
        <v>3390.7563826135997</v>
      </c>
      <c r="K46" s="110">
        <v>890</v>
      </c>
      <c r="L46" s="113">
        <f>N46-J46-K46-M46</f>
        <v>660.30499999999984</v>
      </c>
      <c r="M46" s="113">
        <v>1250</v>
      </c>
      <c r="N46" s="110">
        <f>H46-O46</f>
        <v>6191.0613826135996</v>
      </c>
      <c r="O46" s="110">
        <v>2281.4006173864</v>
      </c>
    </row>
    <row r="47" spans="1:15" ht="16.2">
      <c r="A47" s="58" t="s">
        <v>85</v>
      </c>
      <c r="B47" s="19"/>
      <c r="C47" s="104"/>
      <c r="D47" s="104"/>
      <c r="E47" s="104"/>
      <c r="F47" s="104"/>
      <c r="G47" s="104"/>
      <c r="H47" s="104"/>
      <c r="I47" s="19"/>
      <c r="J47" s="19"/>
      <c r="K47" s="19"/>
      <c r="L47" s="19"/>
      <c r="M47" s="19"/>
      <c r="N47" s="19"/>
      <c r="O47" s="19"/>
    </row>
    <row r="48" spans="1:15" ht="14.4">
      <c r="A48" s="19" t="s">
        <v>96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">
      <c r="A49" s="19" t="s">
        <v>87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8">
      <c r="A50" s="25" t="s">
        <v>57</v>
      </c>
      <c r="B50" s="119">
        <f ca="1">NOW()</f>
        <v>44662.676440277777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" customHeigh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2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2" width="18.88671875" style="18" bestFit="1" customWidth="1"/>
    <col min="3" max="3" width="22.109375" style="18" bestFit="1" customWidth="1"/>
    <col min="4" max="5" width="25.6640625" style="18" bestFit="1" customWidth="1"/>
    <col min="6" max="6" width="16.6640625" style="18" bestFit="1" customWidth="1"/>
    <col min="7" max="7" width="18.88671875" style="18" bestFit="1" customWidth="1"/>
    <col min="8" max="16384" width="9.10937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97</v>
      </c>
      <c r="B2" s="40" t="s">
        <v>98</v>
      </c>
      <c r="C2" s="40" t="s">
        <v>99</v>
      </c>
      <c r="D2" s="40" t="s">
        <v>100</v>
      </c>
      <c r="E2" s="40" t="s">
        <v>101</v>
      </c>
      <c r="F2" s="40" t="s">
        <v>102</v>
      </c>
      <c r="G2" s="40" t="s">
        <v>103</v>
      </c>
      <c r="H2" s="59"/>
    </row>
    <row r="3" spans="1:8" ht="15.6" customHeight="1">
      <c r="A3" s="17" t="s">
        <v>104</v>
      </c>
      <c r="B3" s="29"/>
      <c r="C3" s="65"/>
      <c r="D3" s="65"/>
      <c r="E3" s="65"/>
      <c r="F3" s="65"/>
      <c r="G3" s="65"/>
      <c r="H3" s="59"/>
    </row>
    <row r="4" spans="1:8" ht="14.4">
      <c r="A4" s="66"/>
      <c r="B4" s="67" t="s">
        <v>105</v>
      </c>
      <c r="C4" s="67" t="s">
        <v>106</v>
      </c>
      <c r="D4" s="67" t="s">
        <v>107</v>
      </c>
      <c r="E4" s="67" t="s">
        <v>107</v>
      </c>
      <c r="F4" s="67" t="s">
        <v>108</v>
      </c>
      <c r="G4" s="67" t="s">
        <v>105</v>
      </c>
      <c r="H4" s="59"/>
    </row>
    <row r="5" spans="1:8" ht="13.8">
      <c r="A5" s="19"/>
      <c r="B5" s="19"/>
      <c r="C5" s="19"/>
      <c r="D5" s="21"/>
      <c r="E5" s="19"/>
      <c r="F5" s="19"/>
      <c r="G5" s="19"/>
      <c r="H5" s="59"/>
    </row>
    <row r="6" spans="1:8" ht="13.8">
      <c r="A6" s="19" t="s">
        <v>109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8">
      <c r="A7" s="19" t="s">
        <v>110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8">
      <c r="A8" s="19" t="s">
        <v>111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8">
      <c r="A9" s="19" t="s">
        <v>112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8">
      <c r="A10" s="19" t="s">
        <v>113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8">
      <c r="A11" s="19" t="s">
        <v>114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8">
      <c r="A12" s="19" t="s">
        <v>115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8">
      <c r="A13" s="19" t="s">
        <v>116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8">
      <c r="A14" s="19" t="s">
        <v>117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8">
      <c r="A15" s="19" t="s">
        <v>34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6.2">
      <c r="A16" s="19" t="s">
        <v>118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11.102000000000002</v>
      </c>
      <c r="H16" s="59"/>
    </row>
    <row r="17" spans="1:8" ht="16.2">
      <c r="A17" s="19" t="s">
        <v>119</v>
      </c>
      <c r="B17" s="68">
        <v>13.25</v>
      </c>
      <c r="C17" s="68">
        <v>242</v>
      </c>
      <c r="D17" s="68">
        <v>32.1</v>
      </c>
      <c r="E17" s="68">
        <v>32</v>
      </c>
      <c r="F17" s="68">
        <v>24.2</v>
      </c>
      <c r="G17" s="68">
        <v>29.002400000000002</v>
      </c>
      <c r="H17" s="59"/>
    </row>
    <row r="18" spans="1:8" ht="13.8">
      <c r="A18" s="23"/>
      <c r="B18" s="69"/>
      <c r="C18" s="70"/>
      <c r="D18" s="71"/>
      <c r="E18" s="71"/>
      <c r="F18" s="72"/>
      <c r="G18" s="73"/>
      <c r="H18" s="60"/>
    </row>
    <row r="19" spans="1:8" ht="13.8">
      <c r="A19" s="74" t="s">
        <v>37</v>
      </c>
      <c r="B19" s="68"/>
      <c r="C19" s="68"/>
      <c r="D19" s="68"/>
      <c r="E19" s="68"/>
      <c r="F19" s="68"/>
      <c r="G19" s="68"/>
    </row>
    <row r="20" spans="1:8" ht="13.8">
      <c r="A20" s="23" t="s">
        <v>38</v>
      </c>
      <c r="B20" s="68">
        <v>9.24</v>
      </c>
      <c r="C20" s="68">
        <v>164</v>
      </c>
      <c r="D20" s="68">
        <v>23.7</v>
      </c>
      <c r="E20" s="68">
        <v>16.399999999999999</v>
      </c>
      <c r="F20" s="68">
        <v>20.5</v>
      </c>
      <c r="G20" s="68">
        <v>9.64</v>
      </c>
    </row>
    <row r="21" spans="1:8" ht="13.8">
      <c r="A21" s="23" t="s">
        <v>39</v>
      </c>
      <c r="B21" s="68">
        <v>9.6300000000000008</v>
      </c>
      <c r="C21" s="68">
        <v>189</v>
      </c>
      <c r="D21" s="68">
        <v>19.100000000000001</v>
      </c>
      <c r="E21" s="68">
        <v>16.2</v>
      </c>
      <c r="F21" s="68">
        <v>20.9</v>
      </c>
      <c r="G21" s="68">
        <v>9.76</v>
      </c>
    </row>
    <row r="22" spans="1:8" ht="13.8">
      <c r="A22" s="23" t="s">
        <v>40</v>
      </c>
      <c r="B22" s="68">
        <v>10.3</v>
      </c>
      <c r="C22" s="68">
        <v>199</v>
      </c>
      <c r="D22" s="68">
        <v>18.899999999999999</v>
      </c>
      <c r="E22" s="68">
        <v>18.100000000000001</v>
      </c>
      <c r="F22" s="68">
        <v>21.2</v>
      </c>
      <c r="G22" s="68">
        <v>10.7</v>
      </c>
    </row>
    <row r="23" spans="1:8" ht="13.8">
      <c r="A23" s="23" t="s">
        <v>42</v>
      </c>
      <c r="B23" s="68">
        <v>10.6</v>
      </c>
      <c r="C23" s="68">
        <v>195</v>
      </c>
      <c r="D23" s="68">
        <v>19.2</v>
      </c>
      <c r="E23" s="68">
        <v>17.2</v>
      </c>
      <c r="F23" s="68">
        <v>20.399999999999999</v>
      </c>
      <c r="G23" s="68">
        <v>10.9</v>
      </c>
    </row>
    <row r="24" spans="1:8" ht="13.8">
      <c r="A24" s="23" t="s">
        <v>43</v>
      </c>
      <c r="B24" s="68">
        <v>10.9</v>
      </c>
      <c r="C24" s="68">
        <v>209</v>
      </c>
      <c r="D24" s="68">
        <v>19.5</v>
      </c>
      <c r="E24" s="68">
        <v>18.8</v>
      </c>
      <c r="F24" s="68">
        <v>20.5</v>
      </c>
      <c r="G24" s="68">
        <v>12</v>
      </c>
    </row>
    <row r="25" spans="1:8" ht="13.8">
      <c r="A25" s="23" t="s">
        <v>44</v>
      </c>
      <c r="B25" s="68">
        <v>12.7</v>
      </c>
      <c r="C25" s="68">
        <v>185</v>
      </c>
      <c r="D25" s="68">
        <v>21.4</v>
      </c>
      <c r="E25" s="68">
        <v>20.399999999999999</v>
      </c>
      <c r="F25" s="68">
        <v>20.5</v>
      </c>
      <c r="G25" s="68">
        <v>13.2</v>
      </c>
    </row>
    <row r="26" spans="1:8" ht="13.8">
      <c r="A26" s="23" t="s">
        <v>46</v>
      </c>
      <c r="B26" s="68">
        <v>13.2</v>
      </c>
      <c r="C26" s="68" t="s">
        <v>76</v>
      </c>
      <c r="D26" s="68">
        <v>21.5</v>
      </c>
      <c r="E26" s="68">
        <v>22</v>
      </c>
      <c r="F26" s="68">
        <v>21.2</v>
      </c>
      <c r="G26" s="68">
        <v>15.7</v>
      </c>
    </row>
    <row r="27" spans="1:8" ht="13.8">
      <c r="A27" s="23" t="s">
        <v>47</v>
      </c>
      <c r="B27" s="68">
        <v>13.9</v>
      </c>
      <c r="C27" s="68" t="s">
        <v>76</v>
      </c>
      <c r="D27" s="68">
        <v>23.7</v>
      </c>
      <c r="E27" s="68">
        <v>23.8</v>
      </c>
      <c r="F27" s="68">
        <v>21.4</v>
      </c>
      <c r="G27" s="68">
        <v>18.100000000000001</v>
      </c>
    </row>
    <row r="28" spans="1:8" ht="13.8">
      <c r="A28" s="23" t="s">
        <v>48</v>
      </c>
      <c r="B28" s="68">
        <v>14.8</v>
      </c>
      <c r="C28" s="68" t="s">
        <v>76</v>
      </c>
      <c r="D28" s="68">
        <v>26.4</v>
      </c>
      <c r="E28" s="68">
        <v>26.1</v>
      </c>
      <c r="F28" s="68">
        <v>21.3</v>
      </c>
      <c r="G28" s="68">
        <v>18.3</v>
      </c>
    </row>
    <row r="29" spans="1:8" ht="13.8">
      <c r="A29" s="23" t="s">
        <v>50</v>
      </c>
      <c r="B29" s="68">
        <v>14.5</v>
      </c>
      <c r="C29" s="68" t="s">
        <v>76</v>
      </c>
      <c r="D29" s="68">
        <v>28.4</v>
      </c>
      <c r="E29" s="68">
        <v>26</v>
      </c>
      <c r="F29" s="68">
        <v>21.3</v>
      </c>
      <c r="G29" s="68">
        <v>19.899999999999999</v>
      </c>
    </row>
    <row r="30" spans="1:8" ht="13.8">
      <c r="A30" s="23" t="s">
        <v>51</v>
      </c>
      <c r="B30" s="68">
        <v>14.1</v>
      </c>
      <c r="C30" s="68" t="s">
        <v>76</v>
      </c>
      <c r="D30" s="68">
        <v>28</v>
      </c>
      <c r="E30" s="68">
        <v>27.7</v>
      </c>
      <c r="F30" s="68">
        <v>21.6</v>
      </c>
      <c r="G30" s="68">
        <v>20.100000000000001</v>
      </c>
    </row>
    <row r="31" spans="1:8" ht="13.8">
      <c r="A31" s="23" t="s">
        <v>52</v>
      </c>
      <c r="B31" s="68">
        <v>13.7</v>
      </c>
      <c r="C31" s="68">
        <v>255</v>
      </c>
      <c r="D31" s="68">
        <v>29.4</v>
      </c>
      <c r="E31" s="68">
        <v>30.9</v>
      </c>
      <c r="F31" s="68">
        <v>21.3</v>
      </c>
      <c r="G31" s="68">
        <v>20.2</v>
      </c>
    </row>
    <row r="32" spans="1:8" ht="13.8">
      <c r="A32" s="23"/>
      <c r="B32" s="159"/>
      <c r="C32" s="159"/>
      <c r="D32" s="159"/>
      <c r="E32" s="159"/>
      <c r="F32" s="159"/>
      <c r="G32" s="159"/>
    </row>
    <row r="33" spans="1:7" ht="13.8">
      <c r="A33" s="74" t="s">
        <v>54</v>
      </c>
      <c r="B33" s="68"/>
      <c r="C33" s="68"/>
      <c r="D33" s="68"/>
      <c r="E33" s="68"/>
      <c r="F33" s="68"/>
      <c r="G33" s="68"/>
    </row>
    <row r="34" spans="1:7" ht="13.8">
      <c r="A34" s="23" t="s">
        <v>38</v>
      </c>
      <c r="B34" s="68">
        <v>12.2</v>
      </c>
      <c r="C34" s="68">
        <v>235</v>
      </c>
      <c r="D34" s="68">
        <v>30.7</v>
      </c>
      <c r="E34" s="68">
        <v>28.7</v>
      </c>
      <c r="F34" s="68">
        <v>22.3</v>
      </c>
      <c r="G34" s="68">
        <v>19.8</v>
      </c>
    </row>
    <row r="35" spans="1:7" ht="13.8">
      <c r="A35" s="23" t="s">
        <v>39</v>
      </c>
      <c r="B35" s="68">
        <v>11.9</v>
      </c>
      <c r="C35" s="68">
        <v>244</v>
      </c>
      <c r="D35" s="68">
        <v>30.5</v>
      </c>
      <c r="E35" s="68">
        <v>29.5</v>
      </c>
      <c r="F35" s="68">
        <v>24</v>
      </c>
      <c r="G35" s="68">
        <v>25.1</v>
      </c>
    </row>
    <row r="36" spans="1:7" ht="13.8">
      <c r="A36" s="23" t="s">
        <v>40</v>
      </c>
      <c r="B36" s="68">
        <v>12.2</v>
      </c>
      <c r="C36" s="68">
        <v>244</v>
      </c>
      <c r="D36" s="68">
        <v>30.2</v>
      </c>
      <c r="E36" s="68">
        <v>31.7</v>
      </c>
      <c r="F36" s="68">
        <v>25.4</v>
      </c>
      <c r="G36" s="68">
        <v>26.1</v>
      </c>
    </row>
    <row r="37" spans="1:7" ht="13.8">
      <c r="A37" s="23" t="s">
        <v>42</v>
      </c>
      <c r="B37" s="68">
        <v>12.5</v>
      </c>
      <c r="C37" s="68">
        <v>239</v>
      </c>
      <c r="D37" s="68">
        <v>31.7</v>
      </c>
      <c r="E37" s="68">
        <v>32.5</v>
      </c>
      <c r="F37" s="68">
        <v>24</v>
      </c>
      <c r="G37" s="68">
        <v>31.4</v>
      </c>
    </row>
    <row r="38" spans="1:7" ht="13.8">
      <c r="A38" s="23" t="s">
        <v>43</v>
      </c>
      <c r="B38" s="68">
        <v>12.9</v>
      </c>
      <c r="C38" s="68">
        <v>241</v>
      </c>
      <c r="D38" s="68">
        <v>31</v>
      </c>
      <c r="E38" s="68">
        <v>33.700000000000003</v>
      </c>
      <c r="F38" s="68">
        <v>26.1</v>
      </c>
      <c r="G38" s="68">
        <v>31</v>
      </c>
    </row>
    <row r="39" spans="1:7" ht="13.8">
      <c r="A39" s="17" t="s">
        <v>44</v>
      </c>
      <c r="B39" s="16">
        <v>14.8</v>
      </c>
      <c r="C39" s="16">
        <v>255</v>
      </c>
      <c r="D39" s="16">
        <v>32.1</v>
      </c>
      <c r="E39" s="16">
        <v>37</v>
      </c>
      <c r="F39" s="16">
        <v>24.5</v>
      </c>
      <c r="G39" s="16">
        <v>31.1</v>
      </c>
    </row>
    <row r="40" spans="1:7" ht="16.2">
      <c r="A40" s="19" t="s">
        <v>120</v>
      </c>
      <c r="B40" s="19"/>
      <c r="C40" s="19"/>
      <c r="D40" s="19"/>
      <c r="E40" s="19"/>
      <c r="F40" s="19"/>
      <c r="G40" s="19"/>
    </row>
    <row r="41" spans="1:7" ht="14.4">
      <c r="A41" s="19" t="s">
        <v>121</v>
      </c>
      <c r="B41" s="19"/>
      <c r="C41" s="19"/>
      <c r="D41" s="19"/>
      <c r="E41" s="19"/>
      <c r="F41" s="19"/>
      <c r="G41" s="19"/>
    </row>
    <row r="42" spans="1:7" ht="13.8">
      <c r="A42" s="25" t="s">
        <v>57</v>
      </c>
      <c r="B42" s="50">
        <f ca="1">NOW()</f>
        <v>44662.676440277777</v>
      </c>
      <c r="C42" s="19"/>
      <c r="D42" s="19"/>
      <c r="E42" s="19"/>
      <c r="F42" s="19"/>
      <c r="G42" s="19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Q63"/>
  <sheetViews>
    <sheetView showGridLines="0" topLeftCell="A2" zoomScale="70" zoomScaleNormal="70" workbookViewId="0">
      <selection activeCell="J47" sqref="J46:J47"/>
    </sheetView>
  </sheetViews>
  <sheetFormatPr defaultColWidth="9.109375" defaultRowHeight="13.2"/>
  <cols>
    <col min="1" max="2" width="11.6640625" style="18" customWidth="1"/>
    <col min="3" max="3" width="11.5546875" style="18" customWidth="1"/>
    <col min="4" max="4" width="13.6640625" style="18" customWidth="1"/>
    <col min="5" max="5" width="11.6640625" style="18" customWidth="1"/>
    <col min="6" max="6" width="11.5546875" style="18" bestFit="1" customWidth="1"/>
    <col min="7" max="7" width="10.6640625" style="18" customWidth="1"/>
    <col min="8" max="8" width="12" style="18" customWidth="1"/>
    <col min="9" max="9" width="13.44140625" style="18" customWidth="1"/>
    <col min="10" max="11" width="9.109375" style="18"/>
    <col min="12" max="12" width="22.33203125" style="18" bestFit="1" customWidth="1"/>
    <col min="13" max="13" width="20.33203125" style="18" bestFit="1" customWidth="1"/>
    <col min="14" max="16384" width="9.109375" style="18"/>
  </cols>
  <sheetData>
    <row r="1" spans="1:9" ht="13.8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97</v>
      </c>
      <c r="B2" s="40" t="s">
        <v>122</v>
      </c>
      <c r="C2" s="40" t="s">
        <v>123</v>
      </c>
      <c r="D2" s="40" t="s">
        <v>206</v>
      </c>
      <c r="E2" s="76" t="s">
        <v>124</v>
      </c>
      <c r="F2" s="76" t="s">
        <v>125</v>
      </c>
      <c r="G2" s="40" t="s">
        <v>126</v>
      </c>
      <c r="H2" s="40" t="s">
        <v>127</v>
      </c>
      <c r="I2" s="77" t="s">
        <v>128</v>
      </c>
    </row>
    <row r="3" spans="1:9" ht="15.6" customHeight="1">
      <c r="A3" s="78" t="s">
        <v>104</v>
      </c>
      <c r="B3" s="28" t="s">
        <v>129</v>
      </c>
      <c r="C3" s="28" t="s">
        <v>130</v>
      </c>
      <c r="D3" s="28" t="s">
        <v>131</v>
      </c>
      <c r="E3" s="28" t="s">
        <v>131</v>
      </c>
      <c r="F3" s="28" t="s">
        <v>132</v>
      </c>
      <c r="G3" s="28" t="s">
        <v>133</v>
      </c>
      <c r="H3" s="28"/>
      <c r="I3" s="28" t="s">
        <v>134</v>
      </c>
    </row>
    <row r="4" spans="1:9" ht="14.4">
      <c r="A4" s="19"/>
      <c r="B4" s="79" t="s">
        <v>135</v>
      </c>
      <c r="C4" s="80"/>
      <c r="D4" s="80"/>
      <c r="E4" s="80"/>
      <c r="F4" s="80"/>
      <c r="G4" s="80"/>
      <c r="H4" s="80"/>
      <c r="I4" s="80"/>
    </row>
    <row r="5" spans="1:9" ht="13.8">
      <c r="A5" s="19"/>
      <c r="B5" s="19"/>
      <c r="C5" s="19"/>
      <c r="D5" s="19"/>
      <c r="E5" s="19"/>
      <c r="F5" s="19"/>
      <c r="G5" s="19"/>
      <c r="H5" s="19"/>
      <c r="I5" s="19"/>
    </row>
    <row r="6" spans="1:9" ht="13.8">
      <c r="A6" s="19" t="s">
        <v>109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8">
      <c r="A7" s="19" t="s">
        <v>110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8">
      <c r="A8" s="19" t="s">
        <v>111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8">
      <c r="A9" s="19" t="s">
        <v>112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8">
      <c r="A10" s="19" t="s">
        <v>113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8">
      <c r="A11" s="19" t="s">
        <v>114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8">
      <c r="A12" s="19" t="s">
        <v>115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8">
      <c r="A13" s="19" t="s">
        <v>116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8">
      <c r="A14" s="19" t="s">
        <v>117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8">
      <c r="A15" s="19" t="s">
        <v>34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6.2">
      <c r="A16" s="19" t="s">
        <v>136</v>
      </c>
      <c r="B16" s="68">
        <v>56.87</v>
      </c>
      <c r="C16" s="68">
        <v>80.94</v>
      </c>
      <c r="D16" s="68">
        <v>79</v>
      </c>
      <c r="E16" s="68">
        <v>70.459999999999994</v>
      </c>
      <c r="F16" s="68">
        <v>102.26</v>
      </c>
      <c r="G16" s="68">
        <v>53.88</v>
      </c>
      <c r="H16" s="68">
        <v>55.89</v>
      </c>
      <c r="I16" s="68">
        <v>54.98</v>
      </c>
    </row>
    <row r="17" spans="1:17" ht="16.2">
      <c r="A17" s="19" t="s">
        <v>137</v>
      </c>
      <c r="B17" s="68">
        <v>70</v>
      </c>
      <c r="C17" s="68">
        <v>100</v>
      </c>
      <c r="D17" s="68">
        <v>125</v>
      </c>
      <c r="E17" s="68">
        <v>87.000000000000014</v>
      </c>
      <c r="F17" s="68">
        <v>108</v>
      </c>
      <c r="G17" s="68">
        <v>60</v>
      </c>
      <c r="H17" s="68">
        <v>80</v>
      </c>
      <c r="I17" s="68">
        <v>80</v>
      </c>
      <c r="J17" s="138"/>
    </row>
    <row r="18" spans="1:17" ht="13.8">
      <c r="A18" s="19"/>
      <c r="B18" s="38"/>
      <c r="C18" s="70"/>
      <c r="D18" s="81"/>
      <c r="E18" s="81"/>
      <c r="F18" s="81"/>
      <c r="G18" s="81"/>
      <c r="H18" s="19"/>
      <c r="I18" s="19"/>
    </row>
    <row r="19" spans="1:17" ht="13.8">
      <c r="A19" s="41" t="s">
        <v>37</v>
      </c>
      <c r="B19" s="68"/>
      <c r="C19" s="68"/>
      <c r="D19" s="68"/>
      <c r="E19" s="68"/>
      <c r="F19" s="68"/>
      <c r="G19" s="68"/>
      <c r="H19" s="68"/>
      <c r="I19" s="68"/>
    </row>
    <row r="20" spans="1:17" ht="13.8">
      <c r="A20" s="23" t="s">
        <v>39</v>
      </c>
      <c r="B20" s="68">
        <v>33.909999999999997</v>
      </c>
      <c r="C20" s="68">
        <v>48.35</v>
      </c>
      <c r="D20" s="68" t="s">
        <v>76</v>
      </c>
      <c r="E20" s="68">
        <v>44.35</v>
      </c>
      <c r="F20" s="68">
        <v>93</v>
      </c>
      <c r="G20" s="68">
        <v>43.15</v>
      </c>
      <c r="H20" s="68" t="s">
        <v>76</v>
      </c>
      <c r="I20" s="68">
        <v>34.5</v>
      </c>
      <c r="L20" s="161"/>
      <c r="M20" s="161"/>
      <c r="N20" s="161"/>
      <c r="O20" s="164"/>
      <c r="P20" s="165"/>
      <c r="Q20" s="161"/>
    </row>
    <row r="21" spans="1:17" ht="13.8">
      <c r="A21" s="23" t="s">
        <v>40</v>
      </c>
      <c r="B21" s="68">
        <v>37.79</v>
      </c>
      <c r="C21" s="68">
        <v>54.4375</v>
      </c>
      <c r="D21" s="68" t="s">
        <v>76</v>
      </c>
      <c r="E21" s="68">
        <v>49.5</v>
      </c>
      <c r="F21" s="68">
        <v>98.75</v>
      </c>
      <c r="G21" s="68">
        <v>42.53</v>
      </c>
      <c r="H21" s="68">
        <v>41</v>
      </c>
      <c r="I21" s="68">
        <v>34</v>
      </c>
      <c r="L21" s="161"/>
      <c r="M21" s="161"/>
      <c r="N21" s="161"/>
      <c r="O21" s="164"/>
      <c r="P21" s="161"/>
      <c r="Q21" s="161"/>
    </row>
    <row r="22" spans="1:17" ht="13.8">
      <c r="A22" s="23" t="s">
        <v>42</v>
      </c>
      <c r="B22" s="68">
        <v>40.85</v>
      </c>
      <c r="C22" s="68">
        <v>59.2</v>
      </c>
      <c r="D22" s="68" t="s">
        <v>76</v>
      </c>
      <c r="E22" s="68">
        <v>51.65</v>
      </c>
      <c r="F22" s="68">
        <v>100</v>
      </c>
      <c r="G22" s="68">
        <v>41.48</v>
      </c>
      <c r="H22" s="68">
        <v>41</v>
      </c>
      <c r="I22" s="68">
        <v>36.25</v>
      </c>
      <c r="L22" s="161"/>
      <c r="M22" s="161"/>
      <c r="N22" s="161"/>
      <c r="O22" s="164"/>
      <c r="P22" s="161"/>
      <c r="Q22" s="161"/>
    </row>
    <row r="23" spans="1:17" ht="13.8">
      <c r="A23" s="23" t="s">
        <v>43</v>
      </c>
      <c r="B23" s="68">
        <v>44.31</v>
      </c>
      <c r="C23" s="68">
        <v>63.1875</v>
      </c>
      <c r="D23" s="68" t="s">
        <v>76</v>
      </c>
      <c r="E23" s="68">
        <v>53.3125</v>
      </c>
      <c r="F23" s="68">
        <v>90</v>
      </c>
      <c r="G23" s="68">
        <v>43.337499999999999</v>
      </c>
      <c r="H23" s="68" t="s">
        <v>76</v>
      </c>
      <c r="I23" s="68">
        <v>48.129999999999995</v>
      </c>
      <c r="L23" s="161"/>
      <c r="M23" s="161"/>
      <c r="N23" s="161"/>
      <c r="O23" s="161"/>
      <c r="P23" s="166"/>
      <c r="Q23" s="162"/>
    </row>
    <row r="24" spans="1:17" ht="13.8">
      <c r="A24" s="23" t="s">
        <v>44</v>
      </c>
      <c r="B24" s="68">
        <v>48.37</v>
      </c>
      <c r="C24" s="68">
        <v>73.625</v>
      </c>
      <c r="D24" s="68" t="s">
        <v>76</v>
      </c>
      <c r="E24" s="68">
        <v>58.9375</v>
      </c>
      <c r="F24" s="68">
        <v>93</v>
      </c>
      <c r="G24" s="68">
        <v>44.945</v>
      </c>
      <c r="H24" s="68" t="s">
        <v>76</v>
      </c>
      <c r="I24" s="68">
        <v>53.125</v>
      </c>
      <c r="L24" s="161"/>
      <c r="M24" s="161"/>
      <c r="N24" s="161"/>
      <c r="O24" s="161"/>
      <c r="P24" s="166"/>
      <c r="Q24" s="162"/>
    </row>
    <row r="25" spans="1:17" ht="13.8">
      <c r="A25" s="23" t="s">
        <v>46</v>
      </c>
      <c r="B25" s="68">
        <v>56</v>
      </c>
      <c r="C25" s="68">
        <v>86.9375</v>
      </c>
      <c r="D25" s="68" t="s">
        <v>76</v>
      </c>
      <c r="E25" s="68">
        <v>71.3125</v>
      </c>
      <c r="F25" s="68">
        <v>105.25</v>
      </c>
      <c r="G25" s="68">
        <v>52.05</v>
      </c>
      <c r="H25" s="68">
        <v>55</v>
      </c>
      <c r="I25" s="68">
        <v>55.943333333333328</v>
      </c>
      <c r="L25" s="161"/>
      <c r="M25" s="161"/>
      <c r="N25" s="161"/>
      <c r="O25" s="161"/>
      <c r="P25" s="166"/>
      <c r="Q25" s="162"/>
    </row>
    <row r="26" spans="1:17" ht="13.8">
      <c r="A26" s="23" t="s">
        <v>47</v>
      </c>
      <c r="B26" s="68">
        <v>62.88</v>
      </c>
      <c r="C26" s="68">
        <v>92.65</v>
      </c>
      <c r="D26" s="68">
        <v>83</v>
      </c>
      <c r="E26" s="68">
        <v>79.55</v>
      </c>
      <c r="F26" s="68">
        <v>109.2</v>
      </c>
      <c r="G26" s="68">
        <v>59.8125</v>
      </c>
      <c r="H26" s="68" t="s">
        <v>76</v>
      </c>
      <c r="I26" s="68">
        <v>59.3825</v>
      </c>
      <c r="L26" s="161"/>
      <c r="M26" s="161"/>
      <c r="N26" s="161"/>
      <c r="O26" s="161"/>
      <c r="P26" s="162"/>
      <c r="Q26" s="162"/>
    </row>
    <row r="27" spans="1:17" ht="13.8">
      <c r="A27" s="23" t="s">
        <v>48</v>
      </c>
      <c r="B27" s="68">
        <v>74.75</v>
      </c>
      <c r="C27" s="68">
        <v>102.1875</v>
      </c>
      <c r="D27" s="68">
        <v>83</v>
      </c>
      <c r="E27" s="68">
        <v>94.0625</v>
      </c>
      <c r="F27" s="68">
        <v>110</v>
      </c>
      <c r="G27" s="68">
        <v>68.25</v>
      </c>
      <c r="H27" s="68">
        <v>58</v>
      </c>
      <c r="I27" s="68">
        <v>64.724999999999994</v>
      </c>
      <c r="J27" s="85"/>
      <c r="L27" s="161"/>
      <c r="M27" s="161"/>
      <c r="N27" s="161"/>
      <c r="O27" s="161"/>
      <c r="P27" s="162"/>
      <c r="Q27" s="162"/>
    </row>
    <row r="28" spans="1:17" ht="13.8">
      <c r="A28" s="23" t="s">
        <v>50</v>
      </c>
      <c r="B28" s="68">
        <v>74.75</v>
      </c>
      <c r="C28" s="68">
        <v>100.6875</v>
      </c>
      <c r="D28" s="68" t="s">
        <v>76</v>
      </c>
      <c r="E28" s="68">
        <v>93.5</v>
      </c>
      <c r="F28" s="68">
        <v>108.1875</v>
      </c>
      <c r="G28" s="68">
        <v>67.599999999999994</v>
      </c>
      <c r="H28" s="68">
        <v>68</v>
      </c>
      <c r="I28" s="68">
        <v>63.666666666666664</v>
      </c>
      <c r="L28" s="161"/>
      <c r="M28" s="161"/>
      <c r="N28" s="161"/>
      <c r="O28" s="161"/>
      <c r="P28" s="162"/>
      <c r="Q28" s="162"/>
    </row>
    <row r="29" spans="1:17" ht="13.8">
      <c r="A29" s="23" t="s">
        <v>51</v>
      </c>
      <c r="B29" s="68">
        <v>72.930000000000007</v>
      </c>
      <c r="C29" s="68">
        <v>99.9</v>
      </c>
      <c r="D29" s="68" t="s">
        <v>76</v>
      </c>
      <c r="E29" s="68">
        <v>92.3</v>
      </c>
      <c r="F29" s="68">
        <v>106</v>
      </c>
      <c r="G29" s="68">
        <v>66.094999999999999</v>
      </c>
      <c r="H29" s="68" t="s">
        <v>76</v>
      </c>
      <c r="I29" s="68">
        <v>66.333333333333329</v>
      </c>
      <c r="L29" s="161"/>
      <c r="M29" s="161"/>
      <c r="N29" s="161"/>
      <c r="O29" s="161"/>
      <c r="P29" s="166"/>
      <c r="Q29" s="162"/>
    </row>
    <row r="30" spans="1:17" ht="13.8">
      <c r="A30" s="23" t="s">
        <v>52</v>
      </c>
      <c r="B30" s="68">
        <v>70.010000000000005</v>
      </c>
      <c r="C30" s="68">
        <v>96.5</v>
      </c>
      <c r="D30" s="68" t="s">
        <v>76</v>
      </c>
      <c r="E30" s="68">
        <v>81</v>
      </c>
      <c r="F30" s="68">
        <v>108.75</v>
      </c>
      <c r="G30" s="68">
        <v>64.156000000000006</v>
      </c>
      <c r="H30" s="68">
        <v>72.333333333333329</v>
      </c>
      <c r="I30" s="68">
        <v>72</v>
      </c>
      <c r="L30" s="161"/>
      <c r="M30" s="161"/>
      <c r="N30" s="161"/>
      <c r="O30" s="161"/>
      <c r="P30" s="166"/>
      <c r="Q30" s="162"/>
    </row>
    <row r="31" spans="1:17" ht="13.8">
      <c r="A31" s="23" t="s">
        <v>38</v>
      </c>
      <c r="B31" s="68">
        <v>65.930000000000007</v>
      </c>
      <c r="C31" s="68">
        <v>93.625</v>
      </c>
      <c r="D31" s="68" t="s">
        <v>76</v>
      </c>
      <c r="E31" s="68">
        <v>76</v>
      </c>
      <c r="F31" s="68">
        <v>105</v>
      </c>
      <c r="G31" s="68">
        <v>53.184999999999995</v>
      </c>
      <c r="H31" s="68" t="s">
        <v>76</v>
      </c>
      <c r="I31" s="68">
        <v>71.75</v>
      </c>
      <c r="L31" s="161"/>
      <c r="M31" s="161"/>
      <c r="N31" s="161"/>
      <c r="O31" s="161"/>
      <c r="P31" s="166"/>
      <c r="Q31" s="162"/>
    </row>
    <row r="32" spans="1:17" ht="13.8">
      <c r="A32" s="23"/>
      <c r="B32" s="68"/>
      <c r="C32" s="68"/>
      <c r="D32" s="68"/>
      <c r="E32" s="68"/>
      <c r="F32" s="68"/>
      <c r="G32" s="68"/>
      <c r="H32" s="68"/>
      <c r="I32" s="68"/>
    </row>
    <row r="33" spans="1:17" ht="13.8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17" ht="13.8">
      <c r="A34" s="23" t="s">
        <v>39</v>
      </c>
      <c r="B34" s="68">
        <v>70.42</v>
      </c>
      <c r="C34" s="68">
        <v>98.5</v>
      </c>
      <c r="D34" s="68">
        <v>129</v>
      </c>
      <c r="E34" s="68">
        <v>82.3</v>
      </c>
      <c r="F34" s="68">
        <v>101.5</v>
      </c>
      <c r="G34" s="68">
        <v>57.069999999999993</v>
      </c>
      <c r="H34" s="68" t="s">
        <v>76</v>
      </c>
      <c r="I34" s="68" t="s">
        <v>76</v>
      </c>
      <c r="L34" s="163"/>
      <c r="M34" s="161"/>
      <c r="N34" s="161"/>
      <c r="O34" s="164"/>
      <c r="P34" s="166"/>
      <c r="Q34" s="162"/>
    </row>
    <row r="35" spans="1:17" ht="13.8">
      <c r="A35" s="23" t="s">
        <v>40</v>
      </c>
      <c r="B35" s="68">
        <v>66.459999999999994</v>
      </c>
      <c r="C35" s="68">
        <v>96.75</v>
      </c>
      <c r="D35" s="68">
        <v>125</v>
      </c>
      <c r="E35" s="68">
        <v>84.375</v>
      </c>
      <c r="F35" s="68">
        <v>100</v>
      </c>
      <c r="G35" s="68">
        <v>57.918000000000006</v>
      </c>
      <c r="H35" s="68" t="s">
        <v>76</v>
      </c>
      <c r="I35" s="68">
        <v>80.06</v>
      </c>
      <c r="L35" s="161"/>
      <c r="M35" s="161"/>
      <c r="N35" s="161"/>
      <c r="O35" s="161"/>
      <c r="P35" s="162"/>
      <c r="Q35" s="162"/>
    </row>
    <row r="36" spans="1:17" ht="13.8">
      <c r="A36" s="23" t="s">
        <v>42</v>
      </c>
      <c r="B36" s="68">
        <v>63.69</v>
      </c>
      <c r="C36" s="68">
        <v>93.3</v>
      </c>
      <c r="D36" s="68">
        <v>125</v>
      </c>
      <c r="E36" s="68">
        <v>82.95</v>
      </c>
      <c r="F36" s="68">
        <v>100</v>
      </c>
      <c r="G36" s="68">
        <v>56.093333333333334</v>
      </c>
      <c r="H36" s="68" t="s">
        <v>76</v>
      </c>
      <c r="I36" s="68">
        <v>73</v>
      </c>
      <c r="L36" s="161"/>
      <c r="M36" s="161"/>
      <c r="N36" s="161"/>
      <c r="O36" s="161"/>
      <c r="P36" s="162"/>
      <c r="Q36" s="162"/>
    </row>
    <row r="37" spans="1:17" ht="13.8">
      <c r="A37" s="23" t="s">
        <v>43</v>
      </c>
      <c r="B37" s="68">
        <v>65.7</v>
      </c>
      <c r="C37" s="68">
        <v>97.9375</v>
      </c>
      <c r="D37" s="68">
        <v>123.125</v>
      </c>
      <c r="E37" s="68">
        <v>88.5625</v>
      </c>
      <c r="F37" s="68">
        <v>103.125</v>
      </c>
      <c r="G37" s="68">
        <v>54.09</v>
      </c>
      <c r="H37" s="68" t="s">
        <v>76</v>
      </c>
      <c r="I37" s="68">
        <v>76.5</v>
      </c>
    </row>
    <row r="38" spans="1:17" ht="13.8">
      <c r="A38" s="23" t="s">
        <v>44</v>
      </c>
      <c r="B38" s="68">
        <v>70.91</v>
      </c>
      <c r="C38" s="68">
        <v>101.375</v>
      </c>
      <c r="D38" s="68">
        <v>115.33</v>
      </c>
      <c r="E38" s="68">
        <v>85.875</v>
      </c>
      <c r="F38" s="68">
        <v>105</v>
      </c>
      <c r="G38" s="68">
        <v>59.29</v>
      </c>
      <c r="H38" s="68">
        <v>82</v>
      </c>
      <c r="I38" s="68">
        <v>80</v>
      </c>
    </row>
    <row r="39" spans="1:17" ht="13.8">
      <c r="A39" s="17" t="s">
        <v>46</v>
      </c>
      <c r="B39" s="16">
        <v>76.405000000000001</v>
      </c>
      <c r="C39" s="16">
        <v>114.875</v>
      </c>
      <c r="D39" s="16">
        <v>129</v>
      </c>
      <c r="E39" s="16">
        <v>92</v>
      </c>
      <c r="F39" s="16">
        <v>107.5</v>
      </c>
      <c r="G39" s="16">
        <v>67.1875</v>
      </c>
      <c r="H39" s="16" t="s">
        <v>76</v>
      </c>
      <c r="I39" s="16">
        <v>81.5</v>
      </c>
    </row>
    <row r="40" spans="1:17" ht="16.2">
      <c r="A40" s="58" t="s">
        <v>138</v>
      </c>
      <c r="B40" s="83"/>
      <c r="C40" s="83"/>
      <c r="D40" s="83"/>
      <c r="E40" s="83"/>
      <c r="F40" s="83"/>
      <c r="G40" s="83"/>
      <c r="H40" s="83"/>
      <c r="I40" s="83"/>
    </row>
    <row r="41" spans="1:17" ht="16.2">
      <c r="A41" s="19" t="s">
        <v>139</v>
      </c>
      <c r="B41" s="83"/>
      <c r="C41" s="83"/>
      <c r="D41" s="83"/>
      <c r="E41" s="83"/>
      <c r="F41" s="83"/>
      <c r="G41" s="83"/>
      <c r="H41" s="83"/>
      <c r="I41" s="83"/>
    </row>
    <row r="42" spans="1:17" ht="14.4">
      <c r="A42" s="19" t="s">
        <v>140</v>
      </c>
      <c r="B42" s="19"/>
      <c r="C42" s="19"/>
      <c r="D42" s="19"/>
      <c r="E42" s="19"/>
      <c r="F42" s="83"/>
      <c r="G42" s="19"/>
      <c r="H42" s="19"/>
      <c r="I42" s="19"/>
    </row>
    <row r="43" spans="1:17" ht="13.8">
      <c r="A43" s="25" t="s">
        <v>57</v>
      </c>
      <c r="B43" s="50">
        <f ca="1">NOW()</f>
        <v>44662.676440277777</v>
      </c>
      <c r="C43" s="19"/>
      <c r="D43" s="19"/>
      <c r="E43" s="19"/>
      <c r="F43" s="19"/>
      <c r="G43" s="19"/>
      <c r="H43" s="19"/>
      <c r="I43" s="19"/>
    </row>
    <row r="44" spans="1:17" ht="15.6">
      <c r="C44" s="84"/>
      <c r="G44" s="84"/>
      <c r="H44" s="84"/>
      <c r="I44" s="84"/>
    </row>
    <row r="45" spans="1:17" ht="15.6">
      <c r="B45" s="194"/>
      <c r="C45" s="84"/>
      <c r="G45" s="84"/>
      <c r="H45" s="84"/>
      <c r="I45" s="84"/>
    </row>
    <row r="46" spans="1:17" ht="15.6">
      <c r="B46" s="85"/>
      <c r="C46" s="125"/>
      <c r="G46" s="84"/>
      <c r="H46" s="84"/>
      <c r="I46" s="84"/>
    </row>
    <row r="47" spans="1:17" ht="15.6">
      <c r="C47" s="84"/>
      <c r="G47" s="84"/>
      <c r="H47" s="84"/>
      <c r="I47" s="84"/>
    </row>
    <row r="48" spans="1:17" ht="15.6">
      <c r="C48" s="84"/>
      <c r="G48" s="84"/>
      <c r="H48" s="84"/>
      <c r="I48" s="84"/>
    </row>
    <row r="49" spans="3:9" ht="15.6">
      <c r="C49" s="84"/>
      <c r="G49" s="84"/>
      <c r="H49" s="84"/>
      <c r="I49" s="84"/>
    </row>
    <row r="50" spans="3:9" ht="15.6">
      <c r="C50" s="84"/>
      <c r="G50" s="84"/>
      <c r="H50" s="84"/>
      <c r="I50" s="84"/>
    </row>
    <row r="51" spans="3:9" ht="15.6">
      <c r="C51" s="84"/>
      <c r="G51" s="84"/>
      <c r="H51" s="84"/>
      <c r="I51" s="84"/>
    </row>
    <row r="52" spans="3:9" ht="15.6">
      <c r="C52" s="84"/>
      <c r="G52" s="84"/>
      <c r="H52" s="84"/>
      <c r="I52" s="84"/>
    </row>
    <row r="53" spans="3:9" ht="15.6">
      <c r="C53" s="84"/>
      <c r="G53" s="84"/>
      <c r="H53" s="84"/>
      <c r="I53" s="84"/>
    </row>
    <row r="54" spans="3:9" ht="15.6">
      <c r="C54" s="84"/>
      <c r="G54" s="84"/>
      <c r="H54" s="84"/>
      <c r="I54" s="84"/>
    </row>
    <row r="55" spans="3:9" ht="15.6">
      <c r="C55" s="84"/>
      <c r="G55" s="84"/>
      <c r="H55" s="84"/>
      <c r="I55" s="84"/>
    </row>
    <row r="56" spans="3:9" ht="15.6">
      <c r="C56" s="84"/>
      <c r="G56" s="84"/>
      <c r="H56" s="84"/>
      <c r="I56" s="84"/>
    </row>
    <row r="57" spans="3:9" ht="15.6">
      <c r="C57" s="84"/>
      <c r="G57" s="84"/>
      <c r="H57" s="84"/>
      <c r="I57" s="84"/>
    </row>
    <row r="58" spans="3:9" ht="15.6">
      <c r="C58" s="84"/>
      <c r="G58" s="84"/>
      <c r="H58" s="84"/>
      <c r="I58" s="84"/>
    </row>
    <row r="59" spans="3:9" ht="15.6">
      <c r="C59" s="84"/>
      <c r="G59" s="84"/>
      <c r="H59" s="84"/>
      <c r="I59" s="84"/>
    </row>
    <row r="60" spans="3:9" ht="15.6">
      <c r="C60" s="84"/>
      <c r="H60" s="84"/>
      <c r="I60" s="84"/>
    </row>
    <row r="61" spans="3:9" ht="15.6">
      <c r="C61" s="84"/>
      <c r="H61" s="84"/>
      <c r="I61" s="84"/>
    </row>
    <row r="62" spans="3:9" ht="15.6">
      <c r="C62" s="84"/>
      <c r="F62" s="85"/>
      <c r="H62" s="84"/>
      <c r="I62" s="84"/>
    </row>
    <row r="63" spans="3:9" ht="15.6">
      <c r="F63" s="85"/>
      <c r="H63" s="84"/>
      <c r="I63" s="84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5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7" width="13.6640625" style="18" customWidth="1"/>
    <col min="8" max="8" width="10.109375" style="18" bestFit="1" customWidth="1"/>
    <col min="9" max="9" width="9.109375" style="18"/>
    <col min="10" max="10" width="20.33203125" style="18" bestFit="1" customWidth="1"/>
    <col min="11" max="13" width="9.109375" style="18"/>
    <col min="14" max="14" width="8.88671875" style="18" customWidth="1"/>
    <col min="15" max="15" width="18" style="18" bestFit="1" customWidth="1"/>
    <col min="16" max="16384" width="9.109375" style="18"/>
  </cols>
  <sheetData>
    <row r="1" spans="1:31" ht="13.8">
      <c r="A1" s="17" t="s">
        <v>10</v>
      </c>
      <c r="B1" s="17"/>
      <c r="C1" s="17"/>
      <c r="D1" s="17"/>
      <c r="E1" s="17"/>
      <c r="F1" s="17"/>
      <c r="G1" s="17"/>
    </row>
    <row r="2" spans="1:31" ht="15.6" customHeight="1">
      <c r="A2" s="23" t="s">
        <v>97</v>
      </c>
      <c r="B2" s="40" t="s">
        <v>122</v>
      </c>
      <c r="C2" s="86" t="s">
        <v>123</v>
      </c>
      <c r="D2" s="86" t="s">
        <v>206</v>
      </c>
      <c r="E2" s="86" t="s">
        <v>125</v>
      </c>
      <c r="F2" s="40" t="s">
        <v>141</v>
      </c>
      <c r="G2" s="21" t="s">
        <v>142</v>
      </c>
      <c r="AE2" s="87"/>
    </row>
    <row r="3" spans="1:31" ht="15.6" customHeight="1">
      <c r="A3" s="17" t="s">
        <v>104</v>
      </c>
      <c r="B3" s="28" t="s">
        <v>143</v>
      </c>
      <c r="C3" s="28" t="s">
        <v>144</v>
      </c>
      <c r="D3" s="28" t="s">
        <v>145</v>
      </c>
      <c r="E3" s="28" t="s">
        <v>146</v>
      </c>
      <c r="F3" s="28" t="s">
        <v>147</v>
      </c>
      <c r="G3" s="28" t="s">
        <v>148</v>
      </c>
      <c r="AE3" s="87"/>
    </row>
    <row r="4" spans="1:31" ht="14.4">
      <c r="A4" s="19"/>
      <c r="B4" s="79" t="s">
        <v>149</v>
      </c>
      <c r="C4" s="80"/>
      <c r="D4" s="80"/>
      <c r="E4" s="80"/>
      <c r="F4" s="80"/>
      <c r="G4" s="80"/>
      <c r="AE4" s="87"/>
    </row>
    <row r="5" spans="1:31" ht="13.8">
      <c r="A5" s="19"/>
      <c r="B5" s="19"/>
      <c r="C5" s="19"/>
      <c r="D5" s="19"/>
      <c r="E5" s="19"/>
      <c r="F5" s="19"/>
      <c r="G5" s="19"/>
      <c r="AE5" s="87"/>
    </row>
    <row r="6" spans="1:31" ht="13.8">
      <c r="A6" s="19" t="s">
        <v>109</v>
      </c>
      <c r="B6" s="68">
        <v>345.52</v>
      </c>
      <c r="C6" s="68">
        <v>273.83999999999997</v>
      </c>
      <c r="D6" s="68">
        <v>219.72</v>
      </c>
      <c r="E6" s="88" t="s">
        <v>76</v>
      </c>
      <c r="F6" s="68">
        <v>263.63</v>
      </c>
      <c r="G6" s="68">
        <v>240.65</v>
      </c>
      <c r="AE6" s="87"/>
    </row>
    <row r="7" spans="1:31" ht="13.8">
      <c r="A7" s="19" t="s">
        <v>110</v>
      </c>
      <c r="B7" s="68">
        <v>393.53</v>
      </c>
      <c r="C7" s="68">
        <v>275.13</v>
      </c>
      <c r="D7" s="68">
        <v>246.75</v>
      </c>
      <c r="E7" s="88" t="s">
        <v>76</v>
      </c>
      <c r="F7" s="68">
        <v>307.58999999999997</v>
      </c>
      <c r="G7" s="68">
        <v>265.68</v>
      </c>
      <c r="AE7" s="87"/>
    </row>
    <row r="8" spans="1:31" ht="13.8">
      <c r="A8" s="19" t="s">
        <v>111</v>
      </c>
      <c r="B8" s="68">
        <v>468.11</v>
      </c>
      <c r="C8" s="68">
        <v>331.52</v>
      </c>
      <c r="D8" s="68">
        <v>241.57</v>
      </c>
      <c r="E8" s="88" t="s">
        <v>76</v>
      </c>
      <c r="F8" s="68">
        <v>354.22</v>
      </c>
      <c r="G8" s="68">
        <v>329.31</v>
      </c>
      <c r="AE8" s="87"/>
    </row>
    <row r="9" spans="1:31" ht="13.8">
      <c r="A9" s="19" t="s">
        <v>112</v>
      </c>
      <c r="B9" s="68">
        <v>489.94</v>
      </c>
      <c r="C9" s="68">
        <v>377.71</v>
      </c>
      <c r="D9" s="68">
        <v>238.87</v>
      </c>
      <c r="E9" s="88" t="s">
        <v>76</v>
      </c>
      <c r="F9" s="68">
        <v>359.7</v>
      </c>
      <c r="G9" s="68">
        <v>337.23</v>
      </c>
      <c r="AE9" s="87"/>
    </row>
    <row r="10" spans="1:31" ht="13.8">
      <c r="A10" s="19" t="s">
        <v>113</v>
      </c>
      <c r="B10" s="68">
        <v>368.49</v>
      </c>
      <c r="C10" s="68">
        <v>304.27</v>
      </c>
      <c r="D10" s="68">
        <v>209.97</v>
      </c>
      <c r="E10" s="88" t="s">
        <v>76</v>
      </c>
      <c r="F10" s="68">
        <v>301.2</v>
      </c>
      <c r="G10" s="68">
        <v>256.58</v>
      </c>
      <c r="AE10" s="87"/>
    </row>
    <row r="11" spans="1:31" ht="13.8">
      <c r="A11" s="19" t="s">
        <v>114</v>
      </c>
      <c r="B11" s="68">
        <v>324.56</v>
      </c>
      <c r="C11" s="68">
        <v>261.19</v>
      </c>
      <c r="D11" s="68">
        <v>153.16999999999999</v>
      </c>
      <c r="E11" s="88" t="s">
        <v>76</v>
      </c>
      <c r="F11" s="68">
        <v>262.2</v>
      </c>
      <c r="G11" s="68">
        <v>260.23</v>
      </c>
      <c r="AE11" s="87"/>
    </row>
    <row r="12" spans="1:31" ht="13.8">
      <c r="A12" s="19" t="s">
        <v>115</v>
      </c>
      <c r="B12" s="68">
        <v>316.88</v>
      </c>
      <c r="C12" s="68">
        <v>208.61</v>
      </c>
      <c r="D12" s="68">
        <v>145.1</v>
      </c>
      <c r="E12" s="88" t="s">
        <v>76</v>
      </c>
      <c r="F12" s="68">
        <v>267.94</v>
      </c>
      <c r="G12" s="68">
        <v>282.49</v>
      </c>
      <c r="AE12" s="87"/>
    </row>
    <row r="13" spans="1:31" ht="13.8">
      <c r="A13" s="19" t="s">
        <v>116</v>
      </c>
      <c r="B13" s="68">
        <v>345.02</v>
      </c>
      <c r="C13" s="68">
        <v>260.88</v>
      </c>
      <c r="D13" s="68">
        <v>173.53</v>
      </c>
      <c r="E13" s="88" t="s">
        <v>76</v>
      </c>
      <c r="F13" s="68">
        <v>291.14999999999998</v>
      </c>
      <c r="G13" s="68">
        <v>239.15</v>
      </c>
    </row>
    <row r="14" spans="1:31" ht="13.8">
      <c r="A14" s="19" t="s">
        <v>117</v>
      </c>
      <c r="B14" s="68">
        <v>308.27999999999997</v>
      </c>
      <c r="C14" s="68">
        <v>228.64</v>
      </c>
      <c r="D14" s="82">
        <v>164.16</v>
      </c>
      <c r="E14" s="88" t="s">
        <v>76</v>
      </c>
      <c r="F14" s="68">
        <v>272.38</v>
      </c>
      <c r="G14" s="68">
        <v>225.77</v>
      </c>
    </row>
    <row r="15" spans="1:31" ht="13.8">
      <c r="A15" s="19" t="s">
        <v>34</v>
      </c>
      <c r="B15" s="68">
        <v>299.5</v>
      </c>
      <c r="C15" s="68">
        <v>247.04</v>
      </c>
      <c r="D15" s="82">
        <v>187.7</v>
      </c>
      <c r="E15" s="88" t="s">
        <v>76</v>
      </c>
      <c r="F15" s="68">
        <v>273.99</v>
      </c>
      <c r="G15" s="68">
        <v>245.88</v>
      </c>
    </row>
    <row r="16" spans="1:31" ht="16.2">
      <c r="A16" s="19" t="s">
        <v>136</v>
      </c>
      <c r="B16" s="68">
        <v>392.31</v>
      </c>
      <c r="C16" s="68">
        <v>375.51</v>
      </c>
      <c r="D16" s="82">
        <v>246.22</v>
      </c>
      <c r="E16" s="88" t="s">
        <v>76</v>
      </c>
      <c r="F16" s="68">
        <v>351.87</v>
      </c>
      <c r="G16" s="68">
        <v>288.12</v>
      </c>
    </row>
    <row r="17" spans="1:16" ht="16.2">
      <c r="A17" s="19" t="s">
        <v>137</v>
      </c>
      <c r="B17" s="68">
        <v>420</v>
      </c>
      <c r="C17" s="68">
        <v>320</v>
      </c>
      <c r="D17" s="82">
        <v>285</v>
      </c>
      <c r="E17" s="88" t="s">
        <v>76</v>
      </c>
      <c r="F17" s="68">
        <v>380</v>
      </c>
      <c r="G17" s="68">
        <v>320</v>
      </c>
    </row>
    <row r="18" spans="1:16" ht="13.8">
      <c r="A18" s="23"/>
      <c r="B18" s="68"/>
      <c r="C18" s="68"/>
      <c r="D18" s="68"/>
      <c r="E18" s="88"/>
      <c r="F18" s="68"/>
      <c r="G18" s="68"/>
      <c r="I18" s="89"/>
      <c r="J18" s="91"/>
      <c r="K18" s="91"/>
      <c r="L18" s="89"/>
      <c r="M18" s="91"/>
      <c r="N18" s="91"/>
      <c r="O18" s="91"/>
      <c r="P18" s="91"/>
    </row>
    <row r="19" spans="1:16" ht="13.8">
      <c r="A19" s="41" t="s">
        <v>37</v>
      </c>
      <c r="B19" s="159"/>
      <c r="C19" s="159"/>
      <c r="D19" s="159"/>
      <c r="E19" s="159"/>
      <c r="F19" s="159"/>
      <c r="G19" s="159"/>
      <c r="I19" s="90"/>
      <c r="J19" s="91"/>
      <c r="K19" s="91"/>
      <c r="L19" s="89"/>
      <c r="M19" s="89"/>
      <c r="P19" s="91"/>
    </row>
    <row r="20" spans="1:16" ht="13.8">
      <c r="A20" s="19" t="s">
        <v>39</v>
      </c>
      <c r="B20" s="68">
        <v>367.11</v>
      </c>
      <c r="C20" s="68">
        <v>301.88</v>
      </c>
      <c r="D20" s="68">
        <v>211.25</v>
      </c>
      <c r="E20" s="88" t="s">
        <v>76</v>
      </c>
      <c r="F20" s="68">
        <v>327.24</v>
      </c>
      <c r="G20" s="68">
        <v>239.375</v>
      </c>
      <c r="H20" s="92"/>
      <c r="I20" s="89"/>
      <c r="J20" s="91"/>
      <c r="K20" s="91"/>
      <c r="L20" s="89"/>
      <c r="M20" s="89"/>
      <c r="P20" s="91"/>
    </row>
    <row r="21" spans="1:16" ht="13.8">
      <c r="A21" s="19" t="s">
        <v>40</v>
      </c>
      <c r="B21" s="68">
        <v>387.83</v>
      </c>
      <c r="C21" s="68">
        <v>365.63</v>
      </c>
      <c r="D21" s="68">
        <v>216.25</v>
      </c>
      <c r="E21" s="88" t="s">
        <v>76</v>
      </c>
      <c r="F21" s="68">
        <v>333.89</v>
      </c>
      <c r="G21" s="68">
        <v>253.75</v>
      </c>
      <c r="H21" s="92"/>
      <c r="I21" s="89"/>
      <c r="J21" s="19"/>
      <c r="K21" s="91"/>
      <c r="L21" s="89"/>
      <c r="M21" s="89"/>
    </row>
    <row r="22" spans="1:16" ht="13.8">
      <c r="A22" s="19" t="s">
        <v>42</v>
      </c>
      <c r="B22" s="68">
        <v>396.68</v>
      </c>
      <c r="C22" s="68">
        <v>435.83</v>
      </c>
      <c r="D22" s="68">
        <v>252.5</v>
      </c>
      <c r="E22" s="88" t="s">
        <v>76</v>
      </c>
      <c r="F22" s="68">
        <v>338.55</v>
      </c>
      <c r="G22" s="68">
        <v>275</v>
      </c>
      <c r="H22" s="92"/>
      <c r="I22" s="89"/>
      <c r="J22" s="19"/>
      <c r="K22" s="91"/>
      <c r="L22" s="89"/>
    </row>
    <row r="23" spans="1:16" ht="13.8">
      <c r="A23" s="23" t="s">
        <v>43</v>
      </c>
      <c r="B23" s="68">
        <v>439.24</v>
      </c>
      <c r="C23" s="68">
        <v>443.75</v>
      </c>
      <c r="D23" s="68">
        <v>280.63</v>
      </c>
      <c r="E23" s="88" t="s">
        <v>76</v>
      </c>
      <c r="F23" s="68">
        <v>387.53</v>
      </c>
      <c r="G23" s="68">
        <v>313.125</v>
      </c>
      <c r="I23" s="89"/>
      <c r="J23" s="91"/>
      <c r="K23" s="91"/>
      <c r="L23" s="91"/>
      <c r="M23" s="91"/>
      <c r="N23" s="91"/>
    </row>
    <row r="24" spans="1:16" ht="14.4">
      <c r="A24" s="23" t="s">
        <v>44</v>
      </c>
      <c r="B24" s="68">
        <v>427.28</v>
      </c>
      <c r="C24" s="68">
        <v>460</v>
      </c>
      <c r="D24" s="68">
        <v>291.88</v>
      </c>
      <c r="E24" s="88" t="s">
        <v>76</v>
      </c>
      <c r="F24" s="68">
        <v>376.07499999999999</v>
      </c>
      <c r="G24" s="68">
        <v>296.25</v>
      </c>
      <c r="I24" s="89"/>
      <c r="J24" s="93"/>
      <c r="K24" s="91"/>
      <c r="L24" s="89"/>
      <c r="M24" s="89"/>
      <c r="O24" s="91"/>
    </row>
    <row r="25" spans="1:16" ht="13.8">
      <c r="A25" s="23" t="s">
        <v>46</v>
      </c>
      <c r="B25" s="68">
        <v>410.02</v>
      </c>
      <c r="C25" s="68">
        <v>456</v>
      </c>
      <c r="D25" s="68">
        <v>279.5</v>
      </c>
      <c r="E25" s="88" t="s">
        <v>76</v>
      </c>
      <c r="F25" s="68">
        <v>365.14</v>
      </c>
      <c r="G25" s="68">
        <v>322</v>
      </c>
      <c r="I25" s="89"/>
      <c r="J25" s="23"/>
      <c r="K25" s="89"/>
      <c r="L25" s="89"/>
      <c r="M25" s="89"/>
      <c r="O25" s="91"/>
    </row>
    <row r="26" spans="1:16" ht="13.8">
      <c r="A26" s="23" t="s">
        <v>47</v>
      </c>
      <c r="B26" s="68">
        <v>413.36</v>
      </c>
      <c r="C26" s="68">
        <v>415</v>
      </c>
      <c r="D26" s="68">
        <v>258.125</v>
      </c>
      <c r="E26" s="88" t="s">
        <v>76</v>
      </c>
      <c r="F26" s="68">
        <v>377.57499999999999</v>
      </c>
      <c r="G26" s="68">
        <v>318.75</v>
      </c>
      <c r="I26" s="41"/>
      <c r="J26" s="23"/>
      <c r="K26" s="89"/>
      <c r="L26" s="89"/>
      <c r="M26" s="89"/>
      <c r="O26" s="91"/>
    </row>
    <row r="27" spans="1:16" ht="13.8">
      <c r="A27" s="23" t="s">
        <v>48</v>
      </c>
      <c r="B27" s="68">
        <v>421.03</v>
      </c>
      <c r="C27" s="68">
        <v>360.625</v>
      </c>
      <c r="D27" s="68">
        <v>265</v>
      </c>
      <c r="E27" s="88" t="s">
        <v>76</v>
      </c>
      <c r="F27" s="68">
        <v>391.45</v>
      </c>
      <c r="G27" s="68">
        <v>335.63</v>
      </c>
      <c r="I27" s="19"/>
      <c r="J27" s="23"/>
      <c r="K27" s="89"/>
      <c r="L27" s="89"/>
      <c r="M27" s="89"/>
      <c r="O27" s="91"/>
    </row>
    <row r="28" spans="1:16" ht="13.8">
      <c r="A28" s="23" t="s">
        <v>50</v>
      </c>
      <c r="B28" s="68">
        <v>378.18</v>
      </c>
      <c r="C28" s="68">
        <v>337.5</v>
      </c>
      <c r="D28" s="68">
        <v>252.5</v>
      </c>
      <c r="E28" s="88" t="s">
        <v>76</v>
      </c>
      <c r="F28" s="68">
        <v>345.9</v>
      </c>
      <c r="G28" s="68">
        <v>293.5</v>
      </c>
      <c r="I28" s="19"/>
      <c r="J28" s="23"/>
      <c r="K28" s="89"/>
      <c r="L28" s="89"/>
      <c r="M28" s="89"/>
      <c r="O28" s="91"/>
    </row>
    <row r="29" spans="1:16" ht="13.8">
      <c r="A29" s="23" t="s">
        <v>51</v>
      </c>
      <c r="B29" s="68">
        <v>365.23</v>
      </c>
      <c r="C29" s="68">
        <v>321.875</v>
      </c>
      <c r="D29" s="68">
        <v>206.25</v>
      </c>
      <c r="E29" s="88" t="s">
        <v>76</v>
      </c>
      <c r="F29" s="68">
        <v>326.67499999999995</v>
      </c>
      <c r="G29" s="68">
        <v>262.5</v>
      </c>
      <c r="I29" s="19"/>
      <c r="J29" s="23"/>
      <c r="K29" s="89"/>
      <c r="L29" s="89"/>
      <c r="M29" s="89"/>
      <c r="O29" s="91"/>
    </row>
    <row r="30" spans="1:16" ht="13.8">
      <c r="A30" s="23" t="s">
        <v>52</v>
      </c>
      <c r="B30" s="68">
        <v>358.21</v>
      </c>
      <c r="C30" s="68">
        <v>303</v>
      </c>
      <c r="D30" s="68">
        <v>219.5</v>
      </c>
      <c r="E30" s="88" t="s">
        <v>76</v>
      </c>
      <c r="F30" s="68">
        <v>329.45</v>
      </c>
      <c r="G30" s="68">
        <v>287.5</v>
      </c>
      <c r="I30" s="19"/>
      <c r="J30" s="23"/>
      <c r="K30" s="89"/>
      <c r="L30" s="89"/>
      <c r="M30" s="89"/>
      <c r="O30" s="91"/>
    </row>
    <row r="31" spans="1:16" ht="13.8">
      <c r="A31" s="23" t="s">
        <v>38</v>
      </c>
      <c r="B31" s="68">
        <v>343.55</v>
      </c>
      <c r="C31" s="68">
        <v>305</v>
      </c>
      <c r="D31" s="68">
        <v>221.25</v>
      </c>
      <c r="E31" s="88" t="s">
        <v>76</v>
      </c>
      <c r="F31" s="68">
        <v>322.96249999999998</v>
      </c>
      <c r="G31" s="68">
        <v>260</v>
      </c>
      <c r="I31" s="19"/>
      <c r="J31" s="23"/>
      <c r="K31" s="89"/>
      <c r="L31" s="89"/>
      <c r="M31" s="89"/>
      <c r="O31" s="91"/>
    </row>
    <row r="32" spans="1:16" ht="13.8">
      <c r="A32" s="23"/>
      <c r="B32" s="68"/>
      <c r="C32" s="68"/>
      <c r="D32" s="68"/>
      <c r="E32" s="68"/>
      <c r="F32" s="68"/>
      <c r="G32" s="68"/>
      <c r="H32" s="68"/>
      <c r="I32" s="68"/>
    </row>
    <row r="33" spans="1:13" ht="13.8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13" ht="13.8">
      <c r="A34" s="23" t="s">
        <v>39</v>
      </c>
      <c r="B34" s="68">
        <v>325.43</v>
      </c>
      <c r="C34" s="68">
        <v>298.75</v>
      </c>
      <c r="D34" s="68">
        <v>222.5</v>
      </c>
      <c r="E34" s="88" t="s">
        <v>76</v>
      </c>
      <c r="F34" s="68">
        <v>322.82499999999999</v>
      </c>
      <c r="G34" s="68">
        <v>265.625</v>
      </c>
      <c r="H34" s="68"/>
      <c r="I34" s="68"/>
    </row>
    <row r="35" spans="1:13" ht="13.8">
      <c r="A35" s="23" t="s">
        <v>40</v>
      </c>
      <c r="B35" s="68">
        <v>358.73</v>
      </c>
      <c r="C35" s="68">
        <v>304.5</v>
      </c>
      <c r="D35" s="68">
        <v>256.5</v>
      </c>
      <c r="E35" s="88" t="s">
        <v>76</v>
      </c>
      <c r="F35" s="68">
        <v>350.21999999999997</v>
      </c>
      <c r="G35" s="68">
        <v>252</v>
      </c>
      <c r="H35" s="68"/>
      <c r="I35" s="68"/>
    </row>
    <row r="36" spans="1:13" ht="13.8">
      <c r="A36" s="23" t="s">
        <v>42</v>
      </c>
      <c r="B36" s="68">
        <v>399.53</v>
      </c>
      <c r="C36" s="68">
        <v>311.25</v>
      </c>
      <c r="D36" s="68">
        <v>289.16666666666669</v>
      </c>
      <c r="E36" s="88" t="s">
        <v>76</v>
      </c>
      <c r="F36" s="68">
        <v>382.9666666666667</v>
      </c>
      <c r="G36" s="68">
        <v>309.16666666666669</v>
      </c>
      <c r="H36" s="68"/>
      <c r="I36" s="68"/>
    </row>
    <row r="37" spans="1:13" ht="13.8">
      <c r="A37" s="23" t="s">
        <v>150</v>
      </c>
      <c r="B37" s="68">
        <v>421.21</v>
      </c>
      <c r="C37" s="68">
        <v>318.125</v>
      </c>
      <c r="D37" s="68">
        <v>301.25</v>
      </c>
      <c r="E37" s="88" t="s">
        <v>76</v>
      </c>
      <c r="F37" s="68">
        <v>410.875</v>
      </c>
      <c r="G37" s="68">
        <v>326.25</v>
      </c>
      <c r="H37" s="68"/>
      <c r="I37" s="68"/>
    </row>
    <row r="38" spans="1:13" ht="13.8">
      <c r="A38" s="23" t="s">
        <v>44</v>
      </c>
      <c r="B38" s="158">
        <v>460.45</v>
      </c>
      <c r="C38" s="68">
        <v>333.75</v>
      </c>
      <c r="D38" s="68">
        <v>320</v>
      </c>
      <c r="E38" s="88" t="s">
        <v>76</v>
      </c>
      <c r="F38" s="68">
        <v>454.625</v>
      </c>
      <c r="G38" s="68">
        <v>350</v>
      </c>
      <c r="H38" s="68"/>
      <c r="I38" s="68"/>
    </row>
    <row r="39" spans="1:13" ht="13.8">
      <c r="A39" s="17" t="s">
        <v>46</v>
      </c>
      <c r="B39" s="157">
        <v>493.97500000000002</v>
      </c>
      <c r="C39" s="16">
        <v>345.625</v>
      </c>
      <c r="D39" s="16">
        <v>333.33300000000003</v>
      </c>
      <c r="E39" s="130" t="s">
        <v>76</v>
      </c>
      <c r="F39" s="16">
        <v>487.03750000000002</v>
      </c>
      <c r="G39" s="16">
        <v>392.5</v>
      </c>
      <c r="H39" s="68"/>
      <c r="I39" s="68"/>
    </row>
    <row r="40" spans="1:13" ht="16.2">
      <c r="A40" s="58" t="s">
        <v>151</v>
      </c>
      <c r="B40" s="94"/>
      <c r="C40" s="94"/>
      <c r="D40" s="94"/>
      <c r="E40" s="94"/>
      <c r="F40" s="94"/>
      <c r="G40" s="94"/>
      <c r="I40" s="19"/>
      <c r="J40" s="89"/>
      <c r="K40" s="89"/>
      <c r="L40" s="89"/>
    </row>
    <row r="41" spans="1:13" ht="16.2">
      <c r="A41" s="58" t="s">
        <v>152</v>
      </c>
      <c r="B41" s="95"/>
      <c r="C41" s="95"/>
      <c r="D41" s="95"/>
      <c r="E41" s="95"/>
      <c r="F41" s="95"/>
      <c r="G41" s="95"/>
      <c r="I41" s="19"/>
      <c r="J41" s="68"/>
      <c r="K41" s="89"/>
      <c r="L41" s="89"/>
      <c r="M41" s="89"/>
    </row>
    <row r="42" spans="1:13" ht="13.8">
      <c r="A42" s="19"/>
      <c r="B42" s="95"/>
      <c r="C42" s="95"/>
      <c r="D42" s="95"/>
      <c r="E42" s="95"/>
      <c r="F42" s="95"/>
      <c r="G42" s="95"/>
      <c r="H42" s="59"/>
      <c r="I42" s="23"/>
      <c r="J42" s="68"/>
      <c r="K42" s="89"/>
      <c r="L42" s="89"/>
      <c r="M42" s="89"/>
    </row>
    <row r="43" spans="1:13" ht="14.4">
      <c r="A43" s="19" t="s">
        <v>153</v>
      </c>
      <c r="B43" s="19"/>
      <c r="C43" s="19"/>
      <c r="D43" s="19"/>
      <c r="E43" s="19"/>
      <c r="F43" s="95"/>
      <c r="G43" s="95"/>
      <c r="I43" s="23"/>
      <c r="J43" s="68"/>
      <c r="K43" s="89"/>
      <c r="L43" s="89"/>
      <c r="M43" s="89"/>
    </row>
    <row r="44" spans="1:13" ht="13.8">
      <c r="A44" s="25" t="s">
        <v>57</v>
      </c>
      <c r="B44" s="50">
        <f ca="1">NOW()</f>
        <v>44662.676440277777</v>
      </c>
      <c r="C44" s="19"/>
      <c r="D44" s="19"/>
      <c r="E44" s="19"/>
      <c r="F44" s="95"/>
      <c r="G44" s="95"/>
      <c r="I44" s="23"/>
      <c r="J44" s="68"/>
      <c r="K44" s="96"/>
      <c r="L44" s="96"/>
      <c r="M44" s="96"/>
    </row>
    <row r="45" spans="1:13" ht="13.8">
      <c r="F45" s="95"/>
      <c r="G45" s="95"/>
      <c r="I45" s="23"/>
      <c r="J45" s="68"/>
      <c r="K45" s="96"/>
      <c r="L45" s="96"/>
      <c r="M45" s="96"/>
    </row>
    <row r="46" spans="1:13" ht="13.8">
      <c r="F46" s="95"/>
      <c r="G46" s="95"/>
      <c r="I46" s="23"/>
      <c r="J46" s="68"/>
      <c r="K46" s="89"/>
      <c r="L46" s="89"/>
      <c r="M46" s="89"/>
    </row>
    <row r="47" spans="1:13">
      <c r="I47" s="97"/>
      <c r="J47" s="97"/>
      <c r="K47" s="89"/>
      <c r="L47" s="89"/>
      <c r="M47" s="89"/>
    </row>
    <row r="48" spans="1:13">
      <c r="I48" s="98"/>
      <c r="J48" s="98"/>
      <c r="K48" s="89"/>
      <c r="L48" s="89"/>
      <c r="M48" s="89"/>
    </row>
    <row r="49" spans="9:13">
      <c r="I49" s="98"/>
      <c r="J49" s="98"/>
      <c r="K49" s="89"/>
      <c r="L49" s="89"/>
      <c r="M49" s="89"/>
    </row>
    <row r="50" spans="9:13">
      <c r="I50" s="98"/>
      <c r="J50" s="98"/>
      <c r="K50" s="89"/>
      <c r="L50" s="89"/>
      <c r="M50" s="89"/>
    </row>
    <row r="51" spans="9:13">
      <c r="I51" s="98"/>
      <c r="J51" s="98"/>
      <c r="K51" s="89"/>
      <c r="L51" s="89"/>
      <c r="M51" s="89"/>
    </row>
    <row r="53" spans="9:13">
      <c r="I53" s="99"/>
      <c r="J53" s="99"/>
      <c r="K53" s="99"/>
      <c r="L53" s="99"/>
      <c r="M53" s="99"/>
    </row>
    <row r="54" spans="9:13">
      <c r="I54" s="99"/>
      <c r="J54" s="99"/>
      <c r="K54" s="99"/>
      <c r="L54" s="99"/>
      <c r="M54" s="99"/>
    </row>
    <row r="55" spans="9:13">
      <c r="J55" s="99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4095-F869-4BC8-8417-EF256C17CDEA}">
  <dimension ref="A1:B32"/>
  <sheetViews>
    <sheetView zoomScale="80" zoomScaleNormal="80" workbookViewId="0"/>
  </sheetViews>
  <sheetFormatPr defaultColWidth="8.88671875" defaultRowHeight="13.2"/>
  <cols>
    <col min="1" max="1" width="11.6640625" style="150" bestFit="1" customWidth="1"/>
    <col min="2" max="2" width="10.77734375" style="150" customWidth="1"/>
    <col min="3" max="16384" width="8.88671875" style="150"/>
  </cols>
  <sheetData>
    <row r="1" spans="1:2" ht="26.4">
      <c r="A1" s="149" t="s">
        <v>154</v>
      </c>
      <c r="B1" s="149" t="s">
        <v>155</v>
      </c>
    </row>
    <row r="2" spans="1:2">
      <c r="A2" s="152" t="s">
        <v>110</v>
      </c>
      <c r="B2" s="153">
        <v>169.37</v>
      </c>
    </row>
    <row r="3" spans="1:2">
      <c r="A3" s="152" t="s">
        <v>111</v>
      </c>
      <c r="B3" s="153">
        <v>140.55699999999999</v>
      </c>
    </row>
    <row r="4" spans="1:2">
      <c r="A4" s="152" t="s">
        <v>112</v>
      </c>
      <c r="B4" s="153">
        <v>91.991</v>
      </c>
    </row>
    <row r="5" spans="1:2">
      <c r="A5" s="152" t="s">
        <v>113</v>
      </c>
      <c r="B5" s="153">
        <v>190.61</v>
      </c>
    </row>
    <row r="6" spans="1:2">
      <c r="A6" s="152" t="s">
        <v>114</v>
      </c>
      <c r="B6" s="153">
        <v>196.72900000000001</v>
      </c>
    </row>
    <row r="7" spans="1:2">
      <c r="A7" s="152" t="s">
        <v>115</v>
      </c>
      <c r="B7" s="153">
        <v>301.59500000000003</v>
      </c>
    </row>
    <row r="8" spans="1:2">
      <c r="A8" s="152" t="s">
        <v>116</v>
      </c>
      <c r="B8" s="153">
        <v>438.10500000000002</v>
      </c>
    </row>
    <row r="9" spans="1:2">
      <c r="A9" s="152" t="s">
        <v>117</v>
      </c>
      <c r="B9" s="153">
        <v>909.05200000000002</v>
      </c>
    </row>
    <row r="10" spans="1:2">
      <c r="A10" s="152" t="s">
        <v>34</v>
      </c>
      <c r="B10" s="153">
        <v>524.54100000000005</v>
      </c>
    </row>
    <row r="11" spans="1:2">
      <c r="A11" s="152" t="s">
        <v>37</v>
      </c>
      <c r="B11" s="153">
        <v>256.97899999999998</v>
      </c>
    </row>
    <row r="12" spans="1:2">
      <c r="A12" s="152" t="s">
        <v>156</v>
      </c>
      <c r="B12" s="153">
        <v>259.93186541782325</v>
      </c>
    </row>
    <row r="13" spans="1:2" ht="16.2">
      <c r="A13" s="58"/>
      <c r="B13" s="151"/>
    </row>
    <row r="14" spans="1:2">
      <c r="B14" s="151"/>
    </row>
    <row r="15" spans="1:2">
      <c r="B15" s="151"/>
    </row>
    <row r="16" spans="1:2">
      <c r="B16" s="151"/>
    </row>
    <row r="17" spans="2:2">
      <c r="B17" s="151"/>
    </row>
    <row r="18" spans="2:2">
      <c r="B18" s="151"/>
    </row>
    <row r="19" spans="2:2">
      <c r="B19" s="151"/>
    </row>
    <row r="20" spans="2:2">
      <c r="B20" s="151"/>
    </row>
    <row r="21" spans="2:2">
      <c r="B21" s="151"/>
    </row>
    <row r="22" spans="2:2">
      <c r="B22" s="151"/>
    </row>
    <row r="23" spans="2:2">
      <c r="B23" s="151"/>
    </row>
    <row r="24" spans="2:2">
      <c r="B24" s="151"/>
    </row>
    <row r="25" spans="2:2">
      <c r="B25" s="151"/>
    </row>
    <row r="26" spans="2:2">
      <c r="B26" s="151"/>
    </row>
    <row r="27" spans="2:2">
      <c r="B27" s="151"/>
    </row>
    <row r="28" spans="2:2">
      <c r="B28" s="151"/>
    </row>
    <row r="29" spans="2:2">
      <c r="B29" s="151"/>
    </row>
    <row r="30" spans="2:2">
      <c r="B30" s="151"/>
    </row>
    <row r="31" spans="2:2">
      <c r="B31" s="151"/>
    </row>
    <row r="32" spans="2:2">
      <c r="B32" s="151"/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1sa</vt:lpstr>
      <vt:lpstr>Figure 2sa</vt:lpstr>
      <vt:lpstr>Figure 3sa</vt:lpstr>
      <vt:lpstr>Figure 4sa</vt:lpstr>
      <vt:lpstr>Figure 5sa</vt:lpstr>
      <vt:lpstr>Figure 6sa</vt:lpstr>
      <vt:lpstr>Figure 7sa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REE-ERS, Kansas City, MO</cp:lastModifiedBy>
  <cp:revision/>
  <dcterms:created xsi:type="dcterms:W3CDTF">2001-11-13T16:22:15Z</dcterms:created>
  <dcterms:modified xsi:type="dcterms:W3CDTF">2022-04-11T21:14:13Z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