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M:\CROPS\Oil Crops\Oil Crops Outlook Files MASH\Outlook reports\November 2021\"/>
    </mc:Choice>
  </mc:AlternateContent>
  <xr:revisionPtr revIDLastSave="0" documentId="13_ncr:1_{E522C82F-6C1F-4478-8FF4-E7D1FA1E9BED}" xr6:coauthVersionLast="46" xr6:coauthVersionMax="46" xr10:uidLastSave="{00000000-0000-0000-0000-000000000000}"/>
  <bookViews>
    <workbookView xWindow="-120" yWindow="-120" windowWidth="20730" windowHeight="11160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42" r:id="rId9"/>
    <sheet name="Figure 1" sheetId="43" r:id="rId10"/>
    <sheet name="Figure 2" sheetId="38" r:id="rId11"/>
    <sheet name="Figure 3" sheetId="44" r:id="rId12"/>
    <sheet name="Figure 4" sheetId="46" r:id="rId13"/>
  </sheets>
  <definedNames>
    <definedName name="_xlnm.Print_Area" localSheetId="1">'Table 1'!$A$1:$N$34</definedName>
    <definedName name="_xlnm.Print_Area" localSheetId="7">'Table 10'!$A$1:$G$37</definedName>
    <definedName name="_xlnm.Print_Area" localSheetId="2">'Table 2'!$A$1:$J$40</definedName>
    <definedName name="_xlnm.Print_Area" localSheetId="3">'Table 3'!$A$1:$L$53</definedName>
    <definedName name="_xlnm.Print_Area" localSheetId="5">'Table 8'!$A$1:$G$35</definedName>
    <definedName name="_xlnm.Print_Area" localSheetId="6">'Table 9'!$A$1:$I$37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3" l="1"/>
  <c r="B20" i="3"/>
  <c r="D35" i="9" l="1"/>
  <c r="D32" i="9"/>
  <c r="D31" i="9"/>
  <c r="D30" i="9"/>
  <c r="D29" i="9"/>
  <c r="D28" i="9"/>
  <c r="D27" i="9"/>
  <c r="D26" i="9"/>
  <c r="D21" i="9"/>
  <c r="D18" i="9"/>
  <c r="D17" i="9"/>
  <c r="D16" i="9"/>
  <c r="D14" i="9"/>
  <c r="D13" i="9"/>
  <c r="D12" i="9"/>
  <c r="D11" i="9"/>
  <c r="K37" i="9"/>
  <c r="J37" i="9"/>
  <c r="E37" i="9"/>
  <c r="D37" i="9"/>
  <c r="I37" i="2"/>
  <c r="H37" i="2"/>
  <c r="E37" i="2"/>
  <c r="D37" i="2"/>
  <c r="L31" i="1"/>
  <c r="G31" i="1"/>
  <c r="G37" i="9" l="1"/>
  <c r="G37" i="2"/>
  <c r="J31" i="1"/>
  <c r="E31" i="1"/>
  <c r="I36" i="9" l="1"/>
  <c r="J7" i="9"/>
  <c r="L7" i="9"/>
  <c r="J38" i="9"/>
  <c r="H38" i="9"/>
  <c r="D38" i="9"/>
  <c r="D7" i="9" s="1"/>
  <c r="C38" i="9"/>
  <c r="C7" i="9" s="1"/>
  <c r="B37" i="9"/>
  <c r="I7" i="2"/>
  <c r="H7" i="2"/>
  <c r="J7" i="2"/>
  <c r="J6" i="2"/>
  <c r="H6" i="1"/>
  <c r="M6" i="1" s="1"/>
  <c r="K6" i="1" s="1"/>
  <c r="N7" i="1"/>
  <c r="I38" i="2"/>
  <c r="H38" i="2"/>
  <c r="G38" i="2"/>
  <c r="G7" i="2" s="1"/>
  <c r="D38" i="2"/>
  <c r="D7" i="2" s="1"/>
  <c r="C38" i="2"/>
  <c r="C7" i="2" s="1"/>
  <c r="B37" i="2"/>
  <c r="D6" i="1"/>
  <c r="J36" i="9"/>
  <c r="D36" i="9"/>
  <c r="H36" i="2"/>
  <c r="D36" i="2"/>
  <c r="L26" i="1"/>
  <c r="G26" i="1"/>
  <c r="E36" i="2" l="1"/>
  <c r="I36" i="2" s="1"/>
  <c r="G36" i="2" s="1"/>
  <c r="E36" i="9"/>
  <c r="K36" i="9" s="1"/>
  <c r="J26" i="1"/>
  <c r="J25" i="1"/>
  <c r="G36" i="9" l="1"/>
  <c r="B36" i="9"/>
  <c r="B36" i="2"/>
  <c r="E27" i="1"/>
  <c r="I31" i="3"/>
  <c r="G31" i="3"/>
  <c r="E31" i="3"/>
  <c r="J6" i="3"/>
  <c r="I19" i="3"/>
  <c r="H44" i="3"/>
  <c r="D44" i="3"/>
  <c r="J35" i="9" l="1"/>
  <c r="E35" i="9"/>
  <c r="K35" i="9" s="1"/>
  <c r="B35" i="9"/>
  <c r="H35" i="2"/>
  <c r="E35" i="2"/>
  <c r="I35" i="2" s="1"/>
  <c r="D35" i="2"/>
  <c r="B35" i="2"/>
  <c r="L25" i="1"/>
  <c r="G25" i="1"/>
  <c r="G35" i="9" l="1"/>
  <c r="G38" i="9" s="1"/>
  <c r="G35" i="2"/>
  <c r="L6" i="9"/>
  <c r="I35" i="9" l="1"/>
  <c r="I38" i="9" s="1"/>
  <c r="D46" i="3"/>
  <c r="B8" i="9"/>
  <c r="B7" i="9"/>
  <c r="D8" i="1"/>
  <c r="J34" i="9"/>
  <c r="E34" i="9"/>
  <c r="K34" i="9" s="1"/>
  <c r="D34" i="9"/>
  <c r="I34" i="2"/>
  <c r="H34" i="2"/>
  <c r="G34" i="2"/>
  <c r="E34" i="2"/>
  <c r="D34" i="2"/>
  <c r="L24" i="1"/>
  <c r="L27" i="1" s="1"/>
  <c r="G24" i="1"/>
  <c r="G27" i="1" s="1"/>
  <c r="H27" i="1" s="1"/>
  <c r="M27" i="1" s="1"/>
  <c r="B34" i="9"/>
  <c r="B34" i="2"/>
  <c r="J24" i="1"/>
  <c r="J27" i="1" s="1"/>
  <c r="K27" i="1" l="1"/>
  <c r="G34" i="9"/>
  <c r="L44" i="3"/>
  <c r="J33" i="9"/>
  <c r="J32" i="9"/>
  <c r="J31" i="9"/>
  <c r="J30" i="9"/>
  <c r="J29" i="9"/>
  <c r="J28" i="9"/>
  <c r="J27" i="9"/>
  <c r="J26" i="9"/>
  <c r="D33" i="9"/>
  <c r="J22" i="9"/>
  <c r="J21" i="9"/>
  <c r="J20" i="9"/>
  <c r="J19" i="9"/>
  <c r="J18" i="9"/>
  <c r="J17" i="9"/>
  <c r="J16" i="9"/>
  <c r="J15" i="9"/>
  <c r="J14" i="9"/>
  <c r="J13" i="9"/>
  <c r="J12" i="9"/>
  <c r="J11" i="9"/>
  <c r="D22" i="9"/>
  <c r="D20" i="9"/>
  <c r="D19" i="9"/>
  <c r="D15" i="9"/>
  <c r="I34" i="9" l="1"/>
  <c r="H33" i="2"/>
  <c r="H32" i="2"/>
  <c r="H31" i="2"/>
  <c r="H30" i="2"/>
  <c r="H29" i="2"/>
  <c r="H28" i="2"/>
  <c r="H27" i="2"/>
  <c r="H26" i="2"/>
  <c r="D33" i="2"/>
  <c r="D32" i="2"/>
  <c r="D31" i="2"/>
  <c r="D30" i="2"/>
  <c r="D29" i="2"/>
  <c r="D28" i="2"/>
  <c r="D27" i="2"/>
  <c r="D26" i="2"/>
  <c r="H22" i="2"/>
  <c r="H21" i="2"/>
  <c r="H20" i="2"/>
  <c r="H19" i="2"/>
  <c r="H18" i="2"/>
  <c r="H17" i="2"/>
  <c r="H16" i="2"/>
  <c r="H15" i="2"/>
  <c r="H14" i="2"/>
  <c r="H13" i="2"/>
  <c r="H12" i="2"/>
  <c r="H11" i="2"/>
  <c r="D22" i="2"/>
  <c r="D21" i="2"/>
  <c r="D20" i="2"/>
  <c r="D19" i="2"/>
  <c r="D18" i="2"/>
  <c r="D17" i="2"/>
  <c r="D16" i="2"/>
  <c r="D15" i="2"/>
  <c r="D14" i="2"/>
  <c r="D13" i="2"/>
  <c r="D12" i="2"/>
  <c r="D11" i="2"/>
  <c r="L22" i="1" l="1"/>
  <c r="L21" i="1"/>
  <c r="L20" i="1"/>
  <c r="L18" i="1"/>
  <c r="L17" i="1"/>
  <c r="L16" i="1"/>
  <c r="L14" i="1"/>
  <c r="L13" i="1"/>
  <c r="L12" i="1"/>
  <c r="G22" i="1"/>
  <c r="G21" i="1"/>
  <c r="G20" i="1"/>
  <c r="G18" i="1"/>
  <c r="G17" i="1"/>
  <c r="G16" i="1"/>
  <c r="G14" i="1"/>
  <c r="G13" i="1"/>
  <c r="G12" i="1"/>
  <c r="J22" i="1"/>
  <c r="J21" i="1"/>
  <c r="J20" i="1"/>
  <c r="J18" i="1"/>
  <c r="J17" i="1"/>
  <c r="J16" i="1"/>
  <c r="J14" i="1"/>
  <c r="J13" i="1"/>
  <c r="J12" i="1"/>
  <c r="D23" i="9" l="1"/>
  <c r="D6" i="9" s="1"/>
  <c r="H23" i="9"/>
  <c r="H6" i="9" s="1"/>
  <c r="J23" i="9"/>
  <c r="J6" i="9" s="1"/>
  <c r="I6" i="1"/>
  <c r="I32" i="9" l="1"/>
  <c r="B33" i="9"/>
  <c r="B33" i="2"/>
  <c r="E33" i="2" s="1"/>
  <c r="E23" i="1"/>
  <c r="G23" i="1"/>
  <c r="H23" i="1" l="1"/>
  <c r="M23" i="1" s="1"/>
  <c r="E33" i="9"/>
  <c r="K33" i="9" s="1"/>
  <c r="G33" i="9" s="1"/>
  <c r="I33" i="2"/>
  <c r="G33" i="2" s="1"/>
  <c r="B41" i="9"/>
  <c r="I33" i="9" l="1"/>
  <c r="I21" i="3"/>
  <c r="I20" i="3"/>
  <c r="B8" i="2" l="1"/>
  <c r="L23" i="1" l="1"/>
  <c r="B32" i="9" l="1"/>
  <c r="E32" i="9" s="1"/>
  <c r="J23" i="1"/>
  <c r="K23" i="1" s="1"/>
  <c r="B32" i="2"/>
  <c r="E32" i="2" s="1"/>
  <c r="K32" i="9" l="1"/>
  <c r="I32" i="2"/>
  <c r="G32" i="2" l="1"/>
  <c r="A16" i="10" l="1"/>
  <c r="B31" i="9" l="1"/>
  <c r="E31" i="9" s="1"/>
  <c r="K31" i="9" s="1"/>
  <c r="B31" i="2"/>
  <c r="E31" i="2"/>
  <c r="E8" i="2"/>
  <c r="E8" i="9"/>
  <c r="K8" i="9" s="1"/>
  <c r="G8" i="9" s="1"/>
  <c r="I8" i="9" s="1"/>
  <c r="I8" i="2" l="1"/>
  <c r="G8" i="2" s="1"/>
  <c r="I31" i="2"/>
  <c r="G31" i="2" s="1"/>
  <c r="B8" i="3"/>
  <c r="E8" i="3" s="1"/>
  <c r="E21" i="3"/>
  <c r="B33" i="3"/>
  <c r="E46" i="3"/>
  <c r="H46" i="3" s="1"/>
  <c r="N46" i="3" s="1"/>
  <c r="L46" i="3" s="1"/>
  <c r="D45" i="3"/>
  <c r="E33" i="3" l="1"/>
  <c r="I33" i="3" s="1"/>
  <c r="G33" i="3" s="1"/>
  <c r="B30" i="2"/>
  <c r="E19" i="1"/>
  <c r="E30" i="2" l="1"/>
  <c r="I30" i="2" l="1"/>
  <c r="G30" i="2" s="1"/>
  <c r="E20" i="3"/>
  <c r="B30" i="9"/>
  <c r="E30" i="9" s="1"/>
  <c r="K30" i="9" s="1"/>
  <c r="B38" i="5" l="1"/>
  <c r="L19" i="1" l="1"/>
  <c r="G19" i="1"/>
  <c r="H19" i="1" s="1"/>
  <c r="M19" i="1" s="1"/>
  <c r="B29" i="2" l="1"/>
  <c r="E29" i="2" s="1"/>
  <c r="B29" i="9"/>
  <c r="E29" i="9" s="1"/>
  <c r="K29" i="9" s="1"/>
  <c r="J19" i="1"/>
  <c r="F28" i="1"/>
  <c r="F7" i="1" s="1"/>
  <c r="I29" i="2" l="1"/>
  <c r="K19" i="1"/>
  <c r="G29" i="2" l="1"/>
  <c r="B28" i="9" l="1"/>
  <c r="E28" i="9" s="1"/>
  <c r="K28" i="9" s="1"/>
  <c r="B28" i="2" l="1"/>
  <c r="E28" i="2" s="1"/>
  <c r="I28" i="2" l="1"/>
  <c r="G28" i="2" s="1"/>
  <c r="L15" i="1"/>
  <c r="L28" i="1" s="1"/>
  <c r="L7" i="1" s="1"/>
  <c r="B27" i="9" l="1"/>
  <c r="E27" i="9" s="1"/>
  <c r="K27" i="9" s="1"/>
  <c r="B27" i="2"/>
  <c r="E27" i="2" s="1"/>
  <c r="I27" i="2" l="1"/>
  <c r="G27" i="2" s="1"/>
  <c r="J15" i="1"/>
  <c r="J28" i="1" s="1"/>
  <c r="J7" i="1" s="1"/>
  <c r="B26" i="2"/>
  <c r="E38" i="2" s="1"/>
  <c r="E7" i="2" s="1"/>
  <c r="B22" i="2"/>
  <c r="E22" i="2" s="1"/>
  <c r="I22" i="2" s="1"/>
  <c r="G22" i="2" s="1"/>
  <c r="B21" i="2"/>
  <c r="E21" i="2" s="1"/>
  <c r="I21" i="2" s="1"/>
  <c r="G21" i="2" s="1"/>
  <c r="B20" i="2"/>
  <c r="E20" i="2" s="1"/>
  <c r="I20" i="2" s="1"/>
  <c r="G20" i="2" s="1"/>
  <c r="B19" i="2"/>
  <c r="E19" i="2" s="1"/>
  <c r="I19" i="2" s="1"/>
  <c r="G19" i="2" s="1"/>
  <c r="B18" i="2"/>
  <c r="E18" i="2" s="1"/>
  <c r="I18" i="2" s="1"/>
  <c r="G18" i="2" s="1"/>
  <c r="B17" i="2"/>
  <c r="E17" i="2" s="1"/>
  <c r="I17" i="2" s="1"/>
  <c r="G17" i="2" s="1"/>
  <c r="B16" i="2"/>
  <c r="E16" i="2" s="1"/>
  <c r="I16" i="2" s="1"/>
  <c r="G16" i="2" s="1"/>
  <c r="B15" i="2"/>
  <c r="E15" i="2" s="1"/>
  <c r="I15" i="2" s="1"/>
  <c r="G15" i="2" s="1"/>
  <c r="B14" i="2"/>
  <c r="E14" i="2" s="1"/>
  <c r="I14" i="2" s="1"/>
  <c r="G14" i="2" s="1"/>
  <c r="B13" i="2"/>
  <c r="E13" i="2" s="1"/>
  <c r="I13" i="2" s="1"/>
  <c r="G13" i="2" s="1"/>
  <c r="B12" i="2"/>
  <c r="E12" i="2" s="1"/>
  <c r="I12" i="2" s="1"/>
  <c r="G12" i="2" s="1"/>
  <c r="B11" i="2"/>
  <c r="C23" i="9"/>
  <c r="C6" i="9" s="1"/>
  <c r="B22" i="9"/>
  <c r="E22" i="9" s="1"/>
  <c r="B21" i="9"/>
  <c r="B20" i="9"/>
  <c r="B19" i="9"/>
  <c r="E19" i="9" s="1"/>
  <c r="B18" i="9"/>
  <c r="B17" i="9"/>
  <c r="E17" i="9" s="1"/>
  <c r="K17" i="9" s="1"/>
  <c r="G17" i="9" s="1"/>
  <c r="I17" i="9" s="1"/>
  <c r="B16" i="9"/>
  <c r="E16" i="9" s="1"/>
  <c r="K16" i="9" s="1"/>
  <c r="G16" i="9" s="1"/>
  <c r="I16" i="9" s="1"/>
  <c r="B15" i="9"/>
  <c r="E15" i="9" s="1"/>
  <c r="B14" i="9"/>
  <c r="E14" i="9" s="1"/>
  <c r="K14" i="9" s="1"/>
  <c r="G14" i="9" s="1"/>
  <c r="I14" i="9" s="1"/>
  <c r="B13" i="9"/>
  <c r="B12" i="9"/>
  <c r="B11" i="9"/>
  <c r="B6" i="9" s="1"/>
  <c r="E23" i="9" l="1"/>
  <c r="E6" i="9" s="1"/>
  <c r="E11" i="2"/>
  <c r="I11" i="2" s="1"/>
  <c r="G11" i="2" s="1"/>
  <c r="B6" i="2"/>
  <c r="K19" i="9"/>
  <c r="G19" i="9" s="1"/>
  <c r="I19" i="9" s="1"/>
  <c r="D23" i="2"/>
  <c r="D6" i="2" s="1"/>
  <c r="H23" i="2"/>
  <c r="H6" i="2" s="1"/>
  <c r="E12" i="9"/>
  <c r="K12" i="9" s="1"/>
  <c r="G12" i="9" s="1"/>
  <c r="I12" i="9" s="1"/>
  <c r="E20" i="9"/>
  <c r="K20" i="9" s="1"/>
  <c r="G20" i="9" s="1"/>
  <c r="I20" i="9" s="1"/>
  <c r="E18" i="9"/>
  <c r="K18" i="9" s="1"/>
  <c r="G18" i="9" s="1"/>
  <c r="I18" i="9" s="1"/>
  <c r="K15" i="9"/>
  <c r="G15" i="9" s="1"/>
  <c r="I15" i="9" s="1"/>
  <c r="E13" i="9"/>
  <c r="K13" i="9" s="1"/>
  <c r="G13" i="9" s="1"/>
  <c r="I13" i="9" s="1"/>
  <c r="E21" i="9"/>
  <c r="K21" i="9" s="1"/>
  <c r="G21" i="9" s="1"/>
  <c r="I21" i="9" s="1"/>
  <c r="E11" i="9"/>
  <c r="K11" i="9" s="1"/>
  <c r="G15" i="1"/>
  <c r="G28" i="1" s="1"/>
  <c r="G7" i="1" s="1"/>
  <c r="G11" i="9" l="1"/>
  <c r="B26" i="9" l="1"/>
  <c r="E38" i="9" s="1"/>
  <c r="E7" i="9" s="1"/>
  <c r="K7" i="9" s="1"/>
  <c r="G7" i="9" s="1"/>
  <c r="I7" i="9" s="1"/>
  <c r="K22" i="9"/>
  <c r="I11" i="9"/>
  <c r="G22" i="9" l="1"/>
  <c r="G23" i="9" s="1"/>
  <c r="K23" i="9"/>
  <c r="K6" i="9" s="1"/>
  <c r="I22" i="9" l="1"/>
  <c r="I23" i="9" s="1"/>
  <c r="I6" i="9" s="1"/>
  <c r="G6" i="9"/>
  <c r="E45" i="3" l="1"/>
  <c r="H45" i="3" s="1"/>
  <c r="B32" i="3"/>
  <c r="E32" i="3" s="1"/>
  <c r="B7" i="3"/>
  <c r="E7" i="3" s="1"/>
  <c r="J7" i="3" s="1"/>
  <c r="N45" i="3" l="1"/>
  <c r="L45" i="3" s="1"/>
  <c r="I32" i="3"/>
  <c r="G32" i="3" s="1"/>
  <c r="D7" i="1" l="1"/>
  <c r="B50" i="3" l="1"/>
  <c r="E26" i="9" l="1"/>
  <c r="E26" i="2"/>
  <c r="B35" i="1"/>
  <c r="K26" i="9" l="1"/>
  <c r="K38" i="9" s="1"/>
  <c r="I26" i="2"/>
  <c r="G26" i="2"/>
  <c r="B39" i="6" l="1"/>
  <c r="B37" i="4"/>
  <c r="B41" i="2"/>
  <c r="C23" i="2" l="1"/>
  <c r="E23" i="2" l="1"/>
  <c r="E6" i="2" s="1"/>
  <c r="C6" i="2"/>
  <c r="I23" i="2"/>
  <c r="I6" i="2" s="1"/>
  <c r="G23" i="2"/>
  <c r="G6" i="2" s="1"/>
  <c r="B7" i="2" l="1"/>
  <c r="J8" i="3" l="1"/>
  <c r="I7" i="3"/>
  <c r="E7" i="1" l="1"/>
  <c r="H7" i="1" s="1"/>
  <c r="M7" i="1" s="1"/>
  <c r="K7" i="1" s="1"/>
  <c r="E15" i="1"/>
  <c r="H15" i="1" s="1"/>
  <c r="M15" i="1" s="1"/>
  <c r="H28" i="1" l="1"/>
  <c r="M28" i="1"/>
  <c r="K15" i="1"/>
  <c r="K28" i="1" s="1"/>
  <c r="E8" i="1" s="1"/>
  <c r="H8" i="1" s="1"/>
  <c r="M8" i="1" s="1"/>
  <c r="K8" i="1" s="1"/>
</calcChain>
</file>

<file path=xl/sharedStrings.xml><?xml version="1.0" encoding="utf-8"?>
<sst xmlns="http://schemas.openxmlformats.org/spreadsheetml/2006/main" count="514" uniqueCount="199">
  <si>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</si>
  <si>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</si>
  <si>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</si>
  <si>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</si>
  <si>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</si>
  <si>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</si>
  <si>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</si>
  <si>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</si>
  <si>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</si>
  <si>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</si>
  <si>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</si>
  <si>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</si>
  <si>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</si>
  <si>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</si>
  <si>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</si>
  <si>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</si>
  <si>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 Million pounds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</si>
  <si>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</si>
  <si>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</si>
  <si>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</si>
  <si>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</si>
  <si>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</si>
  <si>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</si>
  <si>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</si>
  <si>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</si>
  <si>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</si>
  <si>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</si>
  <si>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</si>
  <si>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</si>
  <si>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</si>
  <si>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</si>
  <si>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</si>
  <si>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</si>
  <si>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</si>
  <si>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</si>
  <si>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</si>
  <si>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</si>
  <si>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</si>
  <si>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</si>
  <si>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</si>
  <si>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</si>
  <si>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>Canola</t>
  </si>
  <si>
    <t xml:space="preserve">stocks  </t>
  </si>
  <si>
    <t>2010/11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</si>
  <si>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</si>
  <si>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</si>
  <si>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</si>
  <si>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</si>
  <si>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</si>
  <si>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</si>
  <si>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</si>
  <si>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</si>
  <si>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</si>
  <si>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</si>
  <si>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</si>
  <si>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</si>
  <si>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</si>
  <si>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</si>
  <si>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</si>
  <si>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Pounds/acre</t>
  </si>
  <si>
    <t>Year beginning</t>
  </si>
  <si>
    <t>October 1</t>
  </si>
  <si>
    <t>August 1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</si>
  <si>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</si>
  <si>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</si>
  <si>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</si>
  <si>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</si>
  <si>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</si>
  <si>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</si>
  <si>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</si>
  <si>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</si>
  <si>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2013/14</t>
  </si>
  <si>
    <t>Seed &amp;</t>
  </si>
  <si>
    <t>2014/15</t>
  </si>
  <si>
    <t>2015/16</t>
  </si>
  <si>
    <t xml:space="preserve">     -------------------------------------------- 1,000 short tons--------------------------------------------</t>
  </si>
  <si>
    <t>Million pounds</t>
  </si>
  <si>
    <t>2016/17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</si>
  <si>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</si>
  <si>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</si>
  <si>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</si>
  <si>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</si>
  <si>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</si>
  <si>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</si>
  <si>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</si>
  <si>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</si>
  <si>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</si>
  <si>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</si>
  <si>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</si>
  <si>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</si>
  <si>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</si>
  <si>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</si>
  <si>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</si>
  <si>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</si>
  <si>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</si>
  <si>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</si>
  <si>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</si>
  <si>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</si>
  <si>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2018/19</t>
  </si>
  <si>
    <t>---------------------------------------------Million bushels----------------------------------------------------------</t>
  </si>
  <si>
    <t>2019/20</t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</si>
  <si>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</si>
  <si>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</si>
  <si>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2020/21</t>
  </si>
  <si>
    <t>Total to date</t>
  </si>
  <si>
    <t>Bushels per acre</t>
  </si>
  <si>
    <t>Soybeans: Quarterly U.S. supply and disappearance</t>
  </si>
  <si>
    <t xml:space="preserve">Dollars per bushel </t>
  </si>
  <si>
    <t xml:space="preserve">Dollars per short ton  </t>
  </si>
  <si>
    <t>Cents per pound</t>
  </si>
  <si>
    <t>Dollars per hundredweight</t>
  </si>
  <si>
    <t>------------------------------------------------------- Cents per pound----------------------------------------------</t>
  </si>
  <si>
    <t>--------------------------------------------------- Dollars per short ton------------------------------------------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</si>
  <si>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</si>
  <si>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</si>
  <si>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</si>
  <si>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</si>
  <si>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</si>
  <si>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</si>
  <si>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</si>
  <si>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</si>
  <si>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</si>
  <si>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Table 1—Soybeans: U.S. supply and disappearance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</si>
  <si>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</si>
  <si>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</si>
  <si>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</si>
  <si>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r>
      <t>2021/22</t>
    </r>
    <r>
      <rPr>
        <vertAlign val="superscript"/>
        <sz val="11"/>
        <rFont val="Arial"/>
        <family val="2"/>
      </rPr>
      <t>2</t>
    </r>
  </si>
  <si>
    <t>Million Pounds</t>
  </si>
  <si>
    <r>
      <t>2020/21</t>
    </r>
    <r>
      <rPr>
        <vertAlign val="superscript"/>
        <sz val="11"/>
        <rFont val="Arial"/>
        <family val="2"/>
      </rPr>
      <t>4</t>
    </r>
  </si>
  <si>
    <r>
      <t>2021/22</t>
    </r>
    <r>
      <rPr>
        <vertAlign val="superscript"/>
        <sz val="11"/>
        <rFont val="Arial"/>
        <family val="2"/>
      </rPr>
      <t>4</t>
    </r>
  </si>
  <si>
    <r>
      <t>Biofuel</t>
    </r>
    <r>
      <rPr>
        <vertAlign val="superscript"/>
        <sz val="11"/>
        <rFont val="Arial"/>
        <family val="2"/>
      </rPr>
      <t>3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</si>
  <si>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</si>
  <si>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Prices.</t>
    </r>
  </si>
  <si>
    <t xml:space="preserve">Contact: Aaron Ates </t>
  </si>
  <si>
    <t>Food &amp; other</t>
  </si>
  <si>
    <t>2021/22</t>
  </si>
  <si>
    <t>Marketing year</t>
  </si>
  <si>
    <t>Residual</t>
  </si>
  <si>
    <t xml:space="preserve">  September–November</t>
  </si>
  <si>
    <t xml:space="preserve">  December–February</t>
  </si>
  <si>
    <t xml:space="preserve">  March–May</t>
  </si>
  <si>
    <t xml:space="preserve">  June–August</t>
  </si>
  <si>
    <r>
      <t xml:space="preserve">Sources: USDA, Agricultural Marketing Service, </t>
    </r>
    <r>
      <rPr>
        <i/>
        <sz val="11"/>
        <rFont val="Arial"/>
        <family val="2"/>
      </rPr>
      <t>Monthly Feedstuff Prices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</si>
  <si>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>Percent of sown acreage harvested</t>
  </si>
  <si>
    <t>Biofuel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</si>
  <si>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</si>
  <si>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</si>
  <si>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</si>
  <si>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</si>
  <si>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</si>
  <si>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</si>
  <si>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</si>
  <si>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</si>
  <si>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</si>
  <si>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21/22*</t>
  </si>
  <si>
    <t>Crude palm oil</t>
  </si>
  <si>
    <t>Month of 2020/21 marketing year</t>
  </si>
  <si>
    <t>Oct</t>
  </si>
  <si>
    <t>Nov</t>
  </si>
  <si>
    <t>Dec</t>
  </si>
  <si>
    <t>Jan</t>
  </si>
  <si>
    <t>Feb</t>
  </si>
  <si>
    <t>Aug</t>
  </si>
  <si>
    <t>Sept</t>
  </si>
  <si>
    <t>Mar</t>
  </si>
  <si>
    <t>Apr</t>
  </si>
  <si>
    <t>Vegetable oil</t>
  </si>
  <si>
    <t>Crude Palm Oil</t>
  </si>
  <si>
    <t>Crude Soybean Oil</t>
  </si>
  <si>
    <t>Refined Soybean Oil</t>
  </si>
  <si>
    <t>Crude Sunflower Oil</t>
  </si>
  <si>
    <t>Refined Sunflower Oil</t>
  </si>
  <si>
    <t>2/2/2021</t>
  </si>
  <si>
    <t>6/30/2021</t>
  </si>
  <si>
    <t>8/20/2021</t>
  </si>
  <si>
    <t>9/11/2021</t>
  </si>
  <si>
    <t>10/14/2021</t>
  </si>
  <si>
    <t>Stocks</t>
  </si>
  <si>
    <t>Week ending</t>
  </si>
  <si>
    <t>Date of import duty change</t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</si>
  <si>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</t>
    </r>
  </si>
  <si>
    <r>
      <t>2020/21</t>
    </r>
    <r>
      <rPr>
        <vertAlign val="superscript"/>
        <sz val="11"/>
        <rFont val="Arial"/>
        <family val="2"/>
      </rPr>
      <t>6</t>
    </r>
  </si>
  <si>
    <r>
      <t>2021/22</t>
    </r>
    <r>
      <rPr>
        <vertAlign val="superscript"/>
        <sz val="11"/>
        <rFont val="Arial"/>
        <family val="2"/>
      </rPr>
      <t>6</t>
    </r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</si>
  <si>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</si>
  <si>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Lard </t>
    </r>
    <r>
      <rPr>
        <vertAlign val="superscript"/>
        <sz val="11"/>
        <rFont val="Arial"/>
        <family val="2"/>
      </rPr>
      <t xml:space="preserve">5  </t>
    </r>
  </si>
  <si>
    <r>
      <t xml:space="preserve">tallow </t>
    </r>
    <r>
      <rPr>
        <vertAlign val="superscript"/>
        <sz val="11"/>
        <rFont val="Arial"/>
        <family val="2"/>
      </rPr>
      <t xml:space="preserve">5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</si>
  <si>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Preliminary. 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</si>
  <si>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</si>
  <si>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</si>
  <si>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>2020/21</t>
    </r>
    <r>
      <rPr>
        <vertAlign val="superscript"/>
        <sz val="11"/>
        <rFont val="Arial"/>
        <family val="2"/>
      </rPr>
      <t>7</t>
    </r>
  </si>
  <si>
    <r>
      <t>2021/22</t>
    </r>
    <r>
      <rPr>
        <vertAlign val="superscript"/>
        <sz val="11"/>
        <rFont val="Arial"/>
        <family val="2"/>
      </rPr>
      <t>7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</si>
  <si>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7 Preliminary. </t>
    </r>
  </si>
  <si>
    <t>2016–2020 average</t>
  </si>
  <si>
    <t>Food and other</t>
  </si>
  <si>
    <r>
      <rPr>
        <sz val="11"/>
        <rFont val="Arial"/>
        <family val="2"/>
      </rPr>
      <t>NA: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</si>
  <si>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rPr>
        <sz val="11"/>
        <rFont val="Arial"/>
        <family val="2"/>
      </rPr>
      <t>NA: Not available. 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</si>
  <si>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rPr>
        <sz val="11"/>
        <rFont val="Arial"/>
        <family val="2"/>
      </rPr>
      <t>NA: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</si>
  <si>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</si>
  <si>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t>Refined, Bleached and Deodorized Palm Olein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</si>
</sst>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#,##0.000"/>
    <numFmt numFmtId="172" formatCode="_(* #,##0.00000_);_(* \(#,##0.00000\);_(* &quot;-&quot;??_);_(@_)"/>
    <numFmt numFmtId="173" formatCode="m/d/yy;@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0"/>
      <name val="Courier New"/>
      <family val="3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24" fillId="0" borderId="0"/>
    <xf numFmtId="0" fontId="9" fillId="0" borderId="0"/>
    <xf numFmtId="0" fontId="8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</cellStyleXfs>
  <cellXfs count="171">
    <xf numFmtId="0" fontId="0" fillId="0" borderId="0" xfId="0"/>
    <xf numFmtId="0" fontId="11" fillId="0" borderId="0" xfId="8" applyFont="1"/>
    <xf numFmtId="0" fontId="12" fillId="0" borderId="0" xfId="8" applyFont="1"/>
    <xf numFmtId="0" fontId="11" fillId="0" borderId="0" xfId="8" applyFont="1" applyFill="1"/>
    <xf numFmtId="0" fontId="17" fillId="0" borderId="0" xfId="8" applyFont="1" applyFill="1"/>
    <xf numFmtId="0" fontId="18" fillId="0" borderId="0" xfId="8" applyFont="1"/>
    <xf numFmtId="169" fontId="19" fillId="0" borderId="0" xfId="1" applyNumberFormat="1" applyFont="1" applyFill="1" applyAlignment="1">
      <alignment horizontal="right" indent="1"/>
    </xf>
    <xf numFmtId="169" fontId="19" fillId="0" borderId="0" xfId="1" applyNumberFormat="1" applyFont="1" applyFill="1" applyBorder="1" applyAlignment="1">
      <alignment horizontal="center"/>
    </xf>
    <xf numFmtId="169" fontId="19" fillId="0" borderId="0" xfId="1" applyNumberFormat="1" applyFont="1" applyFill="1" applyBorder="1" applyAlignment="1">
      <alignment horizontal="right" indent="1"/>
    </xf>
    <xf numFmtId="0" fontId="25" fillId="0" borderId="0" xfId="7" applyFont="1" applyAlignment="1">
      <alignment horizontal="left"/>
    </xf>
    <xf numFmtId="0" fontId="27" fillId="0" borderId="0" xfId="5" applyFont="1" applyAlignment="1" applyProtection="1"/>
    <xf numFmtId="14" fontId="25" fillId="0" borderId="0" xfId="7" applyNumberFormat="1" applyFont="1" applyAlignment="1">
      <alignment horizontal="left"/>
    </xf>
    <xf numFmtId="0" fontId="27" fillId="0" borderId="0" xfId="4" applyFont="1" applyAlignment="1" applyProtection="1"/>
    <xf numFmtId="0" fontId="19" fillId="0" borderId="0" xfId="7" quotePrefix="1" applyFont="1" applyAlignment="1">
      <alignment horizontal="left"/>
    </xf>
    <xf numFmtId="0" fontId="19" fillId="0" borderId="0" xfId="8" applyFont="1" applyBorder="1" applyAlignment="1">
      <alignment wrapText="1"/>
    </xf>
    <xf numFmtId="169" fontId="19" fillId="0" borderId="0" xfId="1" applyNumberFormat="1" applyFont="1" applyFill="1" applyBorder="1" applyAlignment="1">
      <alignment horizontal="right"/>
    </xf>
    <xf numFmtId="169" fontId="19" fillId="0" borderId="0" xfId="0" applyNumberFormat="1" applyFont="1" applyFill="1"/>
    <xf numFmtId="2" fontId="19" fillId="0" borderId="1" xfId="0" applyNumberFormat="1" applyFont="1" applyFill="1" applyBorder="1" applyAlignment="1">
      <alignment horizontal="right" indent="2"/>
    </xf>
    <xf numFmtId="0" fontId="19" fillId="0" borderId="1" xfId="0" applyFont="1" applyFill="1" applyBorder="1"/>
    <xf numFmtId="0" fontId="0" fillId="0" borderId="0" xfId="0" applyFill="1"/>
    <xf numFmtId="0" fontId="19" fillId="0" borderId="0" xfId="0" applyFont="1" applyFill="1"/>
    <xf numFmtId="0" fontId="19" fillId="0" borderId="2" xfId="0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0" fillId="0" borderId="2" xfId="0" applyFill="1" applyBorder="1"/>
    <xf numFmtId="0" fontId="19" fillId="0" borderId="0" xfId="0" applyFont="1" applyFill="1" applyBorder="1"/>
    <xf numFmtId="0" fontId="19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16" fontId="19" fillId="0" borderId="1" xfId="0" quotePrefix="1" applyNumberFormat="1" applyFont="1" applyFill="1" applyBorder="1"/>
    <xf numFmtId="16" fontId="19" fillId="0" borderId="1" xfId="0" applyNumberFormat="1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20" fillId="0" borderId="3" xfId="0" quotePrefix="1" applyFont="1" applyFill="1" applyBorder="1" applyAlignment="1">
      <alignment horizontal="center"/>
    </xf>
    <xf numFmtId="0" fontId="20" fillId="0" borderId="0" xfId="0" quotePrefix="1" applyFont="1" applyFill="1" applyAlignment="1">
      <alignment horizontal="right"/>
    </xf>
    <xf numFmtId="167" fontId="19" fillId="0" borderId="0" xfId="0" applyNumberFormat="1" applyFont="1" applyFill="1" applyAlignment="1">
      <alignment horizontal="center"/>
    </xf>
    <xf numFmtId="165" fontId="19" fillId="0" borderId="0" xfId="1" applyNumberFormat="1" applyFont="1" applyFill="1" applyAlignment="1">
      <alignment horizontal="left"/>
    </xf>
    <xf numFmtId="165" fontId="19" fillId="0" borderId="0" xfId="1" applyNumberFormat="1" applyFont="1" applyFill="1" applyAlignment="1">
      <alignment horizontal="center"/>
    </xf>
    <xf numFmtId="3" fontId="19" fillId="0" borderId="0" xfId="1" applyNumberFormat="1" applyFont="1" applyFill="1" applyBorder="1" applyAlignment="1">
      <alignment horizontal="right" indent="1"/>
    </xf>
    <xf numFmtId="164" fontId="19" fillId="0" borderId="0" xfId="1" applyNumberFormat="1" applyFont="1" applyFill="1" applyBorder="1"/>
    <xf numFmtId="164" fontId="19" fillId="0" borderId="0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/>
    <xf numFmtId="0" fontId="11" fillId="0" borderId="0" xfId="0" applyFont="1" applyFill="1" applyBorder="1"/>
    <xf numFmtId="169" fontId="19" fillId="0" borderId="0" xfId="1" quotePrefix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center"/>
    </xf>
    <xf numFmtId="164" fontId="19" fillId="0" borderId="0" xfId="1" quotePrefix="1" applyNumberFormat="1" applyFont="1" applyFill="1" applyBorder="1" applyAlignment="1">
      <alignment horizontal="center"/>
    </xf>
    <xf numFmtId="169" fontId="19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19" fillId="0" borderId="0" xfId="0" applyNumberFormat="1" applyFont="1" applyFill="1"/>
    <xf numFmtId="169" fontId="19" fillId="0" borderId="1" xfId="1" applyNumberFormat="1" applyFont="1" applyFill="1" applyBorder="1" applyAlignment="1">
      <alignment horizontal="right" indent="1"/>
    </xf>
    <xf numFmtId="164" fontId="19" fillId="0" borderId="0" xfId="1" applyNumberFormat="1" applyFont="1" applyFill="1"/>
    <xf numFmtId="14" fontId="19" fillId="0" borderId="0" xfId="0" applyNumberFormat="1" applyFont="1" applyFill="1" applyAlignment="1">
      <alignment horizontal="left"/>
    </xf>
    <xf numFmtId="0" fontId="11" fillId="0" borderId="0" xfId="0" applyFont="1" applyFill="1"/>
    <xf numFmtId="0" fontId="0" fillId="0" borderId="0" xfId="0" applyFill="1" applyProtection="1"/>
    <xf numFmtId="0" fontId="19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3" fontId="19" fillId="0" borderId="0" xfId="1" applyNumberFormat="1" applyFont="1" applyFill="1" applyAlignment="1">
      <alignment horizontal="right" indent="2"/>
    </xf>
    <xf numFmtId="3" fontId="19" fillId="0" borderId="0" xfId="1" applyNumberFormat="1" applyFont="1" applyFill="1" applyAlignment="1">
      <alignment horizontal="right" indent="1"/>
    </xf>
    <xf numFmtId="3" fontId="19" fillId="0" borderId="0" xfId="1" applyNumberFormat="1" applyFont="1" applyFill="1" applyAlignment="1">
      <alignment horizontal="center"/>
    </xf>
    <xf numFmtId="0" fontId="25" fillId="0" borderId="0" xfId="0" applyFont="1" applyFill="1" applyBorder="1"/>
    <xf numFmtId="169" fontId="19" fillId="0" borderId="0" xfId="1" applyNumberFormat="1" applyFont="1" applyFill="1" applyBorder="1" applyAlignment="1">
      <alignment horizontal="right" indent="2"/>
    </xf>
    <xf numFmtId="169" fontId="19" fillId="0" borderId="1" xfId="1" applyNumberFormat="1" applyFont="1" applyFill="1" applyBorder="1" applyAlignment="1">
      <alignment horizontal="right" indent="2"/>
    </xf>
    <xf numFmtId="0" fontId="21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19" fillId="0" borderId="0" xfId="0" applyNumberFormat="1" applyFont="1" applyFill="1" applyBorder="1"/>
    <xf numFmtId="169" fontId="19" fillId="0" borderId="1" xfId="1" applyNumberFormat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right"/>
    </xf>
    <xf numFmtId="16" fontId="19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right" indent="2"/>
    </xf>
    <xf numFmtId="170" fontId="19" fillId="0" borderId="0" xfId="0" applyNumberFormat="1" applyFont="1" applyFill="1" applyBorder="1"/>
    <xf numFmtId="43" fontId="19" fillId="0" borderId="0" xfId="1" quotePrefix="1" applyNumberFormat="1" applyFont="1" applyFill="1" applyBorder="1" applyAlignment="1">
      <alignment horizontal="center"/>
    </xf>
    <xf numFmtId="166" fontId="19" fillId="0" borderId="0" xfId="1" quotePrefix="1" applyNumberFormat="1" applyFont="1" applyFill="1" applyBorder="1" applyAlignment="1">
      <alignment horizontal="center"/>
    </xf>
    <xf numFmtId="43" fontId="19" fillId="0" borderId="0" xfId="1" quotePrefix="1" applyFont="1" applyFill="1" applyBorder="1" applyAlignment="1">
      <alignment horizontal="center"/>
    </xf>
    <xf numFmtId="43" fontId="19" fillId="0" borderId="0" xfId="1" applyNumberFormat="1" applyFont="1" applyFill="1" applyBorder="1" applyAlignment="1">
      <alignment horizontal="center"/>
    </xf>
    <xf numFmtId="0" fontId="25" fillId="0" borderId="0" xfId="0" quotePrefix="1" applyFont="1" applyFill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indent="1"/>
    </xf>
    <xf numFmtId="0" fontId="19" fillId="0" borderId="3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20" fillId="0" borderId="3" xfId="0" quotePrefix="1" applyFont="1" applyFill="1" applyBorder="1" applyAlignment="1"/>
    <xf numFmtId="0" fontId="20" fillId="0" borderId="3" xfId="0" applyFont="1" applyFill="1" applyBorder="1" applyAlignment="1"/>
    <xf numFmtId="43" fontId="19" fillId="0" borderId="0" xfId="1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43" fontId="19" fillId="0" borderId="0" xfId="0" applyNumberFormat="1" applyFont="1" applyFill="1"/>
    <xf numFmtId="0" fontId="14" fillId="0" borderId="0" xfId="0" applyFont="1" applyFill="1"/>
    <xf numFmtId="2" fontId="0" fillId="0" borderId="0" xfId="0" applyNumberFormat="1" applyFill="1"/>
    <xf numFmtId="165" fontId="19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19" fillId="0" borderId="0" xfId="1" applyFont="1" applyFill="1" applyBorder="1" applyAlignment="1">
      <alignment horizontal="center"/>
    </xf>
    <xf numFmtId="43" fontId="0" fillId="0" borderId="0" xfId="1" applyFont="1" applyFill="1"/>
    <xf numFmtId="43" fontId="10" fillId="0" borderId="0" xfId="1" applyFont="1" applyFill="1"/>
    <xf numFmtId="0" fontId="23" fillId="0" borderId="0" xfId="0" applyFont="1" applyFill="1" applyAlignment="1">
      <alignment vertical="center"/>
    </xf>
    <xf numFmtId="168" fontId="0" fillId="0" borderId="0" xfId="0" applyNumberFormat="1" applyFill="1"/>
    <xf numFmtId="0" fontId="26" fillId="0" borderId="0" xfId="0" applyFont="1" applyFill="1"/>
    <xf numFmtId="168" fontId="19" fillId="0" borderId="0" xfId="0" applyNumberFormat="1" applyFont="1" applyFill="1"/>
    <xf numFmtId="2" fontId="19" fillId="0" borderId="0" xfId="0" applyNumberFormat="1" applyFont="1" applyFill="1"/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0" applyNumberFormat="1" applyFill="1"/>
    <xf numFmtId="0" fontId="19" fillId="0" borderId="3" xfId="0" applyFont="1" applyFill="1" applyBorder="1"/>
    <xf numFmtId="0" fontId="19" fillId="0" borderId="0" xfId="0" applyFont="1" applyFill="1" applyBorder="1" applyAlignment="1">
      <alignment horizontal="right"/>
    </xf>
    <xf numFmtId="37" fontId="19" fillId="0" borderId="0" xfId="1" applyNumberFormat="1" applyFont="1" applyFill="1" applyAlignment="1">
      <alignment horizontal="center"/>
    </xf>
    <xf numFmtId="37" fontId="19" fillId="0" borderId="0" xfId="1" applyNumberFormat="1" applyFont="1" applyFill="1" applyAlignment="1">
      <alignment horizontal="right" indent="2"/>
    </xf>
    <xf numFmtId="165" fontId="19" fillId="0" borderId="0" xfId="1" applyNumberFormat="1" applyFont="1" applyFill="1"/>
    <xf numFmtId="37" fontId="19" fillId="0" borderId="0" xfId="1" applyNumberFormat="1" applyFont="1" applyFill="1" applyAlignment="1">
      <alignment horizontal="right" indent="1"/>
    </xf>
    <xf numFmtId="37" fontId="19" fillId="0" borderId="0" xfId="1" applyNumberFormat="1" applyFont="1" applyFill="1" applyBorder="1" applyAlignment="1">
      <alignment horizontal="center"/>
    </xf>
    <xf numFmtId="37" fontId="19" fillId="0" borderId="0" xfId="1" applyNumberFormat="1" applyFont="1" applyFill="1" applyBorder="1" applyAlignment="1">
      <alignment horizontal="right" indent="2"/>
    </xf>
    <xf numFmtId="165" fontId="19" fillId="0" borderId="0" xfId="1" applyNumberFormat="1" applyFont="1" applyFill="1" applyBorder="1"/>
    <xf numFmtId="37" fontId="19" fillId="0" borderId="0" xfId="1" applyNumberFormat="1" applyFont="1" applyFill="1" applyBorder="1" applyAlignment="1">
      <alignment horizontal="right" indent="1"/>
    </xf>
    <xf numFmtId="37" fontId="19" fillId="0" borderId="1" xfId="1" applyNumberFormat="1" applyFont="1" applyFill="1" applyBorder="1" applyAlignment="1">
      <alignment horizontal="center"/>
    </xf>
    <xf numFmtId="37" fontId="19" fillId="0" borderId="1" xfId="1" applyNumberFormat="1" applyFont="1" applyFill="1" applyBorder="1" applyAlignment="1">
      <alignment horizontal="right" indent="2"/>
    </xf>
    <xf numFmtId="165" fontId="19" fillId="0" borderId="1" xfId="1" applyNumberFormat="1" applyFont="1" applyFill="1" applyBorder="1"/>
    <xf numFmtId="37" fontId="19" fillId="0" borderId="1" xfId="1" applyNumberFormat="1" applyFont="1" applyFill="1" applyBorder="1" applyAlignment="1">
      <alignment horizontal="right" indent="1"/>
    </xf>
    <xf numFmtId="9" fontId="19" fillId="0" borderId="0" xfId="12" applyFont="1" applyFill="1"/>
    <xf numFmtId="1" fontId="19" fillId="0" borderId="0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4" xfId="0" applyFont="1" applyFill="1" applyBorder="1" applyAlignment="1">
      <alignment horizontal="center"/>
    </xf>
    <xf numFmtId="14" fontId="19" fillId="0" borderId="0" xfId="0" applyNumberFormat="1" applyFont="1" applyFill="1" applyAlignment="1">
      <alignment horizontal="right" inden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3" fontId="0" fillId="0" borderId="0" xfId="0" applyNumberFormat="1" applyFill="1"/>
    <xf numFmtId="169" fontId="19" fillId="0" borderId="0" xfId="1" applyNumberFormat="1" applyFont="1" applyFill="1" applyAlignment="1">
      <alignment horizontal="center"/>
    </xf>
    <xf numFmtId="4" fontId="0" fillId="0" borderId="0" xfId="0" applyNumberFormat="1" applyFill="1"/>
    <xf numFmtId="0" fontId="29" fillId="0" borderId="1" xfId="30" applyFont="1" applyBorder="1" applyAlignment="1">
      <alignment horizontal="center"/>
    </xf>
    <xf numFmtId="0" fontId="3" fillId="0" borderId="0" xfId="30"/>
    <xf numFmtId="0" fontId="3" fillId="0" borderId="0" xfId="30" applyNumberFormat="1"/>
    <xf numFmtId="2" fontId="14" fillId="0" borderId="0" xfId="0" applyNumberFormat="1" applyFont="1" applyFill="1"/>
    <xf numFmtId="171" fontId="19" fillId="0" borderId="0" xfId="1" applyNumberFormat="1" applyFont="1" applyFill="1" applyBorder="1" applyAlignment="1">
      <alignment horizontal="right" indent="1"/>
    </xf>
    <xf numFmtId="0" fontId="29" fillId="0" borderId="1" xfId="29" applyFont="1" applyFill="1" applyBorder="1" applyAlignment="1">
      <alignment horizontal="center" wrapText="1"/>
    </xf>
    <xf numFmtId="0" fontId="28" fillId="0" borderId="0" xfId="29" applyFont="1" applyFill="1"/>
    <xf numFmtId="0" fontId="28" fillId="0" borderId="0" xfId="29" applyFont="1" applyFill="1" applyAlignment="1">
      <alignment horizontal="center"/>
    </xf>
    <xf numFmtId="41" fontId="28" fillId="0" borderId="0" xfId="32" applyNumberFormat="1" applyFont="1" applyFill="1" applyAlignment="1">
      <alignment horizontal="center"/>
    </xf>
    <xf numFmtId="41" fontId="28" fillId="0" borderId="0" xfId="32" applyNumberFormat="1" applyFont="1" applyFill="1"/>
    <xf numFmtId="165" fontId="31" fillId="0" borderId="0" xfId="1" applyNumberFormat="1" applyFont="1" applyFill="1"/>
    <xf numFmtId="0" fontId="10" fillId="0" borderId="0" xfId="0" applyFont="1"/>
    <xf numFmtId="0" fontId="21" fillId="0" borderId="3" xfId="0" applyFont="1" applyFill="1" applyBorder="1"/>
    <xf numFmtId="164" fontId="19" fillId="0" borderId="3" xfId="0" applyNumberFormat="1" applyFont="1" applyFill="1" applyBorder="1"/>
    <xf numFmtId="43" fontId="19" fillId="0" borderId="1" xfId="1" applyFont="1" applyFill="1" applyBorder="1" applyAlignment="1">
      <alignment horizontal="center"/>
    </xf>
    <xf numFmtId="0" fontId="29" fillId="0" borderId="1" xfId="30" applyNumberFormat="1" applyFont="1" applyBorder="1" applyAlignment="1">
      <alignment horizontal="left" wrapText="1"/>
    </xf>
    <xf numFmtId="0" fontId="32" fillId="0" borderId="1" xfId="30" applyNumberFormat="1" applyFont="1" applyBorder="1" applyAlignment="1">
      <alignment horizontal="centerContinuous"/>
    </xf>
    <xf numFmtId="0" fontId="3" fillId="0" borderId="1" xfId="30" applyBorder="1" applyAlignment="1">
      <alignment horizontal="centerContinuous"/>
    </xf>
    <xf numFmtId="0" fontId="1" fillId="0" borderId="0" xfId="30" applyFont="1"/>
    <xf numFmtId="172" fontId="0" fillId="0" borderId="0" xfId="1" applyNumberFormat="1" applyFont="1" applyFill="1" applyBorder="1"/>
    <xf numFmtId="16" fontId="28" fillId="0" borderId="0" xfId="29" quotePrefix="1" applyNumberFormat="1" applyFont="1" applyFill="1" applyAlignment="1">
      <alignment horizontal="center"/>
    </xf>
    <xf numFmtId="0" fontId="28" fillId="0" borderId="0" xfId="29" quotePrefix="1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173" fontId="28" fillId="0" borderId="0" xfId="30" applyNumberFormat="1" applyFont="1" applyFill="1" applyAlignment="1">
      <alignment horizontal="left"/>
    </xf>
    <xf numFmtId="0" fontId="0" fillId="0" borderId="0" xfId="0" quotePrefix="1"/>
    <xf numFmtId="0" fontId="29" fillId="0" borderId="1" xfId="29" applyFont="1" applyFill="1" applyBorder="1" applyAlignment="1">
      <alignment horizontal="left" wrapText="1"/>
    </xf>
    <xf numFmtId="165" fontId="0" fillId="0" borderId="0" xfId="1" applyNumberFormat="1" applyFont="1"/>
    <xf numFmtId="0" fontId="17" fillId="0" borderId="1" xfId="0" quotePrefix="1" applyFont="1" applyBorder="1"/>
    <xf numFmtId="0" fontId="29" fillId="0" borderId="1" xfId="29" applyFont="1" applyFill="1" applyBorder="1" applyAlignment="1">
      <alignment horizontal="centerContinuous"/>
    </xf>
    <xf numFmtId="0" fontId="28" fillId="0" borderId="1" xfId="29" applyFont="1" applyFill="1" applyBorder="1" applyAlignment="1">
      <alignment horizontal="centerContinuous"/>
    </xf>
    <xf numFmtId="0" fontId="17" fillId="0" borderId="1" xfId="0" quotePrefix="1" applyFont="1" applyFill="1" applyBorder="1"/>
    <xf numFmtId="1" fontId="31" fillId="0" borderId="0" xfId="1" applyNumberFormat="1" applyFont="1" applyFill="1"/>
    <xf numFmtId="0" fontId="29" fillId="0" borderId="1" xfId="30" applyNumberFormat="1" applyFont="1" applyFill="1" applyBorder="1" applyAlignment="1">
      <alignment horizontal="left" wrapText="1"/>
    </xf>
    <xf numFmtId="1" fontId="28" fillId="0" borderId="0" xfId="12" applyNumberFormat="1" applyFont="1" applyFill="1"/>
    <xf numFmtId="0" fontId="19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2" xfId="0" quotePrefix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5" xfId="0" quotePrefix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</cellXfs>
  <cellStyles count="35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" xfId="32" builtinId="4"/>
    <cellStyle name="Currency 2" xfId="34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3" xfId="33" xr:uid="{5440E113-77DF-4DAD-9026-4858CCB03DB9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0066FF"/>
      <color rgb="FF0000FF"/>
      <color rgb="FFFFFF00"/>
      <color rgb="FFFFC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Historical U.S. soybean harvesting progress comparison </a:t>
            </a: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378429274844E-2"/>
          <c:y val="0.18323896236903192"/>
          <c:w val="0.79446092392393375"/>
          <c:h val="0.61935891827624112"/>
        </c:manualLayout>
      </c:layout>
      <c:lineChart>
        <c:grouping val="standard"/>
        <c:varyColors val="0"/>
        <c:ser>
          <c:idx val="0"/>
          <c:order val="0"/>
          <c:tx>
            <c:strRef>
              <c:f>Cover!$B$2</c:f>
              <c:strCache>
                <c:ptCount val="1"/>
                <c:pt idx="0">
                  <c:v>2016–2020 average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Cover!$A$3:$A$11</c:f>
              <c:numCache>
                <c:formatCode>m/d/yy;@</c:formatCode>
                <c:ptCount val="9"/>
                <c:pt idx="0">
                  <c:v>44451</c:v>
                </c:pt>
                <c:pt idx="1">
                  <c:v>44458</c:v>
                </c:pt>
                <c:pt idx="2">
                  <c:v>44465</c:v>
                </c:pt>
                <c:pt idx="3">
                  <c:v>44472</c:v>
                </c:pt>
                <c:pt idx="4">
                  <c:v>44479</c:v>
                </c:pt>
                <c:pt idx="5">
                  <c:v>44486</c:v>
                </c:pt>
                <c:pt idx="6">
                  <c:v>44493</c:v>
                </c:pt>
                <c:pt idx="7">
                  <c:v>44500</c:v>
                </c:pt>
                <c:pt idx="8">
                  <c:v>44507</c:v>
                </c:pt>
              </c:numCache>
            </c:numRef>
          </c:cat>
          <c:val>
            <c:numRef>
              <c:f>Cover!$B$3:$B$11</c:f>
              <c:numCache>
                <c:formatCode>0</c:formatCode>
                <c:ptCount val="9"/>
                <c:pt idx="0">
                  <c:v>0</c:v>
                </c:pt>
                <c:pt idx="1">
                  <c:v>6</c:v>
                </c:pt>
                <c:pt idx="2">
                  <c:v>13</c:v>
                </c:pt>
                <c:pt idx="3">
                  <c:v>26</c:v>
                </c:pt>
                <c:pt idx="4">
                  <c:v>40</c:v>
                </c:pt>
                <c:pt idx="5">
                  <c:v>55</c:v>
                </c:pt>
                <c:pt idx="6">
                  <c:v>70</c:v>
                </c:pt>
                <c:pt idx="7">
                  <c:v>81</c:v>
                </c:pt>
                <c:pt idx="8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56-4E62-BB13-BB0941664A8C}"/>
            </c:ext>
          </c:extLst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0066FF"/>
              </a:solidFill>
              <a:round/>
            </a:ln>
            <a:effectLst/>
          </c:spPr>
          <c:marker>
            <c:symbol val="none"/>
          </c:marker>
          <c:cat>
            <c:numRef>
              <c:f>Cover!$A$3:$A$11</c:f>
              <c:numCache>
                <c:formatCode>m/d/yy;@</c:formatCode>
                <c:ptCount val="9"/>
                <c:pt idx="0">
                  <c:v>44451</c:v>
                </c:pt>
                <c:pt idx="1">
                  <c:v>44458</c:v>
                </c:pt>
                <c:pt idx="2">
                  <c:v>44465</c:v>
                </c:pt>
                <c:pt idx="3">
                  <c:v>44472</c:v>
                </c:pt>
                <c:pt idx="4">
                  <c:v>44479</c:v>
                </c:pt>
                <c:pt idx="5">
                  <c:v>44486</c:v>
                </c:pt>
                <c:pt idx="6">
                  <c:v>44493</c:v>
                </c:pt>
                <c:pt idx="7">
                  <c:v>44500</c:v>
                </c:pt>
                <c:pt idx="8">
                  <c:v>44507</c:v>
                </c:pt>
              </c:numCache>
            </c:numRef>
          </c:cat>
          <c:val>
            <c:numRef>
              <c:f>Cover!$C$3:$C$11</c:f>
              <c:numCache>
                <c:formatCode>0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18</c:v>
                </c:pt>
                <c:pt idx="3">
                  <c:v>35</c:v>
                </c:pt>
                <c:pt idx="4">
                  <c:v>58</c:v>
                </c:pt>
                <c:pt idx="5">
                  <c:v>73</c:v>
                </c:pt>
                <c:pt idx="6">
                  <c:v>82</c:v>
                </c:pt>
                <c:pt idx="7">
                  <c:v>86</c:v>
                </c:pt>
                <c:pt idx="8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56-4E62-BB13-BB0941664A8C}"/>
            </c:ext>
          </c:extLst>
        </c:ser>
        <c:ser>
          <c:idx val="2"/>
          <c:order val="2"/>
          <c:tx>
            <c:strRef>
              <c:f>Cover!$D$2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Cover!$A$3:$A$11</c:f>
              <c:numCache>
                <c:formatCode>m/d/yy;@</c:formatCode>
                <c:ptCount val="9"/>
                <c:pt idx="0">
                  <c:v>44451</c:v>
                </c:pt>
                <c:pt idx="1">
                  <c:v>44458</c:v>
                </c:pt>
                <c:pt idx="2">
                  <c:v>44465</c:v>
                </c:pt>
                <c:pt idx="3">
                  <c:v>44472</c:v>
                </c:pt>
                <c:pt idx="4">
                  <c:v>44479</c:v>
                </c:pt>
                <c:pt idx="5">
                  <c:v>44486</c:v>
                </c:pt>
                <c:pt idx="6">
                  <c:v>44493</c:v>
                </c:pt>
                <c:pt idx="7">
                  <c:v>44500</c:v>
                </c:pt>
                <c:pt idx="8">
                  <c:v>44507</c:v>
                </c:pt>
              </c:numCache>
            </c:numRef>
          </c:cat>
          <c:val>
            <c:numRef>
              <c:f>Cover!$D$3:$D$11</c:f>
              <c:numCache>
                <c:formatCode>0</c:formatCode>
                <c:ptCount val="9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34</c:v>
                </c:pt>
                <c:pt idx="4">
                  <c:v>49</c:v>
                </c:pt>
                <c:pt idx="5">
                  <c:v>60</c:v>
                </c:pt>
                <c:pt idx="6">
                  <c:v>73</c:v>
                </c:pt>
                <c:pt idx="7">
                  <c:v>79</c:v>
                </c:pt>
                <c:pt idx="8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56-4E62-BB13-BB0941664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date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Week ending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141365806956378"/>
              <c:y val="0.861516115795260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m/d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Offset val="100"/>
        <c:baseTimeUnit val="days"/>
      </c:dateAx>
      <c:valAx>
        <c:axId val="667170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Percent</a:t>
                </a:r>
                <a:r>
                  <a:rPr lang="en-US" sz="900" baseline="0"/>
                  <a:t>age of sown acreage harvested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"/>
              <c:y val="6.53756166819154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6795515837164519"/>
          <c:y val="0.36566314008861944"/>
          <c:w val="0.23204484162835484"/>
          <c:h val="0.187641442753916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baseline="0">
                <a:effectLst/>
              </a:rPr>
              <a:t>Biofuel share of soybean oil use projected to rise</a:t>
            </a:r>
            <a:endParaRPr lang="en-US" sz="1050" b="1"/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61070071036E-2"/>
          <c:y val="0.1458858099900259"/>
          <c:w val="0.79446092392393375"/>
          <c:h val="0.66209404248997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1'!$B$1</c:f>
              <c:strCache>
                <c:ptCount val="1"/>
                <c:pt idx="0">
                  <c:v>Biofuel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1'!$A$2:$A$11</c:f>
              <c:strCache>
                <c:ptCount val="10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21/22*</c:v>
                </c:pt>
              </c:strCache>
            </c:strRef>
          </c:cat>
          <c:val>
            <c:numRef>
              <c:f>'Figure 1'!$B$2:$B$11</c:f>
              <c:numCache>
                <c:formatCode>General</c:formatCode>
                <c:ptCount val="10"/>
                <c:pt idx="0">
                  <c:v>24.958621588270237</c:v>
                </c:pt>
                <c:pt idx="1">
                  <c:v>26.856158898178183</c:v>
                </c:pt>
                <c:pt idx="2">
                  <c:v>26.577331563209622</c:v>
                </c:pt>
                <c:pt idx="3">
                  <c:v>28.121865008874391</c:v>
                </c:pt>
                <c:pt idx="4">
                  <c:v>31.216399385719502</c:v>
                </c:pt>
                <c:pt idx="5">
                  <c:v>34.301392697342273</c:v>
                </c:pt>
                <c:pt idx="6">
                  <c:v>37.873745459119846</c:v>
                </c:pt>
                <c:pt idx="7">
                  <c:v>38.79479656200553</c:v>
                </c:pt>
                <c:pt idx="8">
                  <c:v>38.020393654232478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7-4E46-896D-7A0D8B096427}"/>
            </c:ext>
          </c:extLst>
        </c:ser>
        <c:ser>
          <c:idx val="2"/>
          <c:order val="1"/>
          <c:tx>
            <c:strRef>
              <c:f>'Figure 1'!$C$1</c:f>
              <c:strCache>
                <c:ptCount val="1"/>
                <c:pt idx="0">
                  <c:v>Food and other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1'!$A$2:$A$11</c:f>
              <c:strCache>
                <c:ptCount val="10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21/22*</c:v>
                </c:pt>
              </c:strCache>
            </c:strRef>
          </c:cat>
          <c:val>
            <c:numRef>
              <c:f>'Figure 1'!$C$2:$C$11</c:f>
              <c:numCache>
                <c:formatCode>General</c:formatCode>
                <c:ptCount val="10"/>
                <c:pt idx="0">
                  <c:v>75.041378411729767</c:v>
                </c:pt>
                <c:pt idx="1">
                  <c:v>73.14384110182182</c:v>
                </c:pt>
                <c:pt idx="2">
                  <c:v>73.422668436790374</c:v>
                </c:pt>
                <c:pt idx="3">
                  <c:v>71.878134991125606</c:v>
                </c:pt>
                <c:pt idx="4">
                  <c:v>68.783600614280502</c:v>
                </c:pt>
                <c:pt idx="5">
                  <c:v>65.698607302657734</c:v>
                </c:pt>
                <c:pt idx="6">
                  <c:v>62.126254540880154</c:v>
                </c:pt>
                <c:pt idx="7">
                  <c:v>61.20520343799447</c:v>
                </c:pt>
                <c:pt idx="8">
                  <c:v>61.979606345767515</c:v>
                </c:pt>
                <c:pt idx="9">
                  <c:v>56.000000000000007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77-4E46-896D-7A0D8B096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2403951341476442"/>
              <c:y val="0.873964252680082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Percent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702731903489E-2"/>
              <c:y val="6.56744100677899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263439442558087"/>
          <c:y val="6.929726159397015E-2"/>
          <c:w val="0.27473104212050775"/>
          <c:h val="6.1148336162947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2020/21 India crude palm oil prices, Cost, Insurance, and Freight (CIF) India ports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30226102837E-2"/>
          <c:y val="0.17677191837757089"/>
          <c:w val="0.76862109775037812"/>
          <c:h val="0.6396460455866295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2'!$B$1</c:f>
              <c:strCache>
                <c:ptCount val="1"/>
                <c:pt idx="0">
                  <c:v>Crude palm oil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2'!$A$2:$A$13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</c:v>
                </c:pt>
                <c:pt idx="11">
                  <c:v>Sept</c:v>
                </c:pt>
              </c:strCache>
            </c:strRef>
          </c:cat>
          <c:val>
            <c:numRef>
              <c:f>'Figure 2'!$B$2:$B$13</c:f>
              <c:numCache>
                <c:formatCode>_(* #,##0_);_(* \(#,##0\);_(* "-"??_);_(@_)</c:formatCode>
                <c:ptCount val="12"/>
                <c:pt idx="0">
                  <c:v>774</c:v>
                </c:pt>
                <c:pt idx="1">
                  <c:v>873</c:v>
                </c:pt>
                <c:pt idx="2">
                  <c:v>974</c:v>
                </c:pt>
                <c:pt idx="3">
                  <c:v>1047</c:v>
                </c:pt>
                <c:pt idx="4">
                  <c:v>1089</c:v>
                </c:pt>
                <c:pt idx="5">
                  <c:v>1126</c:v>
                </c:pt>
                <c:pt idx="6">
                  <c:v>1173</c:v>
                </c:pt>
                <c:pt idx="7">
                  <c:v>1250</c:v>
                </c:pt>
                <c:pt idx="8">
                  <c:v>1075</c:v>
                </c:pt>
                <c:pt idx="9">
                  <c:v>1230</c:v>
                </c:pt>
                <c:pt idx="10" formatCode="_(* #,##0_);_(* \(#,##0\);_(* &quot;-&quot;_);_(@_)">
                  <c:v>1217</c:v>
                </c:pt>
                <c:pt idx="11" formatCode="_(* #,##0_);_(* \(#,##0\);_(* &quot;-&quot;_);_(@_)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7C-4782-977B-9EDD584B4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Month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946224745162668"/>
              <c:y val="0.883447247722638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14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Dollars per metric ton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656867608835E-2"/>
              <c:y val="9.9068652652183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India's 2021 effective import duties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58449476767E-2"/>
          <c:y val="0.14965327639129855"/>
          <c:w val="0.76862109775037812"/>
          <c:h val="0.59062644742936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</c:f>
              <c:strCache>
                <c:ptCount val="1"/>
                <c:pt idx="0">
                  <c:v>2/2/2021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3'!$A$3:$A$8</c:f>
              <c:strCache>
                <c:ptCount val="6"/>
                <c:pt idx="0">
                  <c:v>Crude Palm Oil</c:v>
                </c:pt>
                <c:pt idx="1">
                  <c:v>Refined, Bleached and Deodorized Palm Olein</c:v>
                </c:pt>
                <c:pt idx="2">
                  <c:v>Crude Soybean Oil</c:v>
                </c:pt>
                <c:pt idx="3">
                  <c:v>Refined Soybean Oil</c:v>
                </c:pt>
                <c:pt idx="4">
                  <c:v>Crude Sunflower Oil</c:v>
                </c:pt>
                <c:pt idx="5">
                  <c:v>Refined Sunflower Oil</c:v>
                </c:pt>
              </c:strCache>
            </c:strRef>
          </c:cat>
          <c:val>
            <c:numRef>
              <c:f>'Figure 3'!$B$3:$B$8</c:f>
              <c:numCache>
                <c:formatCode>0</c:formatCode>
                <c:ptCount val="6"/>
                <c:pt idx="0">
                  <c:v>37.549999999999997</c:v>
                </c:pt>
                <c:pt idx="1">
                  <c:v>49.5</c:v>
                </c:pt>
                <c:pt idx="2">
                  <c:v>38.5</c:v>
                </c:pt>
                <c:pt idx="3">
                  <c:v>49.5</c:v>
                </c:pt>
                <c:pt idx="4">
                  <c:v>38.5</c:v>
                </c:pt>
                <c:pt idx="5">
                  <c:v>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A-4CC5-875E-DEF2BA5EECF8}"/>
            </c:ext>
          </c:extLst>
        </c:ser>
        <c:ser>
          <c:idx val="1"/>
          <c:order val="1"/>
          <c:tx>
            <c:strRef>
              <c:f>'Figure 3'!$C$2</c:f>
              <c:strCache>
                <c:ptCount val="1"/>
                <c:pt idx="0">
                  <c:v>6/30/2021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3'!$A$3:$A$8</c:f>
              <c:strCache>
                <c:ptCount val="6"/>
                <c:pt idx="0">
                  <c:v>Crude Palm Oil</c:v>
                </c:pt>
                <c:pt idx="1">
                  <c:v>Refined, Bleached and Deodorized Palm Olein</c:v>
                </c:pt>
                <c:pt idx="2">
                  <c:v>Crude Soybean Oil</c:v>
                </c:pt>
                <c:pt idx="3">
                  <c:v>Refined Soybean Oil</c:v>
                </c:pt>
                <c:pt idx="4">
                  <c:v>Crude Sunflower Oil</c:v>
                </c:pt>
                <c:pt idx="5">
                  <c:v>Refined Sunflower Oil</c:v>
                </c:pt>
              </c:strCache>
            </c:strRef>
          </c:cat>
          <c:val>
            <c:numRef>
              <c:f>'Figure 3'!$C$3:$C$8</c:f>
              <c:numCache>
                <c:formatCode>0</c:formatCode>
                <c:ptCount val="6"/>
                <c:pt idx="0">
                  <c:v>30.25</c:v>
                </c:pt>
                <c:pt idx="1">
                  <c:v>41.25</c:v>
                </c:pt>
                <c:pt idx="2">
                  <c:v>38.5</c:v>
                </c:pt>
                <c:pt idx="3">
                  <c:v>49.5</c:v>
                </c:pt>
                <c:pt idx="4">
                  <c:v>38.5</c:v>
                </c:pt>
                <c:pt idx="5">
                  <c:v>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A-4CC5-875E-DEF2BA5EECF8}"/>
            </c:ext>
          </c:extLst>
        </c:ser>
        <c:ser>
          <c:idx val="2"/>
          <c:order val="2"/>
          <c:tx>
            <c:strRef>
              <c:f>'Figure 3'!$D$2</c:f>
              <c:strCache>
                <c:ptCount val="1"/>
                <c:pt idx="0">
                  <c:v>8/20/2021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3'!$A$3:$A$8</c:f>
              <c:strCache>
                <c:ptCount val="6"/>
                <c:pt idx="0">
                  <c:v>Crude Palm Oil</c:v>
                </c:pt>
                <c:pt idx="1">
                  <c:v>Refined, Bleached and Deodorized Palm Olein</c:v>
                </c:pt>
                <c:pt idx="2">
                  <c:v>Crude Soybean Oil</c:v>
                </c:pt>
                <c:pt idx="3">
                  <c:v>Refined Soybean Oil</c:v>
                </c:pt>
                <c:pt idx="4">
                  <c:v>Crude Sunflower Oil</c:v>
                </c:pt>
                <c:pt idx="5">
                  <c:v>Refined Sunflower Oil</c:v>
                </c:pt>
              </c:strCache>
            </c:strRef>
          </c:cat>
          <c:val>
            <c:numRef>
              <c:f>'Figure 3'!$D$3:$D$8</c:f>
              <c:numCache>
                <c:formatCode>0</c:formatCode>
                <c:ptCount val="6"/>
                <c:pt idx="0">
                  <c:v>30.25</c:v>
                </c:pt>
                <c:pt idx="1">
                  <c:v>41.25</c:v>
                </c:pt>
                <c:pt idx="2">
                  <c:v>30.25</c:v>
                </c:pt>
                <c:pt idx="3">
                  <c:v>41.25</c:v>
                </c:pt>
                <c:pt idx="4">
                  <c:v>30.25</c:v>
                </c:pt>
                <c:pt idx="5">
                  <c:v>41.25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1A-4CC5-875E-DEF2BA5EECF8}"/>
            </c:ext>
          </c:extLst>
        </c:ser>
        <c:ser>
          <c:idx val="3"/>
          <c:order val="3"/>
          <c:tx>
            <c:strRef>
              <c:f>'Figure 3'!$E$2</c:f>
              <c:strCache>
                <c:ptCount val="1"/>
                <c:pt idx="0">
                  <c:v>9/11/2021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3'!$A$3:$A$8</c:f>
              <c:strCache>
                <c:ptCount val="6"/>
                <c:pt idx="0">
                  <c:v>Crude Palm Oil</c:v>
                </c:pt>
                <c:pt idx="1">
                  <c:v>Refined, Bleached and Deodorized Palm Olein</c:v>
                </c:pt>
                <c:pt idx="2">
                  <c:v>Crude Soybean Oil</c:v>
                </c:pt>
                <c:pt idx="3">
                  <c:v>Refined Soybean Oil</c:v>
                </c:pt>
                <c:pt idx="4">
                  <c:v>Crude Sunflower Oil</c:v>
                </c:pt>
                <c:pt idx="5">
                  <c:v>Refined Sunflower Oil</c:v>
                </c:pt>
              </c:strCache>
            </c:strRef>
          </c:cat>
          <c:val>
            <c:numRef>
              <c:f>'Figure 3'!$E$3:$E$8</c:f>
              <c:numCache>
                <c:formatCode>0</c:formatCode>
                <c:ptCount val="6"/>
                <c:pt idx="0">
                  <c:v>24.75</c:v>
                </c:pt>
                <c:pt idx="1">
                  <c:v>35.75</c:v>
                </c:pt>
                <c:pt idx="2">
                  <c:v>24.75</c:v>
                </c:pt>
                <c:pt idx="3">
                  <c:v>35.75</c:v>
                </c:pt>
                <c:pt idx="4">
                  <c:v>24.75</c:v>
                </c:pt>
                <c:pt idx="5">
                  <c:v>35.75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1A-4CC5-875E-DEF2BA5EECF8}"/>
            </c:ext>
          </c:extLst>
        </c:ser>
        <c:ser>
          <c:idx val="4"/>
          <c:order val="4"/>
          <c:tx>
            <c:strRef>
              <c:f>'Figure 3'!$F$2</c:f>
              <c:strCache>
                <c:ptCount val="1"/>
                <c:pt idx="0">
                  <c:v>10/14/2021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'Figure 3'!$A$3:$A$8</c:f>
              <c:strCache>
                <c:ptCount val="6"/>
                <c:pt idx="0">
                  <c:v>Crude Palm Oil</c:v>
                </c:pt>
                <c:pt idx="1">
                  <c:v>Refined, Bleached and Deodorized Palm Olein</c:v>
                </c:pt>
                <c:pt idx="2">
                  <c:v>Crude Soybean Oil</c:v>
                </c:pt>
                <c:pt idx="3">
                  <c:v>Refined Soybean Oil</c:v>
                </c:pt>
                <c:pt idx="4">
                  <c:v>Crude Sunflower Oil</c:v>
                </c:pt>
                <c:pt idx="5">
                  <c:v>Refined Sunflower Oil</c:v>
                </c:pt>
              </c:strCache>
            </c:strRef>
          </c:cat>
          <c:val>
            <c:numRef>
              <c:f>'Figure 3'!$F$3:$F$8</c:f>
              <c:numCache>
                <c:formatCode>0</c:formatCode>
                <c:ptCount val="6"/>
                <c:pt idx="0">
                  <c:v>8.25</c:v>
                </c:pt>
                <c:pt idx="1">
                  <c:v>19.25</c:v>
                </c:pt>
                <c:pt idx="2">
                  <c:v>5.5</c:v>
                </c:pt>
                <c:pt idx="3">
                  <c:v>19.25</c:v>
                </c:pt>
                <c:pt idx="4">
                  <c:v>5.5</c:v>
                </c:pt>
                <c:pt idx="5">
                  <c:v>19.25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1A-4CC5-875E-DEF2BA5EE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Percent</a:t>
                </a:r>
              </a:p>
            </c:rich>
          </c:tx>
          <c:layout>
            <c:manualLayout>
              <c:xMode val="edge"/>
              <c:yMode val="edge"/>
              <c:x val="1.2515683601565308E-2"/>
              <c:y val="6.43743938787312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294370180471628"/>
          <c:y val="7.4225786114970937E-2"/>
          <c:w val="0.63411259639056738"/>
          <c:h val="6.51532988523493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Indian vegetable oil stocks ending in September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58449476767E-2"/>
          <c:y val="0.13478224378929379"/>
          <c:w val="0.80411546583610971"/>
          <c:h val="0.63964604558662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4'!$B$1</c:f>
              <c:strCache>
                <c:ptCount val="1"/>
                <c:pt idx="0">
                  <c:v>Stocks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'Figure 4'!$A$2:$A$12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'Figure 4'!$B$2:$B$12</c:f>
              <c:numCache>
                <c:formatCode>_(* #,##0_);_(* \(#,##0\);_(* "-"??_);_(@_)</c:formatCode>
                <c:ptCount val="11"/>
                <c:pt idx="0">
                  <c:v>1568</c:v>
                </c:pt>
                <c:pt idx="1">
                  <c:v>1647</c:v>
                </c:pt>
                <c:pt idx="2">
                  <c:v>1654</c:v>
                </c:pt>
                <c:pt idx="3">
                  <c:v>1929</c:v>
                </c:pt>
                <c:pt idx="4">
                  <c:v>1870</c:v>
                </c:pt>
                <c:pt idx="5">
                  <c:v>2768</c:v>
                </c:pt>
                <c:pt idx="6">
                  <c:v>2565</c:v>
                </c:pt>
                <c:pt idx="7">
                  <c:v>3070</c:v>
                </c:pt>
                <c:pt idx="8">
                  <c:v>2055</c:v>
                </c:pt>
                <c:pt idx="9">
                  <c:v>1694</c:v>
                </c:pt>
                <c:pt idx="10">
                  <c:v>1977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A-434C-AB7A-EC91AA404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835103460904594"/>
              <c:y val="0.88041445980815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6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Thousand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683601565308E-2"/>
              <c:y val="6.285437921104636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306914</xdr:colOff>
      <xdr:row>0</xdr:row>
      <xdr:rowOff>152399</xdr:rowOff>
    </xdr:from>
    <xdr:to>
      <xdr:col>14</xdr:col>
      <xdr:colOff>315383</xdr:colOff>
      <xdr:row>16</xdr:row>
      <xdr:rowOff>70484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14E9D9-15F9-4687-BA6F-D07839BF2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0.9099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82987"/>
          <a:ext cx="5897880" cy="32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USDA, Foreign Agricultural Service,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Production,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Supply, and Distribution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0.90091</cdr:y>
    </cdr:from>
    <cdr:to>
      <cdr:x>1</cdr:x>
      <cdr:y>0.98817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909017"/>
          <a:ext cx="5913969" cy="281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USDA, National Agricultural Statistics Service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Crop Progress.</a:t>
          </a:r>
          <a:endParaRPr lang="en-US" sz="9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b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168275</xdr:rowOff>
    </xdr:from>
    <xdr:to>
      <xdr:col>13</xdr:col>
      <xdr:colOff>39243</xdr:colOff>
      <xdr:row>19</xdr:row>
      <xdr:rowOff>80434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89D511-50B7-4E33-8BD2-C444B8C42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0.89233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955925"/>
          <a:ext cx="5916168" cy="356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Asterisks represent forecasts.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World Agricultural Outlook Board,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World Agricultural Supply and Demand Estimates.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267758</xdr:colOff>
      <xdr:row>0</xdr:row>
      <xdr:rowOff>28575</xdr:rowOff>
    </xdr:from>
    <xdr:to>
      <xdr:col>12</xdr:col>
      <xdr:colOff>258233</xdr:colOff>
      <xdr:row>21</xdr:row>
      <xdr:rowOff>102659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8ECD55-6236-4F08-AF35-63B070774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0.94041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724275"/>
          <a:ext cx="5897880" cy="236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The Solvent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Extractor's Association, India</a:t>
          </a:r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439208</xdr:colOff>
      <xdr:row>0</xdr:row>
      <xdr:rowOff>123822</xdr:rowOff>
    </xdr:from>
    <xdr:to>
      <xdr:col>16</xdr:col>
      <xdr:colOff>431588</xdr:colOff>
      <xdr:row>19</xdr:row>
      <xdr:rowOff>156207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9CAA2E-6945-412D-A59A-2AAB33F7C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0.93024</cdr:y>
    </cdr:from>
    <cdr:to>
      <cdr:x>1</cdr:x>
      <cdr:y>0.98983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613860"/>
          <a:ext cx="5897880" cy="167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The Solvent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Extractor's Association, India</a:t>
          </a:r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124883</xdr:colOff>
      <xdr:row>0</xdr:row>
      <xdr:rowOff>0</xdr:rowOff>
    </xdr:from>
    <xdr:to>
      <xdr:col>12</xdr:col>
      <xdr:colOff>326813</xdr:colOff>
      <xdr:row>21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666ADE-C3B8-416A-949A-3E74B48FF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7109375" defaultRowHeight="14.25" x14ac:dyDescent="0.2"/>
  <cols>
    <col min="1" max="1" width="166.85546875" style="14" bestFit="1" customWidth="1"/>
    <col min="2" max="16384" width="9.7109375" style="1"/>
  </cols>
  <sheetData>
    <row r="1" spans="1:3" ht="15" x14ac:dyDescent="0.25">
      <c r="A1" s="9" t="s">
        <v>79</v>
      </c>
    </row>
    <row r="2" spans="1:3" s="2" customFormat="1" x14ac:dyDescent="0.2">
      <c r="A2" s="10"/>
    </row>
    <row r="3" spans="1:3" x14ac:dyDescent="0.2">
      <c r="A3" s="12" t="s">
        <v>122</v>
      </c>
      <c r="B3" s="4"/>
      <c r="C3" s="2"/>
    </row>
    <row r="4" spans="1:3" x14ac:dyDescent="0.2">
      <c r="A4" s="12" t="s">
        <v>113</v>
      </c>
      <c r="B4" s="5"/>
    </row>
    <row r="5" spans="1:3" x14ac:dyDescent="0.2">
      <c r="A5" s="12" t="s">
        <v>114</v>
      </c>
      <c r="B5" s="5"/>
    </row>
    <row r="6" spans="1:3" x14ac:dyDescent="0.2">
      <c r="A6" s="12" t="s">
        <v>115</v>
      </c>
      <c r="B6" s="5"/>
    </row>
    <row r="7" spans="1:3" x14ac:dyDescent="0.2">
      <c r="A7" s="12" t="s">
        <v>116</v>
      </c>
      <c r="B7" s="5"/>
    </row>
    <row r="8" spans="1:3" x14ac:dyDescent="0.2">
      <c r="A8" s="12" t="s">
        <v>117</v>
      </c>
      <c r="B8" s="5"/>
    </row>
    <row r="9" spans="1:3" x14ac:dyDescent="0.2">
      <c r="A9" s="12" t="s">
        <v>118</v>
      </c>
      <c r="B9" s="5"/>
    </row>
    <row r="10" spans="1:3" x14ac:dyDescent="0.2">
      <c r="A10" s="12" t="s">
        <v>119</v>
      </c>
      <c r="B10" s="5"/>
    </row>
    <row r="11" spans="1:3" x14ac:dyDescent="0.2">
      <c r="A11" s="12" t="s">
        <v>120</v>
      </c>
      <c r="B11" s="5"/>
    </row>
    <row r="12" spans="1:3" x14ac:dyDescent="0.2">
      <c r="A12" s="12" t="s">
        <v>121</v>
      </c>
      <c r="B12" s="5"/>
    </row>
    <row r="13" spans="1:3" x14ac:dyDescent="0.2">
      <c r="A13" s="13" t="s">
        <v>133</v>
      </c>
      <c r="B13" s="5"/>
    </row>
    <row r="14" spans="1:3" ht="12.75" x14ac:dyDescent="0.2">
      <c r="A14" s="1"/>
    </row>
    <row r="15" spans="1:3" ht="15" x14ac:dyDescent="0.25">
      <c r="A15" s="9" t="s">
        <v>80</v>
      </c>
      <c r="B15" s="3"/>
    </row>
    <row r="16" spans="1:3" ht="15" x14ac:dyDescent="0.25">
      <c r="A16" s="11">
        <f ca="1">TODAY()</f>
        <v>44510</v>
      </c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746D-7AA0-4336-B54C-68FB16ED45FB}">
  <dimension ref="A1:C11"/>
  <sheetViews>
    <sheetView zoomScaleNormal="100" workbookViewId="0"/>
  </sheetViews>
  <sheetFormatPr defaultColWidth="9.140625" defaultRowHeight="12.75" x14ac:dyDescent="0.2"/>
  <cols>
    <col min="1" max="1" width="10.42578125" style="141" customWidth="1"/>
    <col min="2" max="2" width="7.42578125" style="141" bestFit="1" customWidth="1"/>
    <col min="3" max="3" width="8.140625" style="141" bestFit="1" customWidth="1"/>
    <col min="4" max="16384" width="9.140625" style="141"/>
  </cols>
  <sheetData>
    <row r="1" spans="1:3" ht="38.25" x14ac:dyDescent="0.2">
      <c r="A1" s="135" t="s">
        <v>136</v>
      </c>
      <c r="B1" s="135" t="s">
        <v>144</v>
      </c>
      <c r="C1" s="135" t="s">
        <v>193</v>
      </c>
    </row>
    <row r="2" spans="1:3" x14ac:dyDescent="0.2">
      <c r="A2" s="150" t="s">
        <v>145</v>
      </c>
      <c r="B2" s="141">
        <v>24.958621588270237</v>
      </c>
      <c r="C2" s="141">
        <v>75.041378411729767</v>
      </c>
    </row>
    <row r="3" spans="1:3" x14ac:dyDescent="0.2">
      <c r="A3" s="151" t="s">
        <v>146</v>
      </c>
      <c r="B3" s="141">
        <v>26.856158898178183</v>
      </c>
      <c r="C3" s="141">
        <v>73.14384110182182</v>
      </c>
    </row>
    <row r="4" spans="1:3" x14ac:dyDescent="0.2">
      <c r="A4" s="151" t="s">
        <v>147</v>
      </c>
      <c r="B4" s="141">
        <v>26.577331563209622</v>
      </c>
      <c r="C4" s="141">
        <v>73.422668436790374</v>
      </c>
    </row>
    <row r="5" spans="1:3" x14ac:dyDescent="0.2">
      <c r="A5" s="151" t="s">
        <v>148</v>
      </c>
      <c r="B5" s="141">
        <v>28.121865008874391</v>
      </c>
      <c r="C5" s="141">
        <v>71.878134991125606</v>
      </c>
    </row>
    <row r="6" spans="1:3" x14ac:dyDescent="0.2">
      <c r="A6" s="151" t="s">
        <v>149</v>
      </c>
      <c r="B6" s="141">
        <v>31.216399385719502</v>
      </c>
      <c r="C6" s="141">
        <v>68.783600614280502</v>
      </c>
    </row>
    <row r="7" spans="1:3" x14ac:dyDescent="0.2">
      <c r="A7" s="151" t="s">
        <v>150</v>
      </c>
      <c r="B7" s="141">
        <v>34.301392697342273</v>
      </c>
      <c r="C7" s="141">
        <v>65.698607302657734</v>
      </c>
    </row>
    <row r="8" spans="1:3" x14ac:dyDescent="0.2">
      <c r="A8" s="151" t="s">
        <v>151</v>
      </c>
      <c r="B8" s="141">
        <v>37.873745459119846</v>
      </c>
      <c r="C8" s="141">
        <v>62.126254540880154</v>
      </c>
    </row>
    <row r="9" spans="1:3" x14ac:dyDescent="0.2">
      <c r="A9" s="151" t="s">
        <v>152</v>
      </c>
      <c r="B9" s="141">
        <v>38.79479656200553</v>
      </c>
      <c r="C9" s="141">
        <v>61.20520343799447</v>
      </c>
    </row>
    <row r="10" spans="1:3" x14ac:dyDescent="0.2">
      <c r="A10" s="151" t="s">
        <v>153</v>
      </c>
      <c r="B10" s="141">
        <v>38.020393654232478</v>
      </c>
      <c r="C10" s="141">
        <v>61.979606345767515</v>
      </c>
    </row>
    <row r="11" spans="1:3" x14ac:dyDescent="0.2">
      <c r="A11" s="152" t="s">
        <v>154</v>
      </c>
      <c r="B11" s="141">
        <v>44</v>
      </c>
      <c r="C11" s="141">
        <v>56.000000000000007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EE89B-BBBD-459A-8FEA-58F14F1A810B}">
  <dimension ref="A1:B48"/>
  <sheetViews>
    <sheetView zoomScaleNormal="100" workbookViewId="0"/>
  </sheetViews>
  <sheetFormatPr defaultColWidth="8.85546875" defaultRowHeight="12.75" x14ac:dyDescent="0.2"/>
  <cols>
    <col min="1" max="1" width="10.42578125" style="136" customWidth="1"/>
    <col min="2" max="2" width="6.7109375" style="136" bestFit="1" customWidth="1"/>
    <col min="3" max="16384" width="8.85546875" style="136"/>
  </cols>
  <sheetData>
    <row r="1" spans="1:2" ht="51" x14ac:dyDescent="0.2">
      <c r="A1" s="135" t="s">
        <v>156</v>
      </c>
      <c r="B1" s="135" t="s">
        <v>155</v>
      </c>
    </row>
    <row r="2" spans="1:2" x14ac:dyDescent="0.2">
      <c r="A2" s="137" t="s">
        <v>157</v>
      </c>
      <c r="B2" s="140">
        <v>774</v>
      </c>
    </row>
    <row r="3" spans="1:2" x14ac:dyDescent="0.2">
      <c r="A3" s="137" t="s">
        <v>158</v>
      </c>
      <c r="B3" s="140">
        <v>873</v>
      </c>
    </row>
    <row r="4" spans="1:2" x14ac:dyDescent="0.2">
      <c r="A4" s="137" t="s">
        <v>159</v>
      </c>
      <c r="B4" s="140">
        <v>974</v>
      </c>
    </row>
    <row r="5" spans="1:2" x14ac:dyDescent="0.2">
      <c r="A5" s="137" t="s">
        <v>160</v>
      </c>
      <c r="B5" s="140">
        <v>1047</v>
      </c>
    </row>
    <row r="6" spans="1:2" x14ac:dyDescent="0.2">
      <c r="A6" s="137" t="s">
        <v>161</v>
      </c>
      <c r="B6" s="140">
        <v>1089</v>
      </c>
    </row>
    <row r="7" spans="1:2" x14ac:dyDescent="0.2">
      <c r="A7" s="137" t="s">
        <v>164</v>
      </c>
      <c r="B7" s="140">
        <v>1126</v>
      </c>
    </row>
    <row r="8" spans="1:2" x14ac:dyDescent="0.2">
      <c r="A8" s="137" t="s">
        <v>165</v>
      </c>
      <c r="B8" s="140">
        <v>1173</v>
      </c>
    </row>
    <row r="9" spans="1:2" x14ac:dyDescent="0.2">
      <c r="A9" s="137" t="s">
        <v>51</v>
      </c>
      <c r="B9" s="140">
        <v>1250</v>
      </c>
    </row>
    <row r="10" spans="1:2" x14ac:dyDescent="0.2">
      <c r="A10" s="137" t="s">
        <v>52</v>
      </c>
      <c r="B10" s="140">
        <v>1075</v>
      </c>
    </row>
    <row r="11" spans="1:2" x14ac:dyDescent="0.2">
      <c r="A11" s="137" t="s">
        <v>54</v>
      </c>
      <c r="B11" s="140">
        <v>1230</v>
      </c>
    </row>
    <row r="12" spans="1:2" x14ac:dyDescent="0.2">
      <c r="A12" s="137" t="s">
        <v>162</v>
      </c>
      <c r="B12" s="138">
        <v>1217</v>
      </c>
    </row>
    <row r="13" spans="1:2" x14ac:dyDescent="0.2">
      <c r="A13" s="137" t="s">
        <v>163</v>
      </c>
      <c r="B13" s="138">
        <v>1240</v>
      </c>
    </row>
    <row r="14" spans="1:2" x14ac:dyDescent="0.2">
      <c r="B14" s="138"/>
    </row>
    <row r="15" spans="1:2" x14ac:dyDescent="0.2">
      <c r="B15" s="138"/>
    </row>
    <row r="16" spans="1:2" x14ac:dyDescent="0.2">
      <c r="B16" s="138"/>
    </row>
    <row r="17" spans="2:2" x14ac:dyDescent="0.2">
      <c r="B17" s="138"/>
    </row>
    <row r="18" spans="2:2" x14ac:dyDescent="0.2">
      <c r="B18" s="138"/>
    </row>
    <row r="19" spans="2:2" x14ac:dyDescent="0.2">
      <c r="B19" s="138"/>
    </row>
    <row r="20" spans="2:2" x14ac:dyDescent="0.2">
      <c r="B20" s="138"/>
    </row>
    <row r="21" spans="2:2" x14ac:dyDescent="0.2">
      <c r="B21" s="139"/>
    </row>
    <row r="22" spans="2:2" x14ac:dyDescent="0.2">
      <c r="B22" s="139"/>
    </row>
    <row r="23" spans="2:2" x14ac:dyDescent="0.2">
      <c r="B23" s="139"/>
    </row>
    <row r="24" spans="2:2" x14ac:dyDescent="0.2">
      <c r="B24" s="139"/>
    </row>
    <row r="25" spans="2:2" x14ac:dyDescent="0.2">
      <c r="B25" s="139"/>
    </row>
    <row r="26" spans="2:2" x14ac:dyDescent="0.2">
      <c r="B26" s="139"/>
    </row>
    <row r="27" spans="2:2" x14ac:dyDescent="0.2">
      <c r="B27" s="139"/>
    </row>
    <row r="28" spans="2:2" x14ac:dyDescent="0.2">
      <c r="B28" s="139"/>
    </row>
    <row r="29" spans="2:2" x14ac:dyDescent="0.2">
      <c r="B29" s="139"/>
    </row>
    <row r="30" spans="2:2" x14ac:dyDescent="0.2">
      <c r="B30" s="139"/>
    </row>
    <row r="31" spans="2:2" x14ac:dyDescent="0.2">
      <c r="B31" s="139"/>
    </row>
    <row r="32" spans="2:2" x14ac:dyDescent="0.2">
      <c r="B32" s="139"/>
    </row>
    <row r="33" spans="2:2" x14ac:dyDescent="0.2">
      <c r="B33" s="139"/>
    </row>
    <row r="34" spans="2:2" x14ac:dyDescent="0.2">
      <c r="B34" s="139"/>
    </row>
    <row r="35" spans="2:2" x14ac:dyDescent="0.2">
      <c r="B35" s="139"/>
    </row>
    <row r="36" spans="2:2" x14ac:dyDescent="0.2">
      <c r="B36" s="139"/>
    </row>
    <row r="37" spans="2:2" x14ac:dyDescent="0.2">
      <c r="B37" s="139"/>
    </row>
    <row r="38" spans="2:2" x14ac:dyDescent="0.2">
      <c r="B38" s="139"/>
    </row>
    <row r="39" spans="2:2" x14ac:dyDescent="0.2">
      <c r="B39" s="139"/>
    </row>
    <row r="40" spans="2:2" x14ac:dyDescent="0.2">
      <c r="B40" s="139"/>
    </row>
    <row r="41" spans="2:2" x14ac:dyDescent="0.2">
      <c r="B41" s="139"/>
    </row>
    <row r="42" spans="2:2" x14ac:dyDescent="0.2">
      <c r="B42" s="139"/>
    </row>
    <row r="43" spans="2:2" x14ac:dyDescent="0.2">
      <c r="B43" s="139"/>
    </row>
    <row r="44" spans="2:2" x14ac:dyDescent="0.2">
      <c r="B44" s="139"/>
    </row>
    <row r="45" spans="2:2" x14ac:dyDescent="0.2">
      <c r="B45" s="139"/>
    </row>
    <row r="46" spans="2:2" x14ac:dyDescent="0.2">
      <c r="B46" s="139"/>
    </row>
    <row r="47" spans="2:2" x14ac:dyDescent="0.2">
      <c r="B47" s="139"/>
    </row>
    <row r="48" spans="2:2" x14ac:dyDescent="0.2">
      <c r="B48" s="139"/>
    </row>
  </sheetData>
  <phoneticPr fontId="33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A50F-AC31-4BD2-A503-268521113808}">
  <dimension ref="A1:F34"/>
  <sheetViews>
    <sheetView zoomScaleNormal="100" workbookViewId="0"/>
  </sheetViews>
  <sheetFormatPr defaultColWidth="8.85546875" defaultRowHeight="12.75" x14ac:dyDescent="0.2"/>
  <cols>
    <col min="1" max="1" width="40.140625" style="136" bestFit="1" customWidth="1"/>
    <col min="2" max="2" width="8.140625" style="136" bestFit="1" customWidth="1"/>
    <col min="3" max="5" width="9.140625" style="136" bestFit="1" customWidth="1"/>
    <col min="6" max="6" width="10.140625" style="136" bestFit="1" customWidth="1"/>
    <col min="7" max="16384" width="8.85546875" style="136"/>
  </cols>
  <sheetData>
    <row r="1" spans="1:6" x14ac:dyDescent="0.2">
      <c r="B1" s="158" t="s">
        <v>179</v>
      </c>
      <c r="C1" s="159"/>
      <c r="D1" s="159"/>
      <c r="E1" s="159"/>
      <c r="F1" s="159"/>
    </row>
    <row r="2" spans="1:6" x14ac:dyDescent="0.2">
      <c r="A2" s="155" t="s">
        <v>166</v>
      </c>
      <c r="B2" s="157" t="s">
        <v>172</v>
      </c>
      <c r="C2" s="157" t="s">
        <v>173</v>
      </c>
      <c r="D2" s="157" t="s">
        <v>174</v>
      </c>
      <c r="E2" s="157" t="s">
        <v>175</v>
      </c>
      <c r="F2" s="160" t="s">
        <v>176</v>
      </c>
    </row>
    <row r="3" spans="1:6" x14ac:dyDescent="0.2">
      <c r="A3" t="s">
        <v>167</v>
      </c>
      <c r="B3" s="163">
        <v>37.549999999999997</v>
      </c>
      <c r="C3" s="163">
        <v>30.25</v>
      </c>
      <c r="D3" s="163">
        <v>30.25</v>
      </c>
      <c r="E3" s="163">
        <v>24.75</v>
      </c>
      <c r="F3" s="163">
        <v>8.25</v>
      </c>
    </row>
    <row r="4" spans="1:6" x14ac:dyDescent="0.2">
      <c r="A4" s="141" t="s">
        <v>198</v>
      </c>
      <c r="B4" s="163">
        <v>49.5</v>
      </c>
      <c r="C4" s="163">
        <v>41.25</v>
      </c>
      <c r="D4" s="163">
        <v>41.25</v>
      </c>
      <c r="E4" s="163">
        <v>35.75</v>
      </c>
      <c r="F4" s="163">
        <v>19.25</v>
      </c>
    </row>
    <row r="5" spans="1:6" x14ac:dyDescent="0.2">
      <c r="A5" t="s">
        <v>168</v>
      </c>
      <c r="B5" s="163">
        <v>38.5</v>
      </c>
      <c r="C5" s="163">
        <v>38.5</v>
      </c>
      <c r="D5" s="163">
        <v>30.25</v>
      </c>
      <c r="E5" s="163">
        <v>24.75</v>
      </c>
      <c r="F5" s="163">
        <v>5.5</v>
      </c>
    </row>
    <row r="6" spans="1:6" x14ac:dyDescent="0.2">
      <c r="A6" t="s">
        <v>169</v>
      </c>
      <c r="B6" s="163">
        <v>49.5</v>
      </c>
      <c r="C6" s="163">
        <v>49.5</v>
      </c>
      <c r="D6" s="163">
        <v>41.25</v>
      </c>
      <c r="E6" s="163">
        <v>35.75</v>
      </c>
      <c r="F6" s="163">
        <v>19.25</v>
      </c>
    </row>
    <row r="7" spans="1:6" x14ac:dyDescent="0.2">
      <c r="A7" t="s">
        <v>170</v>
      </c>
      <c r="B7" s="163">
        <v>38.5</v>
      </c>
      <c r="C7" s="163">
        <v>38.5</v>
      </c>
      <c r="D7" s="163">
        <v>30.25</v>
      </c>
      <c r="E7" s="163">
        <v>24.75</v>
      </c>
      <c r="F7" s="163">
        <v>5.5</v>
      </c>
    </row>
    <row r="8" spans="1:6" x14ac:dyDescent="0.2">
      <c r="A8" t="s">
        <v>171</v>
      </c>
      <c r="B8" s="163">
        <v>49.5</v>
      </c>
      <c r="C8" s="163">
        <v>49.5</v>
      </c>
      <c r="D8" s="163">
        <v>41.25</v>
      </c>
      <c r="E8" s="163">
        <v>35.75</v>
      </c>
      <c r="F8" s="163">
        <v>19.25</v>
      </c>
    </row>
    <row r="9" spans="1:6" x14ac:dyDescent="0.2">
      <c r="B9" s="139"/>
      <c r="C9" s="138"/>
      <c r="D9" s="138"/>
    </row>
    <row r="10" spans="1:6" x14ac:dyDescent="0.2">
      <c r="B10" s="139"/>
      <c r="C10" s="139"/>
      <c r="D10" s="139"/>
    </row>
    <row r="11" spans="1:6" x14ac:dyDescent="0.2">
      <c r="B11" s="139"/>
      <c r="C11" s="139"/>
      <c r="D11" s="139"/>
    </row>
    <row r="12" spans="1:6" x14ac:dyDescent="0.2">
      <c r="B12" s="139"/>
      <c r="C12" s="139"/>
      <c r="D12" s="139"/>
    </row>
    <row r="13" spans="1:6" x14ac:dyDescent="0.2">
      <c r="B13" s="139"/>
      <c r="C13" s="139"/>
      <c r="D13" s="139"/>
    </row>
    <row r="14" spans="1:6" x14ac:dyDescent="0.2">
      <c r="B14" s="139"/>
      <c r="C14" s="139"/>
      <c r="D14" s="139"/>
    </row>
    <row r="15" spans="1:6" x14ac:dyDescent="0.2">
      <c r="B15" s="139"/>
      <c r="C15" s="139"/>
      <c r="D15" s="139"/>
    </row>
    <row r="16" spans="1:6" x14ac:dyDescent="0.2">
      <c r="B16" s="139"/>
      <c r="C16" s="139"/>
      <c r="D16" s="139"/>
    </row>
    <row r="17" spans="2:4" x14ac:dyDescent="0.2">
      <c r="B17" s="139"/>
      <c r="C17" s="139"/>
      <c r="D17" s="139"/>
    </row>
    <row r="18" spans="2:4" x14ac:dyDescent="0.2">
      <c r="B18" s="139"/>
      <c r="C18" s="139"/>
      <c r="D18" s="139"/>
    </row>
    <row r="19" spans="2:4" x14ac:dyDescent="0.2">
      <c r="B19" s="139"/>
      <c r="C19" s="139"/>
      <c r="D19" s="139"/>
    </row>
    <row r="20" spans="2:4" x14ac:dyDescent="0.2">
      <c r="B20" s="139"/>
      <c r="C20" s="139"/>
      <c r="D20" s="139"/>
    </row>
    <row r="21" spans="2:4" x14ac:dyDescent="0.2">
      <c r="B21" s="139"/>
      <c r="C21" s="139"/>
      <c r="D21" s="139"/>
    </row>
    <row r="22" spans="2:4" x14ac:dyDescent="0.2">
      <c r="B22" s="139"/>
      <c r="C22" s="139"/>
      <c r="D22" s="139"/>
    </row>
    <row r="23" spans="2:4" x14ac:dyDescent="0.2">
      <c r="B23" s="139"/>
      <c r="C23" s="139"/>
      <c r="D23" s="139"/>
    </row>
    <row r="24" spans="2:4" x14ac:dyDescent="0.2">
      <c r="B24" s="139"/>
      <c r="C24" s="139"/>
      <c r="D24" s="139"/>
    </row>
    <row r="25" spans="2:4" x14ac:dyDescent="0.2">
      <c r="B25" s="139"/>
      <c r="C25" s="139"/>
      <c r="D25" s="139"/>
    </row>
    <row r="26" spans="2:4" x14ac:dyDescent="0.2">
      <c r="B26" s="139"/>
      <c r="C26" s="139"/>
      <c r="D26" s="139"/>
    </row>
    <row r="27" spans="2:4" x14ac:dyDescent="0.2">
      <c r="B27" s="139"/>
      <c r="C27" s="139"/>
      <c r="D27" s="139"/>
    </row>
    <row r="28" spans="2:4" x14ac:dyDescent="0.2">
      <c r="B28" s="139"/>
      <c r="C28" s="139"/>
      <c r="D28" s="139"/>
    </row>
    <row r="29" spans="2:4" x14ac:dyDescent="0.2">
      <c r="B29" s="139"/>
      <c r="C29" s="139"/>
      <c r="D29" s="139"/>
    </row>
    <row r="30" spans="2:4" x14ac:dyDescent="0.2">
      <c r="B30" s="139"/>
      <c r="C30" s="139"/>
      <c r="D30" s="139"/>
    </row>
    <row r="31" spans="2:4" x14ac:dyDescent="0.2">
      <c r="B31" s="139"/>
      <c r="C31" s="139"/>
      <c r="D31" s="139"/>
    </row>
    <row r="32" spans="2:4" x14ac:dyDescent="0.2">
      <c r="B32" s="139"/>
      <c r="C32" s="139"/>
      <c r="D32" s="139"/>
    </row>
    <row r="33" spans="2:4" x14ac:dyDescent="0.2">
      <c r="B33" s="139"/>
      <c r="C33" s="139"/>
      <c r="D33" s="139"/>
    </row>
    <row r="34" spans="2:4" x14ac:dyDescent="0.2">
      <c r="B34" s="139"/>
      <c r="C34" s="139"/>
      <c r="D34" s="13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25455-612E-4831-9A7E-23C9C1193085}">
  <dimension ref="A1:L37"/>
  <sheetViews>
    <sheetView zoomScaleNormal="100" workbookViewId="0"/>
  </sheetViews>
  <sheetFormatPr defaultColWidth="8.85546875" defaultRowHeight="12.75" x14ac:dyDescent="0.2"/>
  <cols>
    <col min="1" max="1" width="10.42578125" style="136" customWidth="1"/>
    <col min="2" max="2" width="6.85546875" style="136" bestFit="1" customWidth="1"/>
    <col min="3" max="3" width="7.28515625" style="136" bestFit="1" customWidth="1"/>
    <col min="4" max="4" width="7.28515625" style="136" customWidth="1"/>
    <col min="5" max="16384" width="8.85546875" style="136"/>
  </cols>
  <sheetData>
    <row r="1" spans="1:12" ht="25.5" x14ac:dyDescent="0.2">
      <c r="A1" s="135" t="s">
        <v>136</v>
      </c>
      <c r="B1" s="157" t="s">
        <v>177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x14ac:dyDescent="0.2">
      <c r="A2" s="154" t="s">
        <v>43</v>
      </c>
      <c r="B2" s="156">
        <v>1568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x14ac:dyDescent="0.2">
      <c r="A3" s="154" t="s">
        <v>53</v>
      </c>
      <c r="B3" s="156">
        <v>1647</v>
      </c>
      <c r="C3" s="138"/>
      <c r="D3" s="138"/>
    </row>
    <row r="4" spans="1:12" x14ac:dyDescent="0.2">
      <c r="A4" s="154" t="s">
        <v>65</v>
      </c>
      <c r="B4" s="156">
        <v>1654</v>
      </c>
      <c r="C4" s="138"/>
      <c r="D4" s="138"/>
    </row>
    <row r="5" spans="1:12" x14ac:dyDescent="0.2">
      <c r="A5" s="154" t="s">
        <v>71</v>
      </c>
      <c r="B5" s="156">
        <v>1929</v>
      </c>
      <c r="C5" s="138"/>
      <c r="D5" s="138"/>
    </row>
    <row r="6" spans="1:12" x14ac:dyDescent="0.2">
      <c r="A6" s="154" t="s">
        <v>73</v>
      </c>
      <c r="B6" s="156">
        <v>1870</v>
      </c>
      <c r="C6" s="138"/>
      <c r="D6" s="138"/>
    </row>
    <row r="7" spans="1:12" x14ac:dyDescent="0.2">
      <c r="A7" s="154" t="s">
        <v>74</v>
      </c>
      <c r="B7" s="156">
        <v>2768</v>
      </c>
      <c r="C7" s="138"/>
      <c r="D7" s="138"/>
    </row>
    <row r="8" spans="1:12" x14ac:dyDescent="0.2">
      <c r="A8" s="154" t="s">
        <v>77</v>
      </c>
      <c r="B8" s="156">
        <v>2565</v>
      </c>
      <c r="C8" s="138"/>
      <c r="D8" s="138"/>
    </row>
    <row r="9" spans="1:12" x14ac:dyDescent="0.2">
      <c r="A9" s="154" t="s">
        <v>78</v>
      </c>
      <c r="B9" s="156">
        <v>3070</v>
      </c>
      <c r="C9" s="138"/>
      <c r="D9" s="138"/>
    </row>
    <row r="10" spans="1:12" x14ac:dyDescent="0.2">
      <c r="A10" s="154" t="s">
        <v>98</v>
      </c>
      <c r="B10" s="156">
        <v>2055</v>
      </c>
      <c r="C10" s="139"/>
      <c r="D10" s="139"/>
    </row>
    <row r="11" spans="1:12" x14ac:dyDescent="0.2">
      <c r="A11" s="154" t="s">
        <v>100</v>
      </c>
      <c r="B11" s="156">
        <v>1694</v>
      </c>
      <c r="C11" s="139"/>
      <c r="D11" s="139"/>
    </row>
    <row r="12" spans="1:12" x14ac:dyDescent="0.2">
      <c r="A12" s="154" t="s">
        <v>103</v>
      </c>
      <c r="B12" s="156">
        <v>1977</v>
      </c>
      <c r="C12" s="139"/>
      <c r="D12" s="139"/>
    </row>
    <row r="13" spans="1:12" x14ac:dyDescent="0.2">
      <c r="C13" s="139"/>
      <c r="D13" s="139"/>
    </row>
    <row r="14" spans="1:12" x14ac:dyDescent="0.2">
      <c r="B14" s="139"/>
      <c r="C14" s="139"/>
      <c r="D14" s="139"/>
    </row>
    <row r="15" spans="1:12" x14ac:dyDescent="0.2">
      <c r="B15" s="139"/>
      <c r="C15" s="139"/>
      <c r="D15" s="139"/>
    </row>
    <row r="16" spans="1:12" x14ac:dyDescent="0.2">
      <c r="B16" s="139"/>
      <c r="C16" s="139"/>
      <c r="D16" s="139"/>
    </row>
    <row r="17" spans="2:4" x14ac:dyDescent="0.2">
      <c r="B17" s="139"/>
      <c r="C17" s="139"/>
      <c r="D17" s="139"/>
    </row>
    <row r="18" spans="2:4" x14ac:dyDescent="0.2">
      <c r="B18" s="139"/>
      <c r="C18" s="139"/>
      <c r="D18" s="139"/>
    </row>
    <row r="19" spans="2:4" x14ac:dyDescent="0.2">
      <c r="B19" s="139"/>
      <c r="C19" s="139"/>
      <c r="D19" s="139"/>
    </row>
    <row r="20" spans="2:4" x14ac:dyDescent="0.2">
      <c r="B20" s="139"/>
      <c r="C20" s="139"/>
      <c r="D20" s="139"/>
    </row>
    <row r="21" spans="2:4" x14ac:dyDescent="0.2">
      <c r="B21" s="139"/>
      <c r="C21" s="139"/>
      <c r="D21" s="139"/>
    </row>
    <row r="22" spans="2:4" x14ac:dyDescent="0.2">
      <c r="B22" s="139"/>
      <c r="C22" s="139"/>
      <c r="D22" s="139"/>
    </row>
    <row r="23" spans="2:4" x14ac:dyDescent="0.2">
      <c r="B23" s="139"/>
      <c r="C23" s="139"/>
      <c r="D23" s="139"/>
    </row>
    <row r="24" spans="2:4" x14ac:dyDescent="0.2">
      <c r="B24" s="139"/>
      <c r="C24" s="139"/>
      <c r="D24" s="139"/>
    </row>
    <row r="25" spans="2:4" x14ac:dyDescent="0.2">
      <c r="B25" s="139"/>
      <c r="C25" s="139"/>
      <c r="D25" s="139"/>
    </row>
    <row r="26" spans="2:4" x14ac:dyDescent="0.2">
      <c r="B26" s="139"/>
      <c r="C26" s="139"/>
      <c r="D26" s="139"/>
    </row>
    <row r="27" spans="2:4" x14ac:dyDescent="0.2">
      <c r="B27" s="139"/>
      <c r="C27" s="139"/>
      <c r="D27" s="139"/>
    </row>
    <row r="28" spans="2:4" x14ac:dyDescent="0.2">
      <c r="B28" s="139"/>
      <c r="C28" s="139"/>
      <c r="D28" s="139"/>
    </row>
    <row r="29" spans="2:4" x14ac:dyDescent="0.2">
      <c r="B29" s="139"/>
      <c r="C29" s="139"/>
      <c r="D29" s="139"/>
    </row>
    <row r="30" spans="2:4" x14ac:dyDescent="0.2">
      <c r="B30" s="139"/>
      <c r="C30" s="139"/>
      <c r="D30" s="139"/>
    </row>
    <row r="31" spans="2:4" x14ac:dyDescent="0.2">
      <c r="B31" s="139"/>
      <c r="C31" s="139"/>
      <c r="D31" s="139"/>
    </row>
    <row r="32" spans="2:4" x14ac:dyDescent="0.2">
      <c r="B32" s="139"/>
      <c r="C32" s="139"/>
      <c r="D32" s="139"/>
    </row>
    <row r="33" spans="2:4" x14ac:dyDescent="0.2">
      <c r="B33" s="139"/>
      <c r="C33" s="139"/>
      <c r="D33" s="139"/>
    </row>
    <row r="34" spans="2:4" x14ac:dyDescent="0.2">
      <c r="B34" s="139"/>
      <c r="C34" s="139"/>
      <c r="D34" s="139"/>
    </row>
    <row r="35" spans="2:4" x14ac:dyDescent="0.2">
      <c r="B35" s="139"/>
      <c r="C35" s="139"/>
      <c r="D35" s="139"/>
    </row>
    <row r="36" spans="2:4" x14ac:dyDescent="0.2">
      <c r="B36" s="139"/>
      <c r="C36" s="139"/>
      <c r="D36" s="139"/>
    </row>
    <row r="37" spans="2:4" x14ac:dyDescent="0.2">
      <c r="B37" s="139"/>
      <c r="C37" s="139"/>
      <c r="D37" s="13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2"/>
  <sheetViews>
    <sheetView showGridLines="0" zoomScale="70" zoomScaleNormal="70" workbookViewId="0"/>
  </sheetViews>
  <sheetFormatPr defaultColWidth="9.140625" defaultRowHeight="12.75" x14ac:dyDescent="0.2"/>
  <cols>
    <col min="1" max="1" width="21.7109375" style="19" customWidth="1"/>
    <col min="2" max="2" width="14.140625" style="19" bestFit="1" customWidth="1"/>
    <col min="3" max="3" width="9.5703125" style="19" customWidth="1"/>
    <col min="4" max="4" width="26.7109375" style="19" customWidth="1"/>
    <col min="5" max="5" width="9.7109375" style="19" customWidth="1"/>
    <col min="6" max="6" width="10.7109375" style="19" customWidth="1"/>
    <col min="7" max="7" width="8.7109375" style="19" bestFit="1" customWidth="1"/>
    <col min="8" max="8" width="9.7109375" style="19" customWidth="1"/>
    <col min="9" max="9" width="1.7109375" style="19" customWidth="1"/>
    <col min="10" max="10" width="9.7109375" style="19" customWidth="1"/>
    <col min="11" max="12" width="10.7109375" style="19" customWidth="1"/>
    <col min="13" max="13" width="10.28515625" style="19" customWidth="1"/>
    <col min="14" max="14" width="9.7109375" style="19" customWidth="1"/>
    <col min="15" max="16" width="9.140625" style="19"/>
    <col min="17" max="17" width="15.42578125" style="19" bestFit="1" customWidth="1"/>
    <col min="18" max="18" width="10.140625" style="19" bestFit="1" customWidth="1"/>
    <col min="19" max="16384" width="9.140625" style="19"/>
  </cols>
  <sheetData>
    <row r="1" spans="1:23" ht="14.25" x14ac:dyDescent="0.2">
      <c r="A1" s="18" t="s">
        <v>122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3" ht="14.25" x14ac:dyDescent="0.2">
      <c r="A2" s="20"/>
      <c r="B2" s="21" t="s">
        <v>19</v>
      </c>
      <c r="C2" s="55"/>
      <c r="D2" s="22" t="s">
        <v>22</v>
      </c>
      <c r="E2" s="23"/>
      <c r="F2" s="55" t="s">
        <v>66</v>
      </c>
      <c r="G2" s="55"/>
      <c r="H2" s="55"/>
      <c r="I2" s="24"/>
      <c r="J2" s="23"/>
      <c r="K2" s="55"/>
      <c r="L2" s="25" t="s">
        <v>56</v>
      </c>
      <c r="M2" s="55"/>
      <c r="N2" s="20"/>
    </row>
    <row r="3" spans="1:23" ht="14.25" x14ac:dyDescent="0.2">
      <c r="A3" s="20" t="s">
        <v>60</v>
      </c>
      <c r="B3" s="22" t="s">
        <v>20</v>
      </c>
      <c r="C3" s="20" t="s">
        <v>21</v>
      </c>
      <c r="D3" s="22"/>
      <c r="E3" s="26" t="s">
        <v>8</v>
      </c>
      <c r="F3" s="26"/>
      <c r="G3" s="26"/>
      <c r="H3" s="26"/>
      <c r="I3" s="26"/>
      <c r="J3" s="22" t="s">
        <v>58</v>
      </c>
      <c r="K3" s="26" t="s">
        <v>72</v>
      </c>
      <c r="L3" s="26"/>
      <c r="M3" s="26"/>
      <c r="N3" s="26" t="s">
        <v>6</v>
      </c>
    </row>
    <row r="4" spans="1:23" ht="14.25" x14ac:dyDescent="0.2">
      <c r="A4" s="27" t="s">
        <v>63</v>
      </c>
      <c r="B4" s="28"/>
      <c r="C4" s="28"/>
      <c r="D4" s="28"/>
      <c r="E4" s="29" t="s">
        <v>7</v>
      </c>
      <c r="F4" s="29" t="s">
        <v>1</v>
      </c>
      <c r="G4" s="30" t="s">
        <v>2</v>
      </c>
      <c r="H4" s="31" t="s">
        <v>3</v>
      </c>
      <c r="I4" s="30"/>
      <c r="J4" s="30"/>
      <c r="K4" s="30" t="s">
        <v>137</v>
      </c>
      <c r="L4" s="31" t="s">
        <v>4</v>
      </c>
      <c r="M4" s="29" t="s">
        <v>3</v>
      </c>
      <c r="N4" s="30" t="s">
        <v>7</v>
      </c>
      <c r="W4" s="32"/>
    </row>
    <row r="5" spans="1:23" ht="14.25" x14ac:dyDescent="0.2">
      <c r="A5" s="20"/>
      <c r="B5" s="33" t="s">
        <v>67</v>
      </c>
      <c r="C5" s="56"/>
      <c r="D5" s="34" t="s">
        <v>105</v>
      </c>
      <c r="G5" s="33"/>
      <c r="I5" s="33"/>
      <c r="J5" s="33" t="s">
        <v>99</v>
      </c>
      <c r="K5" s="33"/>
      <c r="L5" s="33"/>
      <c r="M5" s="33"/>
      <c r="N5" s="33"/>
      <c r="W5" s="32"/>
    </row>
    <row r="6" spans="1:23" ht="16.5" customHeight="1" x14ac:dyDescent="0.2">
      <c r="A6" s="20" t="s">
        <v>100</v>
      </c>
      <c r="B6" s="35">
        <v>76.099999999999994</v>
      </c>
      <c r="C6" s="35">
        <v>74.938999999999993</v>
      </c>
      <c r="D6" s="35">
        <f>F6/C6</f>
        <v>47.397323156167019</v>
      </c>
      <c r="E6" s="36">
        <v>909</v>
      </c>
      <c r="F6" s="37">
        <v>3551.9079999999999</v>
      </c>
      <c r="G6" s="38">
        <v>15.380623192800002</v>
      </c>
      <c r="H6" s="38">
        <f>SUM(E6:G6)</f>
        <v>4476.2886231927996</v>
      </c>
      <c r="I6" s="37" t="e">
        <f>#REF!</f>
        <v>#REF!</v>
      </c>
      <c r="J6" s="37">
        <v>2164.571916009776</v>
      </c>
      <c r="K6" s="37">
        <f>M6-L6-J6</f>
        <v>107.92510436542307</v>
      </c>
      <c r="L6" s="38">
        <v>1679.2506028176001</v>
      </c>
      <c r="M6" s="38">
        <f>H6-N6</f>
        <v>3951.7476231927994</v>
      </c>
      <c r="N6" s="38">
        <v>524.54100000000017</v>
      </c>
    </row>
    <row r="7" spans="1:23" ht="16.5" customHeight="1" x14ac:dyDescent="0.2">
      <c r="A7" s="20" t="s">
        <v>101</v>
      </c>
      <c r="B7" s="35">
        <v>83.353999999999999</v>
      </c>
      <c r="C7" s="35">
        <v>82.602999999999994</v>
      </c>
      <c r="D7" s="35">
        <f>F7/C7</f>
        <v>51.042964541239421</v>
      </c>
      <c r="E7" s="36">
        <f>N6</f>
        <v>524.54100000000017</v>
      </c>
      <c r="F7" s="37">
        <f>F28</f>
        <v>4216.3019999999997</v>
      </c>
      <c r="G7" s="38">
        <f>G28</f>
        <v>19.838438342399996</v>
      </c>
      <c r="H7" s="38">
        <f>SUM(E7:G7)</f>
        <v>4760.6814383423998</v>
      </c>
      <c r="I7" s="20"/>
      <c r="J7" s="37">
        <f>J28</f>
        <v>2140.6021535309255</v>
      </c>
      <c r="K7" s="37">
        <f t="shared" ref="K7:K8" si="0">M7-L7-J7</f>
        <v>98.451103312274427</v>
      </c>
      <c r="L7" s="38">
        <f>L28</f>
        <v>2265.4491814991998</v>
      </c>
      <c r="M7" s="38">
        <f>H7-N7</f>
        <v>4504.5024383423997</v>
      </c>
      <c r="N7" s="38">
        <f>N27</f>
        <v>256.17899999999997</v>
      </c>
    </row>
    <row r="8" spans="1:23" ht="16.5" customHeight="1" x14ac:dyDescent="0.2">
      <c r="A8" s="20" t="s">
        <v>126</v>
      </c>
      <c r="B8" s="35">
        <v>87.234999999999999</v>
      </c>
      <c r="C8" s="35">
        <v>86.436000000000007</v>
      </c>
      <c r="D8" s="35">
        <f>F8/C8</f>
        <v>51.193275949835716</v>
      </c>
      <c r="E8" s="36">
        <f>N7</f>
        <v>256.17899999999997</v>
      </c>
      <c r="F8" s="37">
        <v>4424.942</v>
      </c>
      <c r="G8" s="38">
        <v>15</v>
      </c>
      <c r="H8" s="38">
        <f>SUM(E8:G8)</f>
        <v>4696.1210000000001</v>
      </c>
      <c r="I8" s="20"/>
      <c r="J8" s="37">
        <v>2190</v>
      </c>
      <c r="K8" s="37">
        <f t="shared" si="0"/>
        <v>116.22100000000046</v>
      </c>
      <c r="L8" s="38">
        <v>2050</v>
      </c>
      <c r="M8" s="38">
        <f>H8-N8</f>
        <v>4356.2210000000005</v>
      </c>
      <c r="N8" s="38">
        <v>339.9</v>
      </c>
    </row>
    <row r="9" spans="1:23" ht="16.5" customHeight="1" x14ac:dyDescent="0.2">
      <c r="A9" s="24"/>
      <c r="B9" s="24"/>
      <c r="C9" s="24"/>
      <c r="D9" s="24"/>
      <c r="E9" s="39"/>
      <c r="F9" s="39"/>
      <c r="G9" s="40"/>
      <c r="H9" s="39"/>
      <c r="I9" s="39"/>
      <c r="J9" s="40"/>
      <c r="K9" s="40"/>
      <c r="L9" s="40"/>
      <c r="M9" s="40"/>
      <c r="N9" s="40"/>
    </row>
    <row r="10" spans="1:23" ht="16.5" customHeight="1" x14ac:dyDescent="0.2">
      <c r="A10" s="24" t="s">
        <v>106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41"/>
    </row>
    <row r="11" spans="1:23" ht="16.5" customHeight="1" x14ac:dyDescent="0.25">
      <c r="A11" s="42" t="s">
        <v>103</v>
      </c>
      <c r="B11" s="43"/>
      <c r="C11" s="43"/>
      <c r="D11" s="43"/>
      <c r="E11" s="45"/>
      <c r="F11" s="46"/>
      <c r="G11" s="8"/>
      <c r="H11" s="15"/>
      <c r="I11" s="43"/>
      <c r="J11" s="15"/>
      <c r="K11" s="47"/>
      <c r="L11" s="8"/>
      <c r="M11" s="8"/>
      <c r="N11" s="15"/>
    </row>
    <row r="12" spans="1:23" ht="16.5" customHeight="1" x14ac:dyDescent="0.2">
      <c r="A12" s="24" t="s">
        <v>57</v>
      </c>
      <c r="B12" s="43"/>
      <c r="C12" s="43"/>
      <c r="D12" s="43"/>
      <c r="E12" s="45"/>
      <c r="F12" s="46"/>
      <c r="G12" s="8">
        <f>(44527.6*36.744)/1000000</f>
        <v>1.6361221343999999</v>
      </c>
      <c r="I12" s="43"/>
      <c r="J12" s="15">
        <f>((5131665*0.907185)*36.744)/1000000</f>
        <v>171.05689738659061</v>
      </c>
      <c r="K12" s="44"/>
      <c r="L12" s="8">
        <f>(7191284.4*36.744)/1000000</f>
        <v>264.23655399360001</v>
      </c>
      <c r="M12" s="8"/>
      <c r="N12" s="15"/>
    </row>
    <row r="13" spans="1:23" ht="16.5" customHeight="1" x14ac:dyDescent="0.2">
      <c r="A13" s="24" t="s">
        <v>44</v>
      </c>
      <c r="B13" s="43"/>
      <c r="C13" s="43"/>
      <c r="D13" s="43"/>
      <c r="E13" s="48"/>
      <c r="F13" s="46"/>
      <c r="G13" s="8">
        <f>(24879.1*36.744)/1000000</f>
        <v>0.91415765039999997</v>
      </c>
      <c r="I13" s="43"/>
      <c r="J13" s="15">
        <f>((5897079*0.907185)*36.744)/1000000</f>
        <v>196.57090581392558</v>
      </c>
      <c r="K13" s="44"/>
      <c r="L13" s="8">
        <f>(11636404.4*36.744)/1000000</f>
        <v>427.56804327359998</v>
      </c>
      <c r="M13" s="8"/>
      <c r="N13" s="15"/>
    </row>
    <row r="14" spans="1:23" ht="16.5" customHeight="1" x14ac:dyDescent="0.2">
      <c r="A14" s="24" t="s">
        <v>45</v>
      </c>
      <c r="B14" s="43"/>
      <c r="C14" s="43"/>
      <c r="D14" s="43"/>
      <c r="E14" s="48"/>
      <c r="F14" s="46"/>
      <c r="G14" s="8">
        <f>(12431.7*36.744)/1000000</f>
        <v>0.4567903848</v>
      </c>
      <c r="I14" s="43"/>
      <c r="J14" s="15">
        <f>((5731207*0.907185)*36.744)/1000000</f>
        <v>191.04179397920748</v>
      </c>
      <c r="K14" s="44"/>
      <c r="L14" s="8">
        <f>(10867331.6*36.744)/1000000</f>
        <v>399.30923231040003</v>
      </c>
      <c r="M14" s="8"/>
      <c r="N14" s="15"/>
    </row>
    <row r="15" spans="1:23" ht="16.5" customHeight="1" x14ac:dyDescent="0.2">
      <c r="A15" s="24" t="s">
        <v>138</v>
      </c>
      <c r="B15" s="43"/>
      <c r="C15" s="43"/>
      <c r="D15" s="43"/>
      <c r="E15" s="45">
        <f>N6</f>
        <v>524.54100000000017</v>
      </c>
      <c r="F15" s="46">
        <v>4216.3019999999997</v>
      </c>
      <c r="G15" s="8">
        <f>G12+G13+G14</f>
        <v>3.0070701696</v>
      </c>
      <c r="H15" s="15">
        <f>E15+F15+G15</f>
        <v>4743.8500701696003</v>
      </c>
      <c r="I15" s="43"/>
      <c r="J15" s="15">
        <f>J12+J13+J14</f>
        <v>558.66959717972361</v>
      </c>
      <c r="K15" s="44">
        <f>M15-L15-J15</f>
        <v>147.32664341227689</v>
      </c>
      <c r="L15" s="8">
        <f>L12+L13+L14</f>
        <v>1091.1138295776</v>
      </c>
      <c r="M15" s="8">
        <f>H15-N15</f>
        <v>1797.1100701696005</v>
      </c>
      <c r="N15" s="15">
        <v>2946.74</v>
      </c>
    </row>
    <row r="16" spans="1:23" ht="16.899999999999999" customHeight="1" x14ac:dyDescent="0.2">
      <c r="A16" s="20" t="s">
        <v>46</v>
      </c>
      <c r="B16" s="43"/>
      <c r="C16" s="43"/>
      <c r="D16" s="43"/>
      <c r="E16" s="45"/>
      <c r="F16" s="8"/>
      <c r="G16" s="8">
        <f>(23426.8*36.744)/1000000</f>
        <v>0.86079433919999992</v>
      </c>
      <c r="H16" s="15"/>
      <c r="I16" s="43"/>
      <c r="J16" s="15">
        <f>((5794233*0.907185)*36.744)/1000000</f>
        <v>193.14267780827416</v>
      </c>
      <c r="K16" s="44"/>
      <c r="L16" s="8">
        <f>(10445198.5*36.744)/1000000</f>
        <v>383.79837368400001</v>
      </c>
      <c r="M16" s="8"/>
      <c r="N16" s="15"/>
    </row>
    <row r="17" spans="1:14" ht="16.899999999999999" customHeight="1" x14ac:dyDescent="0.2">
      <c r="A17" s="20" t="s">
        <v>47</v>
      </c>
      <c r="B17" s="43"/>
      <c r="C17" s="43"/>
      <c r="D17" s="43"/>
      <c r="E17" s="45"/>
      <c r="F17" s="8"/>
      <c r="G17" s="8">
        <f>(19638*36.744)/1000000</f>
        <v>0.72157867200000003</v>
      </c>
      <c r="H17" s="15"/>
      <c r="I17" s="43"/>
      <c r="J17" s="15">
        <f>((5895360*0.907185)*36.744)/1000000</f>
        <v>196.5136053458304</v>
      </c>
      <c r="K17" s="44"/>
      <c r="L17" s="8">
        <f>(8829299.6*36.744)/1000000</f>
        <v>324.4237845024</v>
      </c>
      <c r="M17" s="8"/>
      <c r="N17" s="15"/>
    </row>
    <row r="18" spans="1:14" ht="16.899999999999999" customHeight="1" x14ac:dyDescent="0.2">
      <c r="A18" s="20" t="s">
        <v>48</v>
      </c>
      <c r="B18" s="43"/>
      <c r="C18" s="43"/>
      <c r="D18" s="43"/>
      <c r="E18" s="45"/>
      <c r="F18" s="8"/>
      <c r="G18" s="8">
        <f>(22552.9*36.744)/1000000</f>
        <v>0.82868375760000001</v>
      </c>
      <c r="H18" s="15"/>
      <c r="I18" s="43"/>
      <c r="J18" s="15">
        <f>((4930499*0.907185)*36.744)/1000000</f>
        <v>164.35130927441435</v>
      </c>
      <c r="K18" s="44"/>
      <c r="L18" s="8">
        <f>(4558707.1*36.744)/1000000</f>
        <v>167.50513368239999</v>
      </c>
      <c r="M18" s="8"/>
      <c r="N18" s="15"/>
    </row>
    <row r="19" spans="1:14" ht="16.899999999999999" customHeight="1" x14ac:dyDescent="0.2">
      <c r="A19" s="20" t="s">
        <v>139</v>
      </c>
      <c r="B19" s="43"/>
      <c r="C19" s="43"/>
      <c r="D19" s="43"/>
      <c r="E19" s="45">
        <f>N15</f>
        <v>2946.74</v>
      </c>
      <c r="F19" s="8"/>
      <c r="G19" s="8">
        <f>SUM(G16:G18)</f>
        <v>2.4110567688</v>
      </c>
      <c r="H19" s="15">
        <f>E19+F19+G19</f>
        <v>2949.1510567687997</v>
      </c>
      <c r="I19" s="43"/>
      <c r="J19" s="15">
        <f>SUM(J16:J18)</f>
        <v>554.00759242851893</v>
      </c>
      <c r="K19" s="44">
        <f>M19-L19-J19</f>
        <v>-42.267827528519319</v>
      </c>
      <c r="L19" s="8">
        <f>SUM(L16:L18)</f>
        <v>875.72729186880008</v>
      </c>
      <c r="M19" s="8">
        <f>H19-N19</f>
        <v>1387.4670567687997</v>
      </c>
      <c r="N19" s="15">
        <v>1561.684</v>
      </c>
    </row>
    <row r="20" spans="1:14" ht="16.899999999999999" customHeight="1" x14ac:dyDescent="0.2">
      <c r="A20" s="20" t="s">
        <v>49</v>
      </c>
      <c r="B20" s="43"/>
      <c r="C20" s="43"/>
      <c r="D20" s="43"/>
      <c r="E20" s="45"/>
      <c r="F20" s="8"/>
      <c r="G20" s="8">
        <f>(26142.7*36.744)/1000000</f>
        <v>0.96058736880000006</v>
      </c>
      <c r="H20" s="15"/>
      <c r="I20" s="43"/>
      <c r="J20" s="15">
        <f>((5646728*0.907185)*36.744)/1000000</f>
        <v>188.22580430834591</v>
      </c>
      <c r="K20" s="44"/>
      <c r="L20" s="8">
        <f>(2295121.8*36.744)/1000000</f>
        <v>84.331955419199986</v>
      </c>
      <c r="M20" s="8"/>
      <c r="N20" s="49"/>
    </row>
    <row r="21" spans="1:14" ht="16.899999999999999" customHeight="1" x14ac:dyDescent="0.2">
      <c r="A21" s="20" t="s">
        <v>50</v>
      </c>
      <c r="B21" s="43"/>
      <c r="C21" s="43"/>
      <c r="D21" s="43"/>
      <c r="E21" s="45"/>
      <c r="F21" s="8"/>
      <c r="G21" s="8">
        <f>(34734.1*36.744)/1000000</f>
        <v>1.2762697704000001</v>
      </c>
      <c r="H21" s="15"/>
      <c r="I21" s="43"/>
      <c r="J21" s="15">
        <f>((5095631*0.907185)*36.744)/1000000</f>
        <v>169.85575424095885</v>
      </c>
      <c r="K21" s="44"/>
      <c r="L21" s="8">
        <f>(1384924.4*36.744)/1000000</f>
        <v>50.887662153599997</v>
      </c>
      <c r="M21" s="8"/>
      <c r="N21" s="49"/>
    </row>
    <row r="22" spans="1:14" ht="16.899999999999999" customHeight="1" x14ac:dyDescent="0.2">
      <c r="A22" s="20" t="s">
        <v>51</v>
      </c>
      <c r="B22" s="43"/>
      <c r="C22" s="43"/>
      <c r="D22" s="43"/>
      <c r="E22" s="45"/>
      <c r="F22" s="8"/>
      <c r="G22" s="8">
        <f>(51046.1*36.744)/1000000</f>
        <v>1.8756378983999997</v>
      </c>
      <c r="H22" s="15"/>
      <c r="I22" s="43"/>
      <c r="J22" s="15">
        <f>((5205032*0.907185)*36.744)/1000000</f>
        <v>173.50248403158051</v>
      </c>
      <c r="K22" s="44"/>
      <c r="L22" s="8">
        <f>(1266685.1*36.744)/1000000</f>
        <v>46.543077314400001</v>
      </c>
      <c r="M22" s="8"/>
      <c r="N22" s="49"/>
    </row>
    <row r="23" spans="1:14" ht="16.899999999999999" customHeight="1" x14ac:dyDescent="0.2">
      <c r="A23" s="20" t="s">
        <v>140</v>
      </c>
      <c r="B23" s="43"/>
      <c r="C23" s="43"/>
      <c r="D23" s="43"/>
      <c r="E23" s="45">
        <f>N19</f>
        <v>1561.684</v>
      </c>
      <c r="F23" s="8"/>
      <c r="G23" s="8">
        <f>SUM(G20:G22)</f>
        <v>4.1124950375999996</v>
      </c>
      <c r="H23" s="15">
        <f>E23+F23+G23</f>
        <v>1565.7964950375999</v>
      </c>
      <c r="I23" s="43"/>
      <c r="J23" s="16">
        <f>SUM(J20:J22)</f>
        <v>531.58404258088524</v>
      </c>
      <c r="K23" s="44">
        <f>M23-L23-J23</f>
        <v>83.137757569514747</v>
      </c>
      <c r="L23" s="8">
        <f>SUM(L20:L22)</f>
        <v>181.76269488719998</v>
      </c>
      <c r="M23" s="8">
        <f>H23-N23</f>
        <v>796.48449503759991</v>
      </c>
      <c r="N23" s="15">
        <v>769.31200000000001</v>
      </c>
    </row>
    <row r="24" spans="1:14" ht="16.899999999999999" customHeight="1" x14ac:dyDescent="0.2">
      <c r="A24" s="20" t="s">
        <v>52</v>
      </c>
      <c r="B24" s="43"/>
      <c r="C24" s="43"/>
      <c r="D24" s="43"/>
      <c r="E24" s="45"/>
      <c r="F24" s="8"/>
      <c r="G24" s="8">
        <f>(205436.7*36.744)/1000000</f>
        <v>7.5485661048000008</v>
      </c>
      <c r="H24" s="15"/>
      <c r="I24" s="43"/>
      <c r="J24" s="16">
        <f>((4852334*0.907185)*36.744)/1000000</f>
        <v>161.74578798956375</v>
      </c>
      <c r="K24" s="44"/>
      <c r="L24" s="8">
        <f>(925497.6*36.744)/1000000</f>
        <v>34.006483814399999</v>
      </c>
      <c r="M24" s="8"/>
      <c r="N24" s="15"/>
    </row>
    <row r="25" spans="1:14" ht="16.899999999999999" customHeight="1" x14ac:dyDescent="0.2">
      <c r="A25" s="20" t="s">
        <v>54</v>
      </c>
      <c r="B25" s="43"/>
      <c r="C25" s="43"/>
      <c r="D25" s="43"/>
      <c r="E25" s="45"/>
      <c r="F25" s="8"/>
      <c r="G25" s="8">
        <f>(59776.6*36.744)/1000000</f>
        <v>2.1964313903999999</v>
      </c>
      <c r="H25" s="15"/>
      <c r="I25" s="43"/>
      <c r="J25" s="16">
        <f>((4989996*0.907185)*36.744)/1000000</f>
        <v>166.33455880917742</v>
      </c>
      <c r="K25" s="44"/>
      <c r="L25" s="8">
        <f>(945804.5*36.744)/1000000</f>
        <v>34.752640548000002</v>
      </c>
      <c r="M25" s="8"/>
      <c r="N25" s="15"/>
    </row>
    <row r="26" spans="1:14" ht="16.899999999999999" customHeight="1" x14ac:dyDescent="0.2">
      <c r="A26" s="20" t="s">
        <v>55</v>
      </c>
      <c r="B26" s="43"/>
      <c r="C26" s="43"/>
      <c r="D26" s="43"/>
      <c r="E26" s="45"/>
      <c r="F26" s="8"/>
      <c r="G26" s="8">
        <f>(15317.3*36.744)/1000000</f>
        <v>0.56281887119999996</v>
      </c>
      <c r="H26" s="15"/>
      <c r="I26" s="43"/>
      <c r="J26" s="16">
        <f>((5047776*0.907185)*36.744)/1000000</f>
        <v>168.26057454305666</v>
      </c>
      <c r="K26" s="44"/>
      <c r="L26" s="8">
        <f>(1308682.8*36.744)/1000000</f>
        <v>48.086240803199999</v>
      </c>
      <c r="M26" s="8"/>
      <c r="N26" s="15"/>
    </row>
    <row r="27" spans="1:14" ht="16.899999999999999" customHeight="1" x14ac:dyDescent="0.2">
      <c r="A27" s="20" t="s">
        <v>141</v>
      </c>
      <c r="B27" s="43"/>
      <c r="C27" s="43"/>
      <c r="D27" s="43"/>
      <c r="E27" s="45">
        <f>N23</f>
        <v>769.31200000000001</v>
      </c>
      <c r="F27" s="8"/>
      <c r="G27" s="8">
        <f>SUM(G24:G26)</f>
        <v>10.307816366399999</v>
      </c>
      <c r="H27" s="15">
        <f>E27+F27+G27</f>
        <v>779.61981636639996</v>
      </c>
      <c r="I27" s="43"/>
      <c r="J27" s="16">
        <f>SUM(J24:J26)</f>
        <v>496.34092134179787</v>
      </c>
      <c r="K27" s="47">
        <f>M27-L27-J27</f>
        <v>-89.745470140997895</v>
      </c>
      <c r="L27" s="8">
        <f>SUM(L24:L26)</f>
        <v>116.8453651656</v>
      </c>
      <c r="M27" s="8">
        <f>H27-N27</f>
        <v>523.44081636639999</v>
      </c>
      <c r="N27" s="15">
        <v>256.17899999999997</v>
      </c>
    </row>
    <row r="28" spans="1:14" s="64" customFormat="1" ht="16.5" customHeight="1" x14ac:dyDescent="0.2">
      <c r="A28" s="24" t="s">
        <v>3</v>
      </c>
      <c r="B28" s="43"/>
      <c r="C28" s="43"/>
      <c r="D28" s="43"/>
      <c r="E28" s="45"/>
      <c r="F28" s="46">
        <f>F15</f>
        <v>4216.3019999999997</v>
      </c>
      <c r="G28" s="8">
        <f>G15+G19+G23+G27</f>
        <v>19.838438342399996</v>
      </c>
      <c r="H28" s="15">
        <f>E15+F28+G28</f>
        <v>4760.6814383423998</v>
      </c>
      <c r="I28" s="43"/>
      <c r="J28" s="15">
        <f>J15+J19+J23+J27</f>
        <v>2140.6021535309255</v>
      </c>
      <c r="K28" s="44">
        <f>SUM(K15,K19,K23,K27)</f>
        <v>98.451103312274427</v>
      </c>
      <c r="L28" s="8">
        <f>L15+L19+L23+L27</f>
        <v>2265.4491814991998</v>
      </c>
      <c r="M28" s="8">
        <f>M15+M19+M23+M27</f>
        <v>4504.5024383424006</v>
      </c>
      <c r="N28" s="15"/>
    </row>
    <row r="29" spans="1:14" ht="16.5" customHeight="1" x14ac:dyDescent="0.2">
      <c r="A29" s="24"/>
      <c r="B29" s="43"/>
      <c r="C29" s="43"/>
      <c r="D29" s="43"/>
      <c r="E29" s="45"/>
      <c r="F29" s="46"/>
      <c r="G29" s="8"/>
      <c r="H29" s="15"/>
      <c r="I29" s="43"/>
      <c r="J29" s="15"/>
      <c r="K29" s="44"/>
      <c r="L29" s="8"/>
      <c r="M29" s="8"/>
      <c r="N29" s="15"/>
    </row>
    <row r="30" spans="1:14" ht="16.5" customHeight="1" x14ac:dyDescent="0.25">
      <c r="A30" s="60" t="s">
        <v>135</v>
      </c>
      <c r="B30" s="43"/>
      <c r="C30" s="43"/>
      <c r="D30" s="43"/>
      <c r="E30" s="45"/>
      <c r="F30" s="46"/>
      <c r="G30" s="8"/>
      <c r="H30" s="15"/>
      <c r="I30" s="43"/>
      <c r="J30" s="15"/>
      <c r="K30" s="44"/>
      <c r="L30" s="8"/>
      <c r="M30" s="8"/>
      <c r="N30" s="15"/>
    </row>
    <row r="31" spans="1:14" ht="16.5" customHeight="1" x14ac:dyDescent="0.2">
      <c r="A31" s="24" t="s">
        <v>57</v>
      </c>
      <c r="B31" s="43"/>
      <c r="C31" s="43"/>
      <c r="D31" s="43"/>
      <c r="E31" s="45">
        <f>N27</f>
        <v>256.17899999999997</v>
      </c>
      <c r="F31" s="46"/>
      <c r="G31" s="8">
        <f>(24320.3*36.744)/1000000</f>
        <v>0.89362510319999999</v>
      </c>
      <c r="I31" s="43"/>
      <c r="J31" s="15">
        <f>((4924574*0.907185)*36.744)/1000000</f>
        <v>164.15380766099736</v>
      </c>
      <c r="K31" s="44"/>
      <c r="L31" s="8">
        <f>(2167640.8*36.744)/1000000</f>
        <v>79.647793555199996</v>
      </c>
      <c r="M31" s="8"/>
      <c r="N31" s="15"/>
    </row>
    <row r="32" spans="1:14" ht="16.5" customHeight="1" x14ac:dyDescent="0.2">
      <c r="A32" s="24"/>
      <c r="B32" s="43"/>
      <c r="C32" s="43"/>
      <c r="D32" s="43"/>
      <c r="E32" s="45"/>
      <c r="F32" s="46"/>
      <c r="G32" s="8"/>
      <c r="H32" s="15"/>
      <c r="I32" s="43"/>
      <c r="J32" s="15"/>
      <c r="K32" s="44"/>
      <c r="L32" s="8"/>
      <c r="M32" s="8"/>
      <c r="N32" s="15"/>
    </row>
    <row r="33" spans="1:73" ht="16.5" customHeight="1" x14ac:dyDescent="0.2">
      <c r="A33" s="142" t="s">
        <v>194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43"/>
      <c r="M33" s="105"/>
      <c r="N33" s="105"/>
    </row>
    <row r="34" spans="1:73" ht="16.5" customHeight="1" x14ac:dyDescent="0.2">
      <c r="A34" s="20" t="s">
        <v>123</v>
      </c>
      <c r="B34" s="20"/>
      <c r="C34" s="20"/>
      <c r="D34" s="20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73" ht="16.5" customHeight="1" x14ac:dyDescent="0.2">
      <c r="A35" s="26" t="s">
        <v>18</v>
      </c>
      <c r="B35" s="52">
        <f ca="1">NOW()</f>
        <v>44510.570713194444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53"/>
      <c r="P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</row>
    <row r="36" spans="1:73" x14ac:dyDescent="0.2">
      <c r="O36" s="53"/>
      <c r="P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</row>
    <row r="37" spans="1:73" x14ac:dyDescent="0.2">
      <c r="O37" s="53"/>
      <c r="P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</row>
    <row r="38" spans="1:73" x14ac:dyDescent="0.2">
      <c r="O38" s="53"/>
      <c r="P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</row>
    <row r="39" spans="1:73" x14ac:dyDescent="0.2">
      <c r="F39" s="54"/>
      <c r="O39" s="53"/>
      <c r="P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</row>
    <row r="40" spans="1:73" x14ac:dyDescent="0.2">
      <c r="O40" s="53"/>
      <c r="P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</row>
    <row r="41" spans="1:73" x14ac:dyDescent="0.2">
      <c r="O41" s="53"/>
      <c r="P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</row>
    <row r="42" spans="1:73" x14ac:dyDescent="0.2">
      <c r="O42" s="53"/>
      <c r="P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</row>
    <row r="43" spans="1:73" x14ac:dyDescent="0.2">
      <c r="O43" s="53"/>
      <c r="P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</row>
    <row r="44" spans="1:73" x14ac:dyDescent="0.2">
      <c r="O44" s="53"/>
      <c r="P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</row>
    <row r="45" spans="1:73" x14ac:dyDescent="0.2">
      <c r="O45" s="53"/>
      <c r="P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</row>
    <row r="46" spans="1:73" x14ac:dyDescent="0.2">
      <c r="O46" s="53"/>
      <c r="P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</row>
    <row r="47" spans="1:73" x14ac:dyDescent="0.2">
      <c r="O47" s="53"/>
      <c r="P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</row>
    <row r="48" spans="1:73" x14ac:dyDescent="0.2">
      <c r="O48" s="53"/>
      <c r="P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</row>
    <row r="49" spans="15:73" x14ac:dyDescent="0.2">
      <c r="O49" s="53"/>
      <c r="P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</row>
    <row r="50" spans="15:73" x14ac:dyDescent="0.2">
      <c r="O50" s="53"/>
      <c r="P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</row>
    <row r="51" spans="15:73" x14ac:dyDescent="0.2">
      <c r="O51" s="53"/>
      <c r="P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</row>
    <row r="52" spans="15:73" x14ac:dyDescent="0.2">
      <c r="O52" s="53"/>
      <c r="P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</row>
    <row r="53" spans="15:73" x14ac:dyDescent="0.2">
      <c r="O53" s="53"/>
      <c r="P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</row>
    <row r="54" spans="15:73" x14ac:dyDescent="0.2">
      <c r="O54" s="53"/>
      <c r="P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</row>
    <row r="55" spans="15:73" x14ac:dyDescent="0.2">
      <c r="O55" s="53"/>
      <c r="P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</row>
    <row r="56" spans="15:73" x14ac:dyDescent="0.2">
      <c r="O56" s="53"/>
      <c r="P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</row>
    <row r="57" spans="15:73" x14ac:dyDescent="0.2">
      <c r="O57" s="53"/>
      <c r="P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</row>
    <row r="58" spans="15:73" x14ac:dyDescent="0.2">
      <c r="O58" s="53"/>
      <c r="P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</row>
    <row r="59" spans="15:73" x14ac:dyDescent="0.2">
      <c r="O59" s="53"/>
      <c r="P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</row>
    <row r="60" spans="15:73" x14ac:dyDescent="0.2">
      <c r="O60" s="53"/>
      <c r="P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</row>
    <row r="61" spans="15:73" x14ac:dyDescent="0.2">
      <c r="O61" s="53"/>
      <c r="P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</row>
    <row r="62" spans="15:73" x14ac:dyDescent="0.2">
      <c r="O62" s="53"/>
      <c r="P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</row>
    <row r="63" spans="15:73" x14ac:dyDescent="0.2"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</row>
    <row r="64" spans="15:73" x14ac:dyDescent="0.2"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</row>
    <row r="65" spans="15:73" x14ac:dyDescent="0.2"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</row>
    <row r="66" spans="15:73" x14ac:dyDescent="0.2"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</row>
    <row r="67" spans="15:73" x14ac:dyDescent="0.2"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</row>
    <row r="68" spans="15:73" x14ac:dyDescent="0.2"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</row>
    <row r="69" spans="15:73" x14ac:dyDescent="0.2"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</row>
    <row r="70" spans="15:73" x14ac:dyDescent="0.2"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</row>
    <row r="71" spans="15:73" x14ac:dyDescent="0.2"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</row>
    <row r="72" spans="15:73" x14ac:dyDescent="0.2"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</row>
    <row r="73" spans="15:73" x14ac:dyDescent="0.2"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</row>
    <row r="74" spans="15:73" x14ac:dyDescent="0.2"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</row>
    <row r="75" spans="15:73" x14ac:dyDescent="0.2"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</row>
    <row r="76" spans="15:73" x14ac:dyDescent="0.2"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</row>
    <row r="77" spans="15:73" x14ac:dyDescent="0.2"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</row>
    <row r="78" spans="15:73" x14ac:dyDescent="0.2"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</row>
    <row r="79" spans="15:73" x14ac:dyDescent="0.2"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</row>
    <row r="80" spans="15:73" x14ac:dyDescent="0.2"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</row>
    <row r="81" spans="15:73" x14ac:dyDescent="0.2"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</row>
    <row r="82" spans="15:73" x14ac:dyDescent="0.2"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</row>
    <row r="83" spans="15:73" x14ac:dyDescent="0.2"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</row>
    <row r="84" spans="15:73" x14ac:dyDescent="0.2"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</row>
    <row r="85" spans="15:73" x14ac:dyDescent="0.2"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</row>
    <row r="86" spans="15:73" x14ac:dyDescent="0.2"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</row>
    <row r="87" spans="15:73" x14ac:dyDescent="0.2"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</row>
    <row r="88" spans="15:73" x14ac:dyDescent="0.2"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</row>
    <row r="89" spans="15:73" x14ac:dyDescent="0.2"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</row>
    <row r="90" spans="15:73" x14ac:dyDescent="0.2"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</row>
    <row r="91" spans="15:73" x14ac:dyDescent="0.2"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</row>
    <row r="92" spans="15:73" x14ac:dyDescent="0.2"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</row>
    <row r="93" spans="15:73" x14ac:dyDescent="0.2"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</row>
    <row r="94" spans="15:73" x14ac:dyDescent="0.2"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</row>
    <row r="95" spans="15:73" x14ac:dyDescent="0.2"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</row>
    <row r="96" spans="15:73" x14ac:dyDescent="0.2"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</row>
    <row r="97" spans="15:73" x14ac:dyDescent="0.2"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</row>
    <row r="98" spans="15:73" x14ac:dyDescent="0.2"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</row>
    <row r="99" spans="15:73" x14ac:dyDescent="0.2"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</row>
    <row r="100" spans="15:73" x14ac:dyDescent="0.2"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</row>
    <row r="101" spans="15:73" x14ac:dyDescent="0.2"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</row>
    <row r="102" spans="15:73" x14ac:dyDescent="0.2"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</row>
    <row r="103" spans="15:73" x14ac:dyDescent="0.2"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</row>
    <row r="104" spans="15:73" x14ac:dyDescent="0.2"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</row>
    <row r="105" spans="15:73" x14ac:dyDescent="0.2"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</row>
    <row r="106" spans="15:73" x14ac:dyDescent="0.2"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</row>
    <row r="107" spans="15:73" x14ac:dyDescent="0.2"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</row>
    <row r="108" spans="15:73" x14ac:dyDescent="0.2"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</row>
    <row r="109" spans="15:73" x14ac:dyDescent="0.2"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</row>
    <row r="110" spans="15:73" x14ac:dyDescent="0.2"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</row>
    <row r="111" spans="15:73" x14ac:dyDescent="0.2"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</row>
    <row r="112" spans="15:73" x14ac:dyDescent="0.2"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</row>
    <row r="113" spans="15:73" x14ac:dyDescent="0.2"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</row>
    <row r="114" spans="15:73" x14ac:dyDescent="0.2"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</row>
    <row r="115" spans="15:73" x14ac:dyDescent="0.2"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</row>
    <row r="116" spans="15:73" x14ac:dyDescent="0.2"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</row>
    <row r="117" spans="15:73" x14ac:dyDescent="0.2"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</row>
    <row r="118" spans="15:73" x14ac:dyDescent="0.2"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</row>
    <row r="119" spans="15:73" x14ac:dyDescent="0.2"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</row>
    <row r="120" spans="15:73" x14ac:dyDescent="0.2"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</row>
    <row r="121" spans="15:73" x14ac:dyDescent="0.2"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</row>
    <row r="122" spans="15:73" x14ac:dyDescent="0.2"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</row>
    <row r="123" spans="15:73" x14ac:dyDescent="0.2"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</row>
    <row r="124" spans="15:73" x14ac:dyDescent="0.2"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</row>
    <row r="125" spans="15:73" x14ac:dyDescent="0.2"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</row>
    <row r="126" spans="15:73" x14ac:dyDescent="0.2"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</row>
    <row r="127" spans="15:73" x14ac:dyDescent="0.2"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</row>
    <row r="128" spans="15:73" x14ac:dyDescent="0.2"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</row>
    <row r="129" spans="15:73" x14ac:dyDescent="0.2"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</row>
    <row r="130" spans="15:73" x14ac:dyDescent="0.2"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</row>
    <row r="131" spans="15:73" x14ac:dyDescent="0.2"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</row>
    <row r="132" spans="15:73" x14ac:dyDescent="0.2"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</row>
    <row r="133" spans="15:73" x14ac:dyDescent="0.2"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</row>
    <row r="134" spans="15:73" x14ac:dyDescent="0.2"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</row>
    <row r="135" spans="15:73" x14ac:dyDescent="0.2"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</row>
    <row r="136" spans="15:73" x14ac:dyDescent="0.2"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</row>
    <row r="137" spans="15:73" x14ac:dyDescent="0.2"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</row>
    <row r="138" spans="15:73" x14ac:dyDescent="0.2"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</row>
    <row r="139" spans="15:73" x14ac:dyDescent="0.2"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</row>
    <row r="140" spans="15:73" x14ac:dyDescent="0.2"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</row>
    <row r="141" spans="15:73" x14ac:dyDescent="0.2"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</row>
    <row r="142" spans="15:73" x14ac:dyDescent="0.2"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</row>
    <row r="143" spans="15:73" x14ac:dyDescent="0.2"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</row>
    <row r="144" spans="15:73" x14ac:dyDescent="0.2"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</row>
    <row r="145" spans="15:73" x14ac:dyDescent="0.2"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</row>
    <row r="146" spans="15:73" x14ac:dyDescent="0.2"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</row>
    <row r="147" spans="15:73" x14ac:dyDescent="0.2"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</row>
    <row r="148" spans="15:73" x14ac:dyDescent="0.2"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</row>
    <row r="149" spans="15:73" x14ac:dyDescent="0.2"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</row>
    <row r="150" spans="15:73" x14ac:dyDescent="0.2"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</row>
    <row r="151" spans="15:73" x14ac:dyDescent="0.2"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</row>
    <row r="152" spans="15:73" x14ac:dyDescent="0.2"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</row>
    <row r="153" spans="15:73" x14ac:dyDescent="0.2"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</row>
    <row r="154" spans="15:73" x14ac:dyDescent="0.2"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</row>
    <row r="155" spans="15:73" x14ac:dyDescent="0.2"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</row>
    <row r="156" spans="15:73" x14ac:dyDescent="0.2"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</row>
    <row r="157" spans="15:73" x14ac:dyDescent="0.2"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</row>
    <row r="158" spans="15:73" x14ac:dyDescent="0.2"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</row>
    <row r="159" spans="15:73" x14ac:dyDescent="0.2"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</row>
    <row r="160" spans="15:73" x14ac:dyDescent="0.2"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</row>
    <row r="161" spans="15:73" x14ac:dyDescent="0.2"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</row>
    <row r="162" spans="15:73" x14ac:dyDescent="0.2"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</row>
    <row r="163" spans="15:73" x14ac:dyDescent="0.2"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</row>
    <row r="164" spans="15:73" x14ac:dyDescent="0.2"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</row>
    <row r="165" spans="15:73" x14ac:dyDescent="0.2"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</row>
    <row r="166" spans="15:73" x14ac:dyDescent="0.2"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</row>
    <row r="167" spans="15:73" x14ac:dyDescent="0.2"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</row>
    <row r="168" spans="15:73" x14ac:dyDescent="0.2"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</row>
    <row r="169" spans="15:73" x14ac:dyDescent="0.2"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</row>
    <row r="170" spans="15:73" x14ac:dyDescent="0.2"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</row>
    <row r="171" spans="15:73" x14ac:dyDescent="0.2"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</row>
    <row r="172" spans="15:73" x14ac:dyDescent="0.2"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</row>
    <row r="173" spans="15:73" x14ac:dyDescent="0.2"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</row>
    <row r="174" spans="15:73" x14ac:dyDescent="0.2"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</row>
    <row r="175" spans="15:73" x14ac:dyDescent="0.2"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</row>
    <row r="176" spans="15:73" x14ac:dyDescent="0.2"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</row>
    <row r="177" spans="15:73" x14ac:dyDescent="0.2"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</row>
    <row r="178" spans="15:73" x14ac:dyDescent="0.2"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</row>
    <row r="179" spans="15:73" x14ac:dyDescent="0.2"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</row>
    <row r="180" spans="15:73" x14ac:dyDescent="0.2"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</row>
    <row r="181" spans="15:73" x14ac:dyDescent="0.2"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</row>
    <row r="182" spans="15:73" x14ac:dyDescent="0.2"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</row>
    <row r="183" spans="15:73" x14ac:dyDescent="0.2"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</row>
    <row r="184" spans="15:73" x14ac:dyDescent="0.2"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</row>
    <row r="185" spans="15:73" x14ac:dyDescent="0.2"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</row>
    <row r="186" spans="15:73" x14ac:dyDescent="0.2"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</row>
    <row r="187" spans="15:73" x14ac:dyDescent="0.2"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</row>
    <row r="188" spans="15:73" x14ac:dyDescent="0.2"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</row>
    <row r="189" spans="15:73" x14ac:dyDescent="0.2"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</row>
    <row r="190" spans="15:73" x14ac:dyDescent="0.2"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</row>
    <row r="191" spans="15:73" x14ac:dyDescent="0.2"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</row>
    <row r="192" spans="15:73" x14ac:dyDescent="0.2"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</row>
    <row r="193" spans="15:73" x14ac:dyDescent="0.2"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</row>
    <row r="194" spans="15:73" x14ac:dyDescent="0.2"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</row>
    <row r="195" spans="15:73" x14ac:dyDescent="0.2"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</row>
    <row r="196" spans="15:73" x14ac:dyDescent="0.2"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</row>
    <row r="197" spans="15:73" x14ac:dyDescent="0.2"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</row>
    <row r="198" spans="15:73" x14ac:dyDescent="0.2"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</row>
    <row r="199" spans="15:73" x14ac:dyDescent="0.2"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</row>
    <row r="200" spans="15:73" x14ac:dyDescent="0.2"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</row>
    <row r="201" spans="15:73" x14ac:dyDescent="0.2"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</row>
    <row r="202" spans="15:73" x14ac:dyDescent="0.2"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</row>
    <row r="203" spans="15:73" x14ac:dyDescent="0.2"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</row>
    <row r="204" spans="15:73" x14ac:dyDescent="0.2"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</row>
    <row r="205" spans="15:73" x14ac:dyDescent="0.2"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</row>
    <row r="206" spans="15:73" x14ac:dyDescent="0.2"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</row>
    <row r="207" spans="15:73" x14ac:dyDescent="0.2"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</row>
    <row r="208" spans="15:73" x14ac:dyDescent="0.2"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</row>
    <row r="209" spans="15:73" x14ac:dyDescent="0.2"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</row>
    <row r="210" spans="15:73" x14ac:dyDescent="0.2"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</row>
    <row r="211" spans="15:73" x14ac:dyDescent="0.2"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</row>
    <row r="212" spans="15:73" x14ac:dyDescent="0.2"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</row>
    <row r="213" spans="15:73" x14ac:dyDescent="0.2"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</row>
    <row r="214" spans="15:73" x14ac:dyDescent="0.2"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</row>
    <row r="215" spans="15:73" x14ac:dyDescent="0.2"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</row>
    <row r="216" spans="15:73" x14ac:dyDescent="0.2"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</row>
    <row r="217" spans="15:73" x14ac:dyDescent="0.2"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</row>
    <row r="218" spans="15:73" x14ac:dyDescent="0.2"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</row>
    <row r="219" spans="15:73" x14ac:dyDescent="0.2"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</row>
    <row r="220" spans="15:73" x14ac:dyDescent="0.2"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</row>
    <row r="221" spans="15:73" x14ac:dyDescent="0.2"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</row>
    <row r="222" spans="15:73" x14ac:dyDescent="0.2"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</row>
    <row r="223" spans="15:73" x14ac:dyDescent="0.2"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</row>
    <row r="224" spans="15:73" x14ac:dyDescent="0.2"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</row>
    <row r="225" spans="15:73" x14ac:dyDescent="0.2"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</row>
    <row r="226" spans="15:73" x14ac:dyDescent="0.2"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</row>
    <row r="227" spans="15:73" x14ac:dyDescent="0.2"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</row>
    <row r="228" spans="15:73" x14ac:dyDescent="0.2"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</row>
    <row r="229" spans="15:73" x14ac:dyDescent="0.2"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</row>
    <row r="230" spans="15:73" x14ac:dyDescent="0.2"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</row>
    <row r="231" spans="15:73" x14ac:dyDescent="0.2"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</row>
    <row r="232" spans="15:73" x14ac:dyDescent="0.2"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</row>
    <row r="233" spans="15:73" x14ac:dyDescent="0.2"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</row>
    <row r="234" spans="15:73" x14ac:dyDescent="0.2"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</row>
    <row r="235" spans="15:73" x14ac:dyDescent="0.2"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</row>
    <row r="236" spans="15:73" x14ac:dyDescent="0.2"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</row>
    <row r="237" spans="15:73" x14ac:dyDescent="0.2"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</row>
    <row r="238" spans="15:73" x14ac:dyDescent="0.2"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</row>
    <row r="239" spans="15:73" x14ac:dyDescent="0.2"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</row>
    <row r="240" spans="15:73" x14ac:dyDescent="0.2"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</row>
    <row r="241" spans="15:73" x14ac:dyDescent="0.2"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</row>
    <row r="242" spans="15:73" x14ac:dyDescent="0.2"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</row>
    <row r="243" spans="15:73" x14ac:dyDescent="0.2"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</row>
    <row r="244" spans="15:73" x14ac:dyDescent="0.2"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</row>
    <row r="245" spans="15:73" x14ac:dyDescent="0.2"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</row>
    <row r="246" spans="15:73" x14ac:dyDescent="0.2"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</row>
    <row r="247" spans="15:73" x14ac:dyDescent="0.2"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</row>
    <row r="248" spans="15:73" x14ac:dyDescent="0.2"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</row>
    <row r="249" spans="15:73" x14ac:dyDescent="0.2"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</row>
    <row r="250" spans="15:73" x14ac:dyDescent="0.2"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</row>
    <row r="251" spans="15:73" x14ac:dyDescent="0.2"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</row>
    <row r="252" spans="15:73" x14ac:dyDescent="0.2"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</row>
    <row r="253" spans="15:73" x14ac:dyDescent="0.2"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</row>
    <row r="254" spans="15:73" x14ac:dyDescent="0.2"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</row>
    <row r="255" spans="15:73" x14ac:dyDescent="0.2"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</row>
    <row r="256" spans="15:73" x14ac:dyDescent="0.2"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</row>
    <row r="257" spans="15:73" x14ac:dyDescent="0.2"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</row>
    <row r="258" spans="15:73" x14ac:dyDescent="0.2"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</row>
    <row r="259" spans="15:73" x14ac:dyDescent="0.2"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</row>
    <row r="260" spans="15:73" x14ac:dyDescent="0.2"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</row>
    <row r="261" spans="15:73" x14ac:dyDescent="0.2"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</row>
    <row r="262" spans="15:73" x14ac:dyDescent="0.2"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</row>
    <row r="263" spans="15:73" x14ac:dyDescent="0.2"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</row>
    <row r="264" spans="15:73" x14ac:dyDescent="0.2"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</row>
    <row r="265" spans="15:73" x14ac:dyDescent="0.2"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</row>
    <row r="266" spans="15:73" x14ac:dyDescent="0.2"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</row>
    <row r="267" spans="15:73" x14ac:dyDescent="0.2"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</row>
    <row r="268" spans="15:73" x14ac:dyDescent="0.2"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</row>
    <row r="269" spans="15:73" x14ac:dyDescent="0.2"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</row>
    <row r="270" spans="15:73" x14ac:dyDescent="0.2"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</row>
    <row r="271" spans="15:73" x14ac:dyDescent="0.2"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</row>
    <row r="272" spans="15:73" x14ac:dyDescent="0.2"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</row>
    <row r="273" spans="15:73" x14ac:dyDescent="0.2"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</row>
    <row r="274" spans="15:73" x14ac:dyDescent="0.2"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</row>
    <row r="275" spans="15:73" x14ac:dyDescent="0.2"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</row>
    <row r="276" spans="15:73" x14ac:dyDescent="0.2"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</row>
    <row r="277" spans="15:73" x14ac:dyDescent="0.2"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</row>
    <row r="278" spans="15:73" x14ac:dyDescent="0.2"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</row>
    <row r="279" spans="15:73" x14ac:dyDescent="0.2"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</row>
    <row r="280" spans="15:73" x14ac:dyDescent="0.2"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</row>
    <row r="281" spans="15:73" x14ac:dyDescent="0.2"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</row>
    <row r="282" spans="15:73" x14ac:dyDescent="0.2"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</row>
    <row r="283" spans="15:73" x14ac:dyDescent="0.2"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</row>
    <row r="284" spans="15:73" x14ac:dyDescent="0.2"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</row>
    <row r="285" spans="15:73" x14ac:dyDescent="0.2"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</row>
    <row r="286" spans="15:73" x14ac:dyDescent="0.2"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</row>
    <row r="287" spans="15:73" x14ac:dyDescent="0.2"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</row>
    <row r="288" spans="15:73" x14ac:dyDescent="0.2"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</row>
    <row r="289" spans="15:73" x14ac:dyDescent="0.2"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</row>
    <row r="290" spans="15:73" x14ac:dyDescent="0.2"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</row>
    <row r="291" spans="15:73" x14ac:dyDescent="0.2"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</row>
    <row r="292" spans="15:73" x14ac:dyDescent="0.2"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</row>
    <row r="293" spans="15:73" x14ac:dyDescent="0.2"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</row>
    <row r="294" spans="15:73" x14ac:dyDescent="0.2"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</row>
    <row r="295" spans="15:73" x14ac:dyDescent="0.2"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</row>
    <row r="296" spans="15:73" x14ac:dyDescent="0.2"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</row>
    <row r="297" spans="15:73" x14ac:dyDescent="0.2"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</row>
    <row r="298" spans="15:73" x14ac:dyDescent="0.2"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</row>
    <row r="299" spans="15:73" x14ac:dyDescent="0.2"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</row>
    <row r="300" spans="15:73" x14ac:dyDescent="0.2"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</row>
    <row r="301" spans="15:73" x14ac:dyDescent="0.2"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</row>
    <row r="302" spans="15:73" x14ac:dyDescent="0.2"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</row>
    <row r="303" spans="15:73" x14ac:dyDescent="0.2"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</row>
    <row r="304" spans="15:73" x14ac:dyDescent="0.2"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</row>
    <row r="305" spans="15:73" x14ac:dyDescent="0.2"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</row>
    <row r="306" spans="15:73" x14ac:dyDescent="0.2"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</row>
    <row r="307" spans="15:73" x14ac:dyDescent="0.2"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</row>
    <row r="308" spans="15:73" x14ac:dyDescent="0.2"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</row>
    <row r="309" spans="15:73" x14ac:dyDescent="0.2"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</row>
    <row r="310" spans="15:73" x14ac:dyDescent="0.2"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</row>
    <row r="311" spans="15:73" x14ac:dyDescent="0.2"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</row>
    <row r="312" spans="15:73" x14ac:dyDescent="0.2"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</row>
    <row r="313" spans="15:73" x14ac:dyDescent="0.2"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</row>
    <row r="314" spans="15:73" x14ac:dyDescent="0.2"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</row>
    <row r="315" spans="15:73" x14ac:dyDescent="0.2"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</row>
    <row r="316" spans="15:73" x14ac:dyDescent="0.2"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</row>
    <row r="317" spans="15:73" x14ac:dyDescent="0.2"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</row>
    <row r="318" spans="15:73" x14ac:dyDescent="0.2"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</row>
    <row r="319" spans="15:73" x14ac:dyDescent="0.2"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</row>
    <row r="320" spans="15:73" x14ac:dyDescent="0.2"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3"/>
      <c r="BS320" s="53"/>
      <c r="BT320" s="53"/>
      <c r="BU320" s="53"/>
    </row>
    <row r="321" spans="15:73" x14ac:dyDescent="0.2"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</row>
    <row r="322" spans="15:73" x14ac:dyDescent="0.2"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53"/>
      <c r="BU322" s="53"/>
    </row>
    <row r="323" spans="15:73" x14ac:dyDescent="0.2"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</row>
    <row r="324" spans="15:73" x14ac:dyDescent="0.2"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</row>
    <row r="325" spans="15:73" x14ac:dyDescent="0.2"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</row>
    <row r="326" spans="15:73" x14ac:dyDescent="0.2"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</row>
    <row r="327" spans="15:73" x14ac:dyDescent="0.2"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53"/>
      <c r="BU327" s="53"/>
    </row>
    <row r="328" spans="15:73" x14ac:dyDescent="0.2"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</row>
    <row r="329" spans="15:73" x14ac:dyDescent="0.2"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</row>
    <row r="330" spans="15:73" x14ac:dyDescent="0.2"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</row>
    <row r="331" spans="15:73" x14ac:dyDescent="0.2"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</row>
    <row r="332" spans="15:73" x14ac:dyDescent="0.2"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</row>
    <row r="333" spans="15:73" x14ac:dyDescent="0.2"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</row>
    <row r="334" spans="15:73" x14ac:dyDescent="0.2"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</row>
    <row r="335" spans="15:73" x14ac:dyDescent="0.2"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</row>
    <row r="336" spans="15:73" x14ac:dyDescent="0.2"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</row>
    <row r="337" spans="15:73" x14ac:dyDescent="0.2"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53"/>
      <c r="BU337" s="53"/>
    </row>
    <row r="338" spans="15:73" x14ac:dyDescent="0.2"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</row>
    <row r="339" spans="15:73" x14ac:dyDescent="0.2"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3"/>
      <c r="BS339" s="53"/>
      <c r="BT339" s="53"/>
      <c r="BU339" s="53"/>
    </row>
    <row r="340" spans="15:73" x14ac:dyDescent="0.2"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</row>
    <row r="341" spans="15:73" x14ac:dyDescent="0.2"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</row>
    <row r="342" spans="15:73" x14ac:dyDescent="0.2"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3"/>
      <c r="BS342" s="53"/>
      <c r="BT342" s="53"/>
      <c r="BU342" s="53"/>
    </row>
    <row r="343" spans="15:73" x14ac:dyDescent="0.2"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</row>
    <row r="344" spans="15:73" x14ac:dyDescent="0.2"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</row>
    <row r="345" spans="15:73" x14ac:dyDescent="0.2"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3"/>
      <c r="BS345" s="53"/>
      <c r="BT345" s="53"/>
      <c r="BU345" s="53"/>
    </row>
    <row r="346" spans="15:73" x14ac:dyDescent="0.2"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3"/>
      <c r="BS346" s="53"/>
      <c r="BT346" s="53"/>
      <c r="BU346" s="53"/>
    </row>
    <row r="347" spans="15:73" x14ac:dyDescent="0.2"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3"/>
      <c r="BS347" s="53"/>
      <c r="BT347" s="53"/>
      <c r="BU347" s="53"/>
    </row>
    <row r="348" spans="15:73" x14ac:dyDescent="0.2"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3"/>
      <c r="BS348" s="53"/>
      <c r="BT348" s="53"/>
      <c r="BU348" s="53"/>
    </row>
    <row r="349" spans="15:73" x14ac:dyDescent="0.2"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</row>
    <row r="350" spans="15:73" x14ac:dyDescent="0.2"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3"/>
      <c r="BS350" s="53"/>
      <c r="BT350" s="53"/>
      <c r="BU350" s="53"/>
    </row>
    <row r="351" spans="15:73" x14ac:dyDescent="0.2"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53"/>
      <c r="BU351" s="53"/>
    </row>
    <row r="352" spans="15:73" x14ac:dyDescent="0.2"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</row>
    <row r="353" spans="15:73" x14ac:dyDescent="0.2"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</row>
    <row r="354" spans="15:73" x14ac:dyDescent="0.2"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3"/>
      <c r="BS354" s="53"/>
      <c r="BT354" s="53"/>
      <c r="BU354" s="53"/>
    </row>
    <row r="355" spans="15:73" x14ac:dyDescent="0.2"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</row>
    <row r="356" spans="15:73" x14ac:dyDescent="0.2"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3"/>
      <c r="BS356" s="53"/>
      <c r="BT356" s="53"/>
      <c r="BU356" s="53"/>
    </row>
    <row r="357" spans="15:73" x14ac:dyDescent="0.2"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  <c r="BS357" s="53"/>
      <c r="BT357" s="53"/>
      <c r="BU357" s="53"/>
    </row>
    <row r="358" spans="15:73" x14ac:dyDescent="0.2"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3"/>
      <c r="BS358" s="53"/>
      <c r="BT358" s="53"/>
      <c r="BU358" s="53"/>
    </row>
    <row r="359" spans="15:73" x14ac:dyDescent="0.2"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</row>
    <row r="360" spans="15:73" x14ac:dyDescent="0.2"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53"/>
      <c r="BU360" s="53"/>
    </row>
    <row r="361" spans="15:73" x14ac:dyDescent="0.2"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3"/>
      <c r="BS361" s="53"/>
      <c r="BT361" s="53"/>
      <c r="BU361" s="53"/>
    </row>
    <row r="362" spans="15:73" x14ac:dyDescent="0.2"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3"/>
      <c r="BS362" s="53"/>
      <c r="BT362" s="53"/>
      <c r="BU362" s="53"/>
    </row>
    <row r="363" spans="15:73" x14ac:dyDescent="0.2"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53"/>
      <c r="BU363" s="53"/>
    </row>
    <row r="364" spans="15:73" x14ac:dyDescent="0.2"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</row>
    <row r="365" spans="15:73" x14ac:dyDescent="0.2"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53"/>
      <c r="BU365" s="53"/>
    </row>
    <row r="366" spans="15:73" x14ac:dyDescent="0.2"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53"/>
      <c r="BU366" s="53"/>
    </row>
    <row r="367" spans="15:73" x14ac:dyDescent="0.2"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3"/>
      <c r="BS367" s="53"/>
      <c r="BT367" s="53"/>
      <c r="BU367" s="53"/>
    </row>
    <row r="368" spans="15:73" x14ac:dyDescent="0.2"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</row>
    <row r="369" spans="15:73" x14ac:dyDescent="0.2"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3"/>
      <c r="BS369" s="53"/>
      <c r="BT369" s="53"/>
      <c r="BU369" s="53"/>
    </row>
    <row r="370" spans="15:73" x14ac:dyDescent="0.2"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3"/>
      <c r="BS370" s="53"/>
      <c r="BT370" s="53"/>
      <c r="BU370" s="53"/>
    </row>
    <row r="371" spans="15:73" x14ac:dyDescent="0.2"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53"/>
      <c r="BU371" s="53"/>
    </row>
    <row r="372" spans="15:73" x14ac:dyDescent="0.2"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</row>
    <row r="373" spans="15:73" x14ac:dyDescent="0.2"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</row>
    <row r="374" spans="15:73" x14ac:dyDescent="0.2"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</row>
    <row r="375" spans="15:73" x14ac:dyDescent="0.2"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</row>
    <row r="376" spans="15:73" x14ac:dyDescent="0.2"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</row>
    <row r="377" spans="15:73" x14ac:dyDescent="0.2"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</row>
    <row r="378" spans="15:73" x14ac:dyDescent="0.2"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</row>
    <row r="379" spans="15:73" x14ac:dyDescent="0.2"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</row>
    <row r="380" spans="15:73" x14ac:dyDescent="0.2"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</row>
    <row r="381" spans="15:73" x14ac:dyDescent="0.2"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</row>
    <row r="382" spans="15:73" x14ac:dyDescent="0.2"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</row>
    <row r="383" spans="15:73" x14ac:dyDescent="0.2"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</row>
    <row r="384" spans="15:73" x14ac:dyDescent="0.2"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</row>
    <row r="385" spans="15:73" x14ac:dyDescent="0.2"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</row>
    <row r="386" spans="15:73" x14ac:dyDescent="0.2"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</row>
    <row r="387" spans="15:73" x14ac:dyDescent="0.2"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</row>
    <row r="388" spans="15:73" x14ac:dyDescent="0.2"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</row>
    <row r="389" spans="15:73" x14ac:dyDescent="0.2"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</row>
    <row r="390" spans="15:73" x14ac:dyDescent="0.2"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</row>
    <row r="391" spans="15:73" x14ac:dyDescent="0.2"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</row>
    <row r="392" spans="15:73" x14ac:dyDescent="0.2"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</row>
    <row r="393" spans="15:73" x14ac:dyDescent="0.2"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</row>
    <row r="394" spans="15:73" x14ac:dyDescent="0.2"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</row>
    <row r="395" spans="15:73" x14ac:dyDescent="0.2"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</row>
    <row r="396" spans="15:73" x14ac:dyDescent="0.2"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</row>
    <row r="397" spans="15:73" x14ac:dyDescent="0.2"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</row>
    <row r="398" spans="15:73" x14ac:dyDescent="0.2"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</row>
    <row r="399" spans="15:73" x14ac:dyDescent="0.2"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</row>
    <row r="400" spans="15:73" x14ac:dyDescent="0.2"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53"/>
      <c r="BU400" s="53"/>
    </row>
    <row r="401" spans="15:73" x14ac:dyDescent="0.2"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53"/>
      <c r="BU401" s="53"/>
    </row>
    <row r="402" spans="15:73" x14ac:dyDescent="0.2"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3"/>
      <c r="BS402" s="53"/>
      <c r="BT402" s="53"/>
      <c r="BU402" s="53"/>
    </row>
    <row r="403" spans="15:73" x14ac:dyDescent="0.2"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53"/>
      <c r="BU403" s="53"/>
    </row>
    <row r="404" spans="15:73" x14ac:dyDescent="0.2"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53"/>
      <c r="BU404" s="53"/>
    </row>
    <row r="405" spans="15:73" x14ac:dyDescent="0.2"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  <c r="BS405" s="53"/>
      <c r="BT405" s="53"/>
      <c r="BU405" s="53"/>
    </row>
    <row r="406" spans="15:73" x14ac:dyDescent="0.2"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3"/>
      <c r="BS406" s="53"/>
      <c r="BT406" s="53"/>
      <c r="BU406" s="53"/>
    </row>
    <row r="407" spans="15:73" x14ac:dyDescent="0.2"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</row>
    <row r="408" spans="15:73" x14ac:dyDescent="0.2"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53"/>
      <c r="BU408" s="53"/>
    </row>
    <row r="409" spans="15:73" x14ac:dyDescent="0.2"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3"/>
      <c r="BS409" s="53"/>
      <c r="BT409" s="53"/>
      <c r="BU409" s="53"/>
    </row>
    <row r="410" spans="15:73" x14ac:dyDescent="0.2"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3"/>
      <c r="BS410" s="53"/>
      <c r="BT410" s="53"/>
      <c r="BU410" s="53"/>
    </row>
    <row r="411" spans="15:73" x14ac:dyDescent="0.2"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53"/>
      <c r="BU411" s="53"/>
    </row>
    <row r="412" spans="15:73" x14ac:dyDescent="0.2"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53"/>
      <c r="BU412" s="53"/>
    </row>
    <row r="413" spans="15:73" x14ac:dyDescent="0.2"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</row>
    <row r="414" spans="15:73" x14ac:dyDescent="0.2"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</row>
    <row r="415" spans="15:73" x14ac:dyDescent="0.2"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</row>
    <row r="416" spans="15:73" x14ac:dyDescent="0.2"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3"/>
      <c r="BS416" s="53"/>
      <c r="BT416" s="53"/>
      <c r="BU416" s="53"/>
    </row>
    <row r="417" spans="15:73" x14ac:dyDescent="0.2"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3"/>
      <c r="BS417" s="53"/>
      <c r="BT417" s="53"/>
      <c r="BU417" s="53"/>
    </row>
    <row r="418" spans="15:73" x14ac:dyDescent="0.2"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53"/>
      <c r="BU418" s="53"/>
    </row>
    <row r="419" spans="15:73" x14ac:dyDescent="0.2"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3"/>
      <c r="BS419" s="53"/>
      <c r="BT419" s="53"/>
      <c r="BU419" s="53"/>
    </row>
    <row r="420" spans="15:73" x14ac:dyDescent="0.2"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</row>
    <row r="421" spans="15:73" x14ac:dyDescent="0.2"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53"/>
      <c r="BU421" s="53"/>
    </row>
    <row r="422" spans="15:73" x14ac:dyDescent="0.2"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3"/>
      <c r="BS422" s="53"/>
      <c r="BT422" s="53"/>
      <c r="BU422" s="53"/>
    </row>
    <row r="423" spans="15:73" x14ac:dyDescent="0.2"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3"/>
      <c r="BS423" s="53"/>
      <c r="BT423" s="53"/>
      <c r="BU423" s="53"/>
    </row>
    <row r="424" spans="15:73" x14ac:dyDescent="0.2"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3"/>
      <c r="BS424" s="53"/>
      <c r="BT424" s="53"/>
      <c r="BU424" s="53"/>
    </row>
    <row r="425" spans="15:73" x14ac:dyDescent="0.2"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3"/>
      <c r="BS425" s="53"/>
      <c r="BT425" s="53"/>
      <c r="BU425" s="53"/>
    </row>
    <row r="426" spans="15:73" x14ac:dyDescent="0.2"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3"/>
      <c r="BS426" s="53"/>
      <c r="BT426" s="53"/>
      <c r="BU426" s="53"/>
    </row>
    <row r="427" spans="15:73" x14ac:dyDescent="0.2"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53"/>
      <c r="BU427" s="53"/>
    </row>
    <row r="428" spans="15:73" x14ac:dyDescent="0.2"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3"/>
      <c r="BS428" s="53"/>
      <c r="BT428" s="53"/>
      <c r="BU428" s="53"/>
    </row>
    <row r="429" spans="15:73" x14ac:dyDescent="0.2"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53"/>
      <c r="BU429" s="53"/>
    </row>
    <row r="430" spans="15:73" x14ac:dyDescent="0.2"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3"/>
      <c r="BS430" s="53"/>
      <c r="BT430" s="53"/>
      <c r="BU430" s="53"/>
    </row>
    <row r="431" spans="15:73" x14ac:dyDescent="0.2"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3"/>
      <c r="BS431" s="53"/>
      <c r="BT431" s="53"/>
      <c r="BU431" s="53"/>
    </row>
    <row r="432" spans="15:73" x14ac:dyDescent="0.2"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3"/>
      <c r="BS432" s="53"/>
      <c r="BT432" s="53"/>
      <c r="BU432" s="53"/>
    </row>
    <row r="433" spans="15:73" x14ac:dyDescent="0.2"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3"/>
      <c r="BS433" s="53"/>
      <c r="BT433" s="53"/>
      <c r="BU433" s="53"/>
    </row>
    <row r="434" spans="15:73" x14ac:dyDescent="0.2"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3"/>
      <c r="BS434" s="53"/>
      <c r="BT434" s="53"/>
      <c r="BU434" s="53"/>
    </row>
    <row r="435" spans="15:73" x14ac:dyDescent="0.2"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3"/>
      <c r="BS435" s="53"/>
      <c r="BT435" s="53"/>
      <c r="BU435" s="53"/>
    </row>
    <row r="436" spans="15:73" x14ac:dyDescent="0.2"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3"/>
      <c r="BS436" s="53"/>
      <c r="BT436" s="53"/>
      <c r="BU436" s="53"/>
    </row>
    <row r="437" spans="15:73" x14ac:dyDescent="0.2"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3"/>
      <c r="BS437" s="53"/>
      <c r="BT437" s="53"/>
      <c r="BU437" s="53"/>
    </row>
    <row r="438" spans="15:73" x14ac:dyDescent="0.2"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3"/>
      <c r="BS438" s="53"/>
      <c r="BT438" s="53"/>
      <c r="BU438" s="53"/>
    </row>
    <row r="439" spans="15:73" x14ac:dyDescent="0.2"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3"/>
      <c r="BS439" s="53"/>
      <c r="BT439" s="53"/>
      <c r="BU439" s="53"/>
    </row>
    <row r="440" spans="15:73" x14ac:dyDescent="0.2"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3"/>
      <c r="BS440" s="53"/>
      <c r="BT440" s="53"/>
      <c r="BU440" s="53"/>
    </row>
    <row r="441" spans="15:73" x14ac:dyDescent="0.2"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3"/>
      <c r="BS441" s="53"/>
      <c r="BT441" s="53"/>
      <c r="BU441" s="53"/>
    </row>
    <row r="442" spans="15:73" x14ac:dyDescent="0.2"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3"/>
      <c r="BS442" s="53"/>
      <c r="BT442" s="53"/>
      <c r="BU442" s="53"/>
    </row>
    <row r="443" spans="15:73" x14ac:dyDescent="0.2"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3"/>
      <c r="BS443" s="53"/>
      <c r="BT443" s="53"/>
      <c r="BU443" s="53"/>
    </row>
    <row r="444" spans="15:73" x14ac:dyDescent="0.2"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3"/>
      <c r="BS444" s="53"/>
      <c r="BT444" s="53"/>
      <c r="BU444" s="53"/>
    </row>
    <row r="445" spans="15:73" x14ac:dyDescent="0.2"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3"/>
      <c r="BS445" s="53"/>
      <c r="BT445" s="53"/>
      <c r="BU445" s="53"/>
    </row>
    <row r="446" spans="15:73" x14ac:dyDescent="0.2"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3"/>
      <c r="BS446" s="53"/>
      <c r="BT446" s="53"/>
      <c r="BU446" s="53"/>
    </row>
    <row r="447" spans="15:73" x14ac:dyDescent="0.2"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3"/>
      <c r="BS447" s="53"/>
      <c r="BT447" s="53"/>
      <c r="BU447" s="53"/>
    </row>
    <row r="448" spans="15:73" x14ac:dyDescent="0.2"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3"/>
      <c r="BS448" s="53"/>
      <c r="BT448" s="53"/>
      <c r="BU448" s="53"/>
    </row>
    <row r="449" spans="15:73" x14ac:dyDescent="0.2"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3"/>
      <c r="BS449" s="53"/>
      <c r="BT449" s="53"/>
      <c r="BU449" s="53"/>
    </row>
    <row r="450" spans="15:73" x14ac:dyDescent="0.2"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3"/>
      <c r="BS450" s="53"/>
      <c r="BT450" s="53"/>
      <c r="BU450" s="53"/>
    </row>
    <row r="451" spans="15:73" x14ac:dyDescent="0.2"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3"/>
      <c r="BS451" s="53"/>
      <c r="BT451" s="53"/>
      <c r="BU451" s="53"/>
    </row>
    <row r="452" spans="15:73" x14ac:dyDescent="0.2"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3"/>
      <c r="BS452" s="53"/>
      <c r="BT452" s="53"/>
      <c r="BU452" s="53"/>
    </row>
    <row r="453" spans="15:73" x14ac:dyDescent="0.2"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3"/>
      <c r="BS453" s="53"/>
      <c r="BT453" s="53"/>
      <c r="BU453" s="53"/>
    </row>
    <row r="454" spans="15:73" x14ac:dyDescent="0.2"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3"/>
      <c r="BS454" s="53"/>
      <c r="BT454" s="53"/>
      <c r="BU454" s="53"/>
    </row>
    <row r="455" spans="15:73" x14ac:dyDescent="0.2"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3"/>
      <c r="BS455" s="53"/>
      <c r="BT455" s="53"/>
      <c r="BU455" s="53"/>
    </row>
    <row r="456" spans="15:73" x14ac:dyDescent="0.2"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3"/>
      <c r="BS456" s="53"/>
      <c r="BT456" s="53"/>
      <c r="BU456" s="53"/>
    </row>
    <row r="457" spans="15:73" x14ac:dyDescent="0.2"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3"/>
      <c r="BS457" s="53"/>
      <c r="BT457" s="53"/>
      <c r="BU457" s="53"/>
    </row>
    <row r="458" spans="15:73" x14ac:dyDescent="0.2"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3"/>
      <c r="BS458" s="53"/>
      <c r="BT458" s="53"/>
      <c r="BU458" s="53"/>
    </row>
    <row r="459" spans="15:73" x14ac:dyDescent="0.2"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3"/>
      <c r="BS459" s="53"/>
      <c r="BT459" s="53"/>
      <c r="BU459" s="53"/>
    </row>
    <row r="460" spans="15:73" x14ac:dyDescent="0.2"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3"/>
      <c r="BS460" s="53"/>
      <c r="BT460" s="53"/>
      <c r="BU460" s="53"/>
    </row>
    <row r="461" spans="15:73" x14ac:dyDescent="0.2"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3"/>
      <c r="BS461" s="53"/>
      <c r="BT461" s="53"/>
      <c r="BU461" s="53"/>
    </row>
    <row r="462" spans="15:73" x14ac:dyDescent="0.2"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3"/>
      <c r="BS462" s="53"/>
      <c r="BT462" s="53"/>
      <c r="BU462" s="53"/>
    </row>
    <row r="463" spans="15:73" x14ac:dyDescent="0.2"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3"/>
      <c r="BS463" s="53"/>
      <c r="BT463" s="53"/>
      <c r="BU463" s="53"/>
    </row>
    <row r="464" spans="15:73" x14ac:dyDescent="0.2"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3"/>
      <c r="BS464" s="53"/>
      <c r="BT464" s="53"/>
      <c r="BU464" s="53"/>
    </row>
    <row r="465" spans="15:73" x14ac:dyDescent="0.2"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3"/>
      <c r="BS465" s="53"/>
      <c r="BT465" s="53"/>
      <c r="BU465" s="53"/>
    </row>
    <row r="466" spans="15:73" x14ac:dyDescent="0.2"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3"/>
      <c r="BS466" s="53"/>
      <c r="BT466" s="53"/>
      <c r="BU466" s="53"/>
    </row>
    <row r="467" spans="15:73" x14ac:dyDescent="0.2"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3"/>
      <c r="BS467" s="53"/>
      <c r="BT467" s="53"/>
      <c r="BU467" s="53"/>
    </row>
    <row r="468" spans="15:73" x14ac:dyDescent="0.2"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3"/>
      <c r="BS468" s="53"/>
      <c r="BT468" s="53"/>
      <c r="BU468" s="53"/>
    </row>
    <row r="469" spans="15:73" x14ac:dyDescent="0.2"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3"/>
      <c r="BS469" s="53"/>
      <c r="BT469" s="53"/>
      <c r="BU469" s="53"/>
    </row>
    <row r="470" spans="15:73" x14ac:dyDescent="0.2"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3"/>
      <c r="BS470" s="53"/>
      <c r="BT470" s="53"/>
      <c r="BU470" s="53"/>
    </row>
    <row r="471" spans="15:73" x14ac:dyDescent="0.2"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3"/>
      <c r="BS471" s="53"/>
      <c r="BT471" s="53"/>
      <c r="BU471" s="53"/>
    </row>
    <row r="472" spans="15:73" x14ac:dyDescent="0.2"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3"/>
      <c r="BS472" s="53"/>
      <c r="BT472" s="53"/>
      <c r="BU472" s="53"/>
    </row>
    <row r="473" spans="15:73" x14ac:dyDescent="0.2"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3"/>
      <c r="BS473" s="53"/>
      <c r="BT473" s="53"/>
      <c r="BU473" s="53"/>
    </row>
    <row r="474" spans="15:73" x14ac:dyDescent="0.2"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3"/>
      <c r="BS474" s="53"/>
      <c r="BT474" s="53"/>
      <c r="BU474" s="53"/>
    </row>
    <row r="475" spans="15:73" x14ac:dyDescent="0.2"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3"/>
      <c r="BS475" s="53"/>
      <c r="BT475" s="53"/>
      <c r="BU475" s="53"/>
    </row>
    <row r="476" spans="15:73" x14ac:dyDescent="0.2"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3"/>
      <c r="BS476" s="53"/>
      <c r="BT476" s="53"/>
      <c r="BU476" s="53"/>
    </row>
    <row r="477" spans="15:73" x14ac:dyDescent="0.2"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3"/>
      <c r="BS477" s="53"/>
      <c r="BT477" s="53"/>
      <c r="BU477" s="53"/>
    </row>
    <row r="478" spans="15:73" x14ac:dyDescent="0.2"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3"/>
      <c r="BS478" s="53"/>
      <c r="BT478" s="53"/>
      <c r="BU478" s="53"/>
    </row>
    <row r="479" spans="15:73" x14ac:dyDescent="0.2"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3"/>
      <c r="BS479" s="53"/>
      <c r="BT479" s="53"/>
      <c r="BU479" s="53"/>
    </row>
    <row r="480" spans="15:73" x14ac:dyDescent="0.2"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3"/>
      <c r="BS480" s="53"/>
      <c r="BT480" s="53"/>
      <c r="BU480" s="53"/>
    </row>
    <row r="481" spans="15:73" x14ac:dyDescent="0.2"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3"/>
      <c r="BS481" s="53"/>
      <c r="BT481" s="53"/>
      <c r="BU481" s="53"/>
    </row>
    <row r="482" spans="15:73" x14ac:dyDescent="0.2"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3"/>
      <c r="BS482" s="53"/>
      <c r="BT482" s="53"/>
      <c r="BU482" s="53"/>
    </row>
    <row r="483" spans="15:73" x14ac:dyDescent="0.2"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3"/>
      <c r="BS483" s="53"/>
      <c r="BT483" s="53"/>
      <c r="BU483" s="53"/>
    </row>
    <row r="484" spans="15:73" x14ac:dyDescent="0.2"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3"/>
      <c r="BS484" s="53"/>
      <c r="BT484" s="53"/>
      <c r="BU484" s="53"/>
    </row>
    <row r="485" spans="15:73" x14ac:dyDescent="0.2"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3"/>
      <c r="BS485" s="53"/>
      <c r="BT485" s="53"/>
      <c r="BU485" s="53"/>
    </row>
    <row r="486" spans="15:73" x14ac:dyDescent="0.2"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3"/>
      <c r="BS486" s="53"/>
      <c r="BT486" s="53"/>
      <c r="BU486" s="53"/>
    </row>
    <row r="487" spans="15:73" x14ac:dyDescent="0.2"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3"/>
      <c r="BS487" s="53"/>
      <c r="BT487" s="53"/>
      <c r="BU487" s="53"/>
    </row>
    <row r="488" spans="15:73" x14ac:dyDescent="0.2"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3"/>
      <c r="BS488" s="53"/>
      <c r="BT488" s="53"/>
      <c r="BU488" s="53"/>
    </row>
    <row r="489" spans="15:73" x14ac:dyDescent="0.2"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3"/>
      <c r="BS489" s="53"/>
      <c r="BT489" s="53"/>
      <c r="BU489" s="53"/>
    </row>
    <row r="490" spans="15:73" x14ac:dyDescent="0.2"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/>
      <c r="BT490" s="53"/>
      <c r="BU490" s="53"/>
    </row>
    <row r="491" spans="15:73" x14ac:dyDescent="0.2"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3"/>
      <c r="BS491" s="53"/>
      <c r="BT491" s="53"/>
      <c r="BU491" s="53"/>
    </row>
    <row r="492" spans="15:73" x14ac:dyDescent="0.2"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3"/>
      <c r="BS492" s="53"/>
      <c r="BT492" s="53"/>
      <c r="BU492" s="53"/>
    </row>
    <row r="493" spans="15:73" x14ac:dyDescent="0.2"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3"/>
      <c r="BS493" s="53"/>
      <c r="BT493" s="53"/>
      <c r="BU493" s="53"/>
    </row>
    <row r="494" spans="15:73" x14ac:dyDescent="0.2"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3"/>
      <c r="BS494" s="53"/>
      <c r="BT494" s="53"/>
      <c r="BU494" s="53"/>
    </row>
    <row r="495" spans="15:73" x14ac:dyDescent="0.2"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3"/>
      <c r="BS495" s="53"/>
      <c r="BT495" s="53"/>
      <c r="BU495" s="53"/>
    </row>
    <row r="496" spans="15:73" x14ac:dyDescent="0.2"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3"/>
      <c r="BS496" s="53"/>
      <c r="BT496" s="53"/>
      <c r="BU496" s="53"/>
    </row>
    <row r="497" spans="15:73" x14ac:dyDescent="0.2"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3"/>
      <c r="BS497" s="53"/>
      <c r="BT497" s="53"/>
      <c r="BU497" s="53"/>
    </row>
    <row r="498" spans="15:73" x14ac:dyDescent="0.2"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3"/>
      <c r="BS498" s="53"/>
      <c r="BT498" s="53"/>
      <c r="BU498" s="53"/>
    </row>
    <row r="499" spans="15:73" x14ac:dyDescent="0.2"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3"/>
      <c r="BS499" s="53"/>
      <c r="BT499" s="53"/>
      <c r="BU499" s="53"/>
    </row>
    <row r="500" spans="15:73" x14ac:dyDescent="0.2"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3"/>
      <c r="BS500" s="53"/>
      <c r="BT500" s="53"/>
      <c r="BU500" s="53"/>
    </row>
    <row r="501" spans="15:73" x14ac:dyDescent="0.2"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3"/>
      <c r="BS501" s="53"/>
      <c r="BT501" s="53"/>
      <c r="BU501" s="53"/>
    </row>
    <row r="502" spans="15:73" x14ac:dyDescent="0.2"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3"/>
      <c r="BS502" s="53"/>
      <c r="BT502" s="53"/>
      <c r="BU502" s="53"/>
    </row>
    <row r="503" spans="15:73" x14ac:dyDescent="0.2"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3"/>
      <c r="BS503" s="53"/>
      <c r="BT503" s="53"/>
      <c r="BU503" s="53"/>
    </row>
    <row r="504" spans="15:73" x14ac:dyDescent="0.2"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3"/>
      <c r="BS504" s="53"/>
      <c r="BT504" s="53"/>
      <c r="BU504" s="53"/>
    </row>
    <row r="505" spans="15:73" x14ac:dyDescent="0.2"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3"/>
      <c r="BS505" s="53"/>
      <c r="BT505" s="53"/>
      <c r="BU505" s="53"/>
    </row>
    <row r="506" spans="15:73" x14ac:dyDescent="0.2"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3"/>
      <c r="BS506" s="53"/>
      <c r="BT506" s="53"/>
      <c r="BU506" s="53"/>
    </row>
    <row r="507" spans="15:73" x14ac:dyDescent="0.2"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3"/>
      <c r="BS507" s="53"/>
      <c r="BT507" s="53"/>
      <c r="BU507" s="53"/>
    </row>
    <row r="508" spans="15:73" x14ac:dyDescent="0.2"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3"/>
      <c r="BS508" s="53"/>
      <c r="BT508" s="53"/>
      <c r="BU508" s="53"/>
    </row>
    <row r="509" spans="15:73" x14ac:dyDescent="0.2"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3"/>
      <c r="BS509" s="53"/>
      <c r="BT509" s="53"/>
      <c r="BU509" s="53"/>
    </row>
    <row r="510" spans="15:73" x14ac:dyDescent="0.2"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3"/>
      <c r="BS510" s="53"/>
      <c r="BT510" s="53"/>
      <c r="BU510" s="53"/>
    </row>
    <row r="511" spans="15:73" x14ac:dyDescent="0.2"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3"/>
      <c r="BS511" s="53"/>
      <c r="BT511" s="53"/>
      <c r="BU511" s="53"/>
    </row>
    <row r="512" spans="15:73" x14ac:dyDescent="0.2"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3"/>
      <c r="BS512" s="53"/>
      <c r="BT512" s="53"/>
      <c r="BU512" s="53"/>
    </row>
    <row r="513" spans="15:73" x14ac:dyDescent="0.2"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3"/>
      <c r="BS513" s="53"/>
      <c r="BT513" s="53"/>
      <c r="BU513" s="53"/>
    </row>
    <row r="514" spans="15:73" x14ac:dyDescent="0.2"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3"/>
      <c r="BS514" s="53"/>
      <c r="BT514" s="53"/>
      <c r="BU514" s="53"/>
    </row>
    <row r="515" spans="15:73" x14ac:dyDescent="0.2"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3"/>
      <c r="BS515" s="53"/>
      <c r="BT515" s="53"/>
      <c r="BU515" s="53"/>
    </row>
    <row r="516" spans="15:73" x14ac:dyDescent="0.2"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3"/>
      <c r="BS516" s="53"/>
      <c r="BT516" s="53"/>
      <c r="BU516" s="53"/>
    </row>
    <row r="517" spans="15:73" x14ac:dyDescent="0.2"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3"/>
      <c r="BS517" s="53"/>
      <c r="BT517" s="53"/>
      <c r="BU517" s="53"/>
    </row>
    <row r="518" spans="15:73" x14ac:dyDescent="0.2"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3"/>
      <c r="BS518" s="53"/>
      <c r="BT518" s="53"/>
      <c r="BU518" s="53"/>
    </row>
    <row r="519" spans="15:73" x14ac:dyDescent="0.2"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3"/>
      <c r="BS519" s="53"/>
      <c r="BT519" s="53"/>
      <c r="BU519" s="53"/>
    </row>
    <row r="520" spans="15:73" x14ac:dyDescent="0.2"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3"/>
      <c r="BS520" s="53"/>
      <c r="BT520" s="53"/>
      <c r="BU520" s="53"/>
    </row>
    <row r="521" spans="15:73" x14ac:dyDescent="0.2"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3"/>
      <c r="BS521" s="53"/>
      <c r="BT521" s="53"/>
      <c r="BU521" s="53"/>
    </row>
    <row r="522" spans="15:73" x14ac:dyDescent="0.2"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53"/>
      <c r="BU522" s="53"/>
    </row>
    <row r="523" spans="15:73" x14ac:dyDescent="0.2"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3"/>
      <c r="BS523" s="53"/>
      <c r="BT523" s="53"/>
      <c r="BU523" s="53"/>
    </row>
    <row r="524" spans="15:73" x14ac:dyDescent="0.2"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53"/>
      <c r="BU524" s="53"/>
    </row>
    <row r="525" spans="15:73" x14ac:dyDescent="0.2"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3"/>
      <c r="BS525" s="53"/>
      <c r="BT525" s="53"/>
      <c r="BU525" s="53"/>
    </row>
    <row r="526" spans="15:73" x14ac:dyDescent="0.2"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3"/>
      <c r="BS526" s="53"/>
      <c r="BT526" s="53"/>
      <c r="BU526" s="53"/>
    </row>
    <row r="527" spans="15:73" x14ac:dyDescent="0.2"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3"/>
      <c r="BS527" s="53"/>
      <c r="BT527" s="53"/>
      <c r="BU527" s="53"/>
    </row>
    <row r="528" spans="15:73" x14ac:dyDescent="0.2"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3"/>
      <c r="BS528" s="53"/>
      <c r="BT528" s="53"/>
      <c r="BU528" s="53"/>
    </row>
    <row r="529" spans="15:73" x14ac:dyDescent="0.2"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</row>
    <row r="530" spans="15:73" x14ac:dyDescent="0.2"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3"/>
      <c r="BS530" s="53"/>
      <c r="BT530" s="53"/>
      <c r="BU530" s="53"/>
    </row>
    <row r="531" spans="15:73" x14ac:dyDescent="0.2"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</row>
    <row r="532" spans="15:73" x14ac:dyDescent="0.2"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3"/>
      <c r="BS532" s="53"/>
      <c r="BT532" s="53"/>
      <c r="BU532" s="53"/>
    </row>
  </sheetData>
  <dataConsolidate link="1"/>
  <phoneticPr fontId="12" type="noConversion"/>
  <pageMargins left="0.75" right="0.75" top="1" bottom="1" header="0.5" footer="0.5"/>
  <pageSetup scale="6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45"/>
  <sheetViews>
    <sheetView showGridLines="0" zoomScale="70" zoomScaleNormal="70" workbookViewId="0"/>
  </sheetViews>
  <sheetFormatPr defaultColWidth="9.140625" defaultRowHeight="12.75" x14ac:dyDescent="0.2"/>
  <cols>
    <col min="1" max="1" width="14.7109375" style="19" customWidth="1"/>
    <col min="2" max="2" width="12.28515625" style="19" bestFit="1" customWidth="1"/>
    <col min="3" max="3" width="11.7109375" style="19" bestFit="1" customWidth="1"/>
    <col min="4" max="4" width="8.7109375" style="19" bestFit="1" customWidth="1"/>
    <col min="5" max="5" width="11.5703125" style="19" bestFit="1" customWidth="1"/>
    <col min="6" max="6" width="1.7109375" style="19" customWidth="1"/>
    <col min="7" max="9" width="11.5703125" style="19" bestFit="1" customWidth="1"/>
    <col min="10" max="10" width="10.7109375" style="19" customWidth="1"/>
    <col min="11" max="16384" width="9.140625" style="19"/>
  </cols>
  <sheetData>
    <row r="1" spans="1:10" ht="14.25" x14ac:dyDescent="0.2">
      <c r="A1" s="18" t="s">
        <v>113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 x14ac:dyDescent="0.2">
      <c r="A2" s="20"/>
      <c r="B2" s="164" t="s">
        <v>0</v>
      </c>
      <c r="C2" s="164"/>
      <c r="D2" s="164"/>
      <c r="E2" s="164"/>
      <c r="F2" s="24"/>
      <c r="G2" s="164" t="s">
        <v>17</v>
      </c>
      <c r="H2" s="164"/>
      <c r="I2" s="164"/>
      <c r="J2" s="20"/>
    </row>
    <row r="3" spans="1:10" ht="14.25" x14ac:dyDescent="0.2">
      <c r="A3" s="20" t="s">
        <v>60</v>
      </c>
      <c r="B3" s="22" t="s">
        <v>8</v>
      </c>
      <c r="C3" s="26"/>
      <c r="D3" s="26"/>
      <c r="E3" s="26"/>
      <c r="F3" s="26"/>
      <c r="G3" s="26"/>
      <c r="H3" s="26"/>
      <c r="I3" s="26"/>
      <c r="J3" s="22" t="s">
        <v>26</v>
      </c>
    </row>
    <row r="4" spans="1:10" ht="14.25" x14ac:dyDescent="0.2">
      <c r="A4" s="27" t="s">
        <v>61</v>
      </c>
      <c r="B4" s="29" t="s">
        <v>25</v>
      </c>
      <c r="C4" s="29" t="s">
        <v>1</v>
      </c>
      <c r="D4" s="29" t="s">
        <v>2</v>
      </c>
      <c r="E4" s="31" t="s">
        <v>24</v>
      </c>
      <c r="F4" s="30"/>
      <c r="G4" s="29" t="s">
        <v>27</v>
      </c>
      <c r="H4" s="29" t="s">
        <v>23</v>
      </c>
      <c r="I4" s="29" t="s">
        <v>24</v>
      </c>
      <c r="J4" s="29" t="s">
        <v>70</v>
      </c>
    </row>
    <row r="5" spans="1:10" ht="14.25" x14ac:dyDescent="0.2">
      <c r="A5" s="20"/>
      <c r="B5" s="165" t="s">
        <v>75</v>
      </c>
      <c r="C5" s="165"/>
      <c r="D5" s="165"/>
      <c r="E5" s="165"/>
      <c r="F5" s="165"/>
      <c r="G5" s="165"/>
      <c r="H5" s="165"/>
      <c r="I5" s="165"/>
      <c r="J5" s="165"/>
    </row>
    <row r="6" spans="1:10" ht="14.25" x14ac:dyDescent="0.2">
      <c r="A6" s="20" t="s">
        <v>100</v>
      </c>
      <c r="B6" s="57">
        <f>B11</f>
        <v>402.01499999999999</v>
      </c>
      <c r="C6" s="58">
        <f>C23</f>
        <v>51100.43</v>
      </c>
      <c r="D6" s="58">
        <f>D23</f>
        <v>639.45289700599983</v>
      </c>
      <c r="E6" s="38">
        <f>E23</f>
        <v>52141.897897005998</v>
      </c>
      <c r="F6" s="58"/>
      <c r="G6" s="58">
        <f>G23</f>
        <v>37966.877728954991</v>
      </c>
      <c r="H6" s="58">
        <f>H23</f>
        <v>13833.684168051001</v>
      </c>
      <c r="I6" s="58">
        <f>I23</f>
        <v>51800.561897005995</v>
      </c>
      <c r="J6" s="58">
        <f>J22</f>
        <v>341.33600000000001</v>
      </c>
    </row>
    <row r="7" spans="1:10" ht="16.5" x14ac:dyDescent="0.2">
      <c r="A7" s="20" t="s">
        <v>101</v>
      </c>
      <c r="B7" s="57">
        <f>J6</f>
        <v>341.33600000000001</v>
      </c>
      <c r="C7" s="58">
        <f>C38</f>
        <v>50564.714999999989</v>
      </c>
      <c r="D7" s="58">
        <f>D38</f>
        <v>782.87279764099992</v>
      </c>
      <c r="E7" s="38">
        <f>E38</f>
        <v>51688.923797640993</v>
      </c>
      <c r="F7" s="58"/>
      <c r="G7" s="58">
        <f>G38</f>
        <v>37580.430300251006</v>
      </c>
      <c r="H7" s="58">
        <f>H38</f>
        <v>13767.707497390002</v>
      </c>
      <c r="I7" s="58">
        <f>I38</f>
        <v>51348.137797641</v>
      </c>
      <c r="J7" s="58">
        <f>J37</f>
        <v>340.786</v>
      </c>
    </row>
    <row r="8" spans="1:10" ht="16.5" x14ac:dyDescent="0.2">
      <c r="A8" s="20" t="s">
        <v>126</v>
      </c>
      <c r="B8" s="57">
        <f>J7</f>
        <v>340.786</v>
      </c>
      <c r="C8" s="58">
        <v>51709.214</v>
      </c>
      <c r="D8" s="58">
        <v>450</v>
      </c>
      <c r="E8" s="38">
        <f>SUM(B8:D8)</f>
        <v>52500</v>
      </c>
      <c r="F8" s="58"/>
      <c r="G8" s="58">
        <f>I8-H8</f>
        <v>37900</v>
      </c>
      <c r="H8" s="58">
        <v>14200</v>
      </c>
      <c r="I8" s="58">
        <f>E8-J8</f>
        <v>52100</v>
      </c>
      <c r="J8" s="58">
        <v>400</v>
      </c>
    </row>
    <row r="9" spans="1:10" ht="14.25" x14ac:dyDescent="0.2">
      <c r="A9" s="20"/>
      <c r="B9" s="59"/>
      <c r="C9" s="59"/>
      <c r="D9" s="59"/>
      <c r="E9" s="59"/>
      <c r="F9" s="59"/>
      <c r="G9" s="58"/>
      <c r="H9" s="59"/>
      <c r="I9" s="59"/>
      <c r="J9" s="59"/>
    </row>
    <row r="10" spans="1:10" ht="15" x14ac:dyDescent="0.25">
      <c r="A10" s="60" t="s">
        <v>100</v>
      </c>
      <c r="B10" s="61"/>
      <c r="C10" s="8"/>
      <c r="D10" s="8"/>
      <c r="E10" s="8"/>
      <c r="F10" s="8"/>
      <c r="G10" s="8"/>
      <c r="H10" s="8"/>
      <c r="I10" s="8"/>
      <c r="J10" s="8"/>
    </row>
    <row r="11" spans="1:10" ht="14.25" x14ac:dyDescent="0.2">
      <c r="A11" s="24" t="s">
        <v>44</v>
      </c>
      <c r="B11" s="61">
        <f>360.387+41.628</f>
        <v>402.01499999999999</v>
      </c>
      <c r="C11" s="8">
        <v>4381.8320000000003</v>
      </c>
      <c r="D11" s="8">
        <f>(43274*1.10231)/1000</f>
        <v>47.701362939999996</v>
      </c>
      <c r="E11" s="8">
        <f>SUM(B11:D11)</f>
        <v>4831.5483629400005</v>
      </c>
      <c r="F11" s="7"/>
      <c r="G11" s="6">
        <f t="shared" ref="G11:G22" si="0">I11-H11</f>
        <v>3335.8568790440004</v>
      </c>
      <c r="H11" s="8">
        <f>(1025421.6*1.10231)/1000</f>
        <v>1130.3324838959998</v>
      </c>
      <c r="I11" s="7">
        <f t="shared" ref="I11:I22" si="1">E11-J11</f>
        <v>4466.1893629400001</v>
      </c>
      <c r="J11" s="7">
        <v>365.35899999999998</v>
      </c>
    </row>
    <row r="12" spans="1:10" ht="14.25" x14ac:dyDescent="0.2">
      <c r="A12" s="24" t="s">
        <v>45</v>
      </c>
      <c r="B12" s="61">
        <f t="shared" ref="B12:B22" si="2">J11</f>
        <v>365.35899999999998</v>
      </c>
      <c r="C12" s="8">
        <v>4111.7719999999999</v>
      </c>
      <c r="D12" s="8">
        <f>(33004.7*1.10231)/1000</f>
        <v>36.381410856999999</v>
      </c>
      <c r="E12" s="8">
        <f t="shared" ref="E12:E18" si="3">SUM(B12:D12)</f>
        <v>4513.5124108570008</v>
      </c>
      <c r="F12" s="8"/>
      <c r="G12" s="6">
        <f t="shared" si="0"/>
        <v>2808.0372888130009</v>
      </c>
      <c r="H12" s="8">
        <f>(1123152.4*1.10231)/1000</f>
        <v>1238.0621220439998</v>
      </c>
      <c r="I12" s="7">
        <f t="shared" si="1"/>
        <v>4046.0994108570007</v>
      </c>
      <c r="J12" s="7">
        <v>467.41300000000001</v>
      </c>
    </row>
    <row r="13" spans="1:10" ht="14.25" x14ac:dyDescent="0.2">
      <c r="A13" s="24" t="s">
        <v>46</v>
      </c>
      <c r="B13" s="61">
        <f t="shared" si="2"/>
        <v>467.41300000000001</v>
      </c>
      <c r="C13" s="8">
        <v>4337.5720000000001</v>
      </c>
      <c r="D13" s="8">
        <f>(47624.6*1.10231)/1000</f>
        <v>52.497072825999993</v>
      </c>
      <c r="E13" s="8">
        <f t="shared" si="3"/>
        <v>4857.4820728260001</v>
      </c>
      <c r="F13" s="8"/>
      <c r="G13" s="6">
        <f t="shared" si="0"/>
        <v>3394.591402043</v>
      </c>
      <c r="H13" s="8">
        <f>(985039.3*1.10231)/1000</f>
        <v>1085.818670783</v>
      </c>
      <c r="I13" s="7">
        <f t="shared" si="1"/>
        <v>4480.410072826</v>
      </c>
      <c r="J13" s="7">
        <v>377.072</v>
      </c>
    </row>
    <row r="14" spans="1:10" ht="14.25" x14ac:dyDescent="0.2">
      <c r="A14" s="24" t="s">
        <v>47</v>
      </c>
      <c r="B14" s="61">
        <f t="shared" si="2"/>
        <v>377.072</v>
      </c>
      <c r="C14" s="8">
        <v>4425.7489999999998</v>
      </c>
      <c r="D14" s="8">
        <f>(55344*1.10231)/1000</f>
        <v>61.006244639999998</v>
      </c>
      <c r="E14" s="8">
        <f t="shared" si="3"/>
        <v>4863.8272446399997</v>
      </c>
      <c r="F14" s="8"/>
      <c r="G14" s="6">
        <f t="shared" si="0"/>
        <v>3443.2361162819998</v>
      </c>
      <c r="H14" s="8">
        <f>(975821.8*1.10231)/1000</f>
        <v>1075.6581283579999</v>
      </c>
      <c r="I14" s="7">
        <f t="shared" si="1"/>
        <v>4518.8942446399997</v>
      </c>
      <c r="J14" s="7">
        <v>344.93299999999999</v>
      </c>
    </row>
    <row r="15" spans="1:10" ht="14.25" x14ac:dyDescent="0.2">
      <c r="A15" s="24" t="s">
        <v>48</v>
      </c>
      <c r="B15" s="61">
        <f t="shared" si="2"/>
        <v>344.93299999999999</v>
      </c>
      <c r="C15" s="8">
        <v>4122.6279999999997</v>
      </c>
      <c r="D15" s="8">
        <f>(45646.7*1.10231)/1000</f>
        <v>50.316813876999994</v>
      </c>
      <c r="E15" s="8">
        <f t="shared" si="3"/>
        <v>4517.8778138769994</v>
      </c>
      <c r="F15" s="8"/>
      <c r="G15" s="6">
        <f t="shared" si="0"/>
        <v>2732.7443837479996</v>
      </c>
      <c r="H15" s="8">
        <f>(1218155.9*1.10231)/1000</f>
        <v>1342.7854301289997</v>
      </c>
      <c r="I15" s="7">
        <f t="shared" si="1"/>
        <v>4075.5298138769995</v>
      </c>
      <c r="J15" s="7">
        <v>442.34800000000001</v>
      </c>
    </row>
    <row r="16" spans="1:10" ht="14.25" x14ac:dyDescent="0.2">
      <c r="A16" s="24" t="s">
        <v>49</v>
      </c>
      <c r="B16" s="61">
        <f t="shared" si="2"/>
        <v>442.34800000000001</v>
      </c>
      <c r="C16" s="8">
        <v>4517.9129999999996</v>
      </c>
      <c r="D16" s="8">
        <f>(57701.5*1.10231)/1000</f>
        <v>63.604940464999991</v>
      </c>
      <c r="E16" s="8">
        <f t="shared" si="3"/>
        <v>5023.8659404649998</v>
      </c>
      <c r="F16" s="8"/>
      <c r="G16" s="6">
        <f t="shared" si="0"/>
        <v>3241.9729331999997</v>
      </c>
      <c r="H16" s="8">
        <f>(1239981.5*1.10231)/1000</f>
        <v>1366.8440072649998</v>
      </c>
      <c r="I16" s="7">
        <f t="shared" si="1"/>
        <v>4608.8169404649998</v>
      </c>
      <c r="J16" s="7">
        <v>415.04899999999998</v>
      </c>
    </row>
    <row r="17" spans="1:10" ht="14.25" x14ac:dyDescent="0.2">
      <c r="A17" s="24" t="s">
        <v>50</v>
      </c>
      <c r="B17" s="61">
        <f t="shared" si="2"/>
        <v>415.04899999999998</v>
      </c>
      <c r="C17" s="8">
        <v>4312.1769999999997</v>
      </c>
      <c r="D17" s="8">
        <f>(48315.4*1.10231)/1000</f>
        <v>53.258548574000002</v>
      </c>
      <c r="E17" s="8">
        <f t="shared" si="3"/>
        <v>4780.4845485739997</v>
      </c>
      <c r="F17" s="8"/>
      <c r="G17" s="6">
        <f t="shared" si="0"/>
        <v>3183.0079535909999</v>
      </c>
      <c r="H17" s="8">
        <f>(1098859.3*1.10231)/1000</f>
        <v>1211.2835949829998</v>
      </c>
      <c r="I17" s="7">
        <f t="shared" si="1"/>
        <v>4394.2915485739995</v>
      </c>
      <c r="J17" s="7">
        <v>386.19299999999998</v>
      </c>
    </row>
    <row r="18" spans="1:10" ht="14.25" x14ac:dyDescent="0.2">
      <c r="A18" s="24" t="s">
        <v>51</v>
      </c>
      <c r="B18" s="61">
        <f t="shared" si="2"/>
        <v>386.19299999999998</v>
      </c>
      <c r="C18" s="8">
        <v>4240.9799999999996</v>
      </c>
      <c r="D18" s="8">
        <f>(41067.2*1.10231)/1000</f>
        <v>45.268785231999992</v>
      </c>
      <c r="E18" s="8">
        <f t="shared" si="3"/>
        <v>4672.4417852319993</v>
      </c>
      <c r="F18" s="8"/>
      <c r="G18" s="6">
        <f t="shared" si="0"/>
        <v>3091.2519027089993</v>
      </c>
      <c r="H18" s="8">
        <f>(982793.3*1.10231)/1000</f>
        <v>1083.3428825230001</v>
      </c>
      <c r="I18" s="7">
        <f t="shared" si="1"/>
        <v>4174.5947852319996</v>
      </c>
      <c r="J18" s="7">
        <v>497.84699999999998</v>
      </c>
    </row>
    <row r="19" spans="1:10" ht="14.25" x14ac:dyDescent="0.2">
      <c r="A19" s="24" t="s">
        <v>52</v>
      </c>
      <c r="B19" s="61">
        <f t="shared" si="2"/>
        <v>497.84699999999998</v>
      </c>
      <c r="C19" s="8">
        <v>4167.4759999999997</v>
      </c>
      <c r="D19" s="8">
        <f>(36340.5*1.10231)/1000</f>
        <v>40.058496554999998</v>
      </c>
      <c r="E19" s="8">
        <f>SUM(B19:D19)</f>
        <v>4705.3814965549991</v>
      </c>
      <c r="F19" s="8"/>
      <c r="G19" s="6">
        <f t="shared" si="0"/>
        <v>3149.2991634139994</v>
      </c>
      <c r="H19" s="8">
        <f>(992261.1*1.10231)/1000</f>
        <v>1093.7793331409998</v>
      </c>
      <c r="I19" s="7">
        <f t="shared" si="1"/>
        <v>4243.0784965549992</v>
      </c>
      <c r="J19" s="7">
        <v>462.303</v>
      </c>
    </row>
    <row r="20" spans="1:10" ht="14.25" x14ac:dyDescent="0.2">
      <c r="A20" s="24" t="s">
        <v>54</v>
      </c>
      <c r="B20" s="61">
        <f t="shared" si="2"/>
        <v>462.303</v>
      </c>
      <c r="C20" s="8">
        <v>4361.17</v>
      </c>
      <c r="D20" s="8">
        <f>(52357*1.10231)/1000</f>
        <v>57.713644669999994</v>
      </c>
      <c r="E20" s="8">
        <f>SUM(B20:D20)</f>
        <v>4881.1866446699996</v>
      </c>
      <c r="F20" s="8"/>
      <c r="G20" s="6">
        <f t="shared" si="0"/>
        <v>3328.9380029640001</v>
      </c>
      <c r="H20" s="8">
        <f>(999472.6*1.10231)/1000</f>
        <v>1101.728641706</v>
      </c>
      <c r="I20" s="7">
        <f t="shared" si="1"/>
        <v>4430.6666446700001</v>
      </c>
      <c r="J20" s="7">
        <v>450.52</v>
      </c>
    </row>
    <row r="21" spans="1:10" ht="14.25" x14ac:dyDescent="0.2">
      <c r="A21" s="24" t="s">
        <v>55</v>
      </c>
      <c r="B21" s="61">
        <f t="shared" si="2"/>
        <v>450.52</v>
      </c>
      <c r="C21" s="8">
        <v>4111.7449999999999</v>
      </c>
      <c r="D21" s="8">
        <f>(54909.8*1.10231)/1000</f>
        <v>60.527621637999999</v>
      </c>
      <c r="E21" s="8">
        <f>SUM(B21:D21)</f>
        <v>4622.7926216379992</v>
      </c>
      <c r="F21" s="8"/>
      <c r="G21" s="6">
        <f t="shared" si="0"/>
        <v>3084.1046288009993</v>
      </c>
      <c r="H21" s="8">
        <f>(1013862.7*1.10231)/1000</f>
        <v>1117.5909928369999</v>
      </c>
      <c r="I21" s="7">
        <f t="shared" si="1"/>
        <v>4201.6956216379995</v>
      </c>
      <c r="J21" s="7">
        <v>421.09699999999998</v>
      </c>
    </row>
    <row r="22" spans="1:10" ht="14.25" x14ac:dyDescent="0.2">
      <c r="A22" s="24" t="s">
        <v>57</v>
      </c>
      <c r="B22" s="61">
        <f t="shared" si="2"/>
        <v>421.09699999999998</v>
      </c>
      <c r="C22" s="8">
        <v>4009.4160000000002</v>
      </c>
      <c r="D22" s="8">
        <f>(64517.2*1.10231)/1000</f>
        <v>71.117954731999987</v>
      </c>
      <c r="E22" s="8">
        <f>SUM(B22:D22)</f>
        <v>4501.6309547319997</v>
      </c>
      <c r="F22" s="8"/>
      <c r="G22" s="6">
        <f t="shared" si="0"/>
        <v>3173.8370743459996</v>
      </c>
      <c r="H22" s="8">
        <f>(894900.6*1.10231)/1000</f>
        <v>986.45788038599994</v>
      </c>
      <c r="I22" s="7">
        <f t="shared" si="1"/>
        <v>4160.2949547319995</v>
      </c>
      <c r="J22" s="7">
        <v>341.33600000000001</v>
      </c>
    </row>
    <row r="23" spans="1:10" ht="14.25" x14ac:dyDescent="0.2">
      <c r="A23" s="24" t="s">
        <v>3</v>
      </c>
      <c r="B23" s="61"/>
      <c r="C23" s="8">
        <f>SUM(C11:C22)</f>
        <v>51100.43</v>
      </c>
      <c r="D23" s="8">
        <f>SUM(D11:D22)</f>
        <v>639.45289700599983</v>
      </c>
      <c r="E23" s="8">
        <f>B11+C23+D23</f>
        <v>52141.897897005998</v>
      </c>
      <c r="F23" s="8"/>
      <c r="G23" s="6">
        <f>SUM(G11:G22)</f>
        <v>37966.877728954991</v>
      </c>
      <c r="H23" s="6">
        <f>SUM(H11:H22)</f>
        <v>13833.684168051001</v>
      </c>
      <c r="I23" s="7">
        <f>SUM(I11:I22)</f>
        <v>51800.561897005995</v>
      </c>
      <c r="J23" s="8"/>
    </row>
    <row r="24" spans="1:10" ht="14.25" x14ac:dyDescent="0.2">
      <c r="A24" s="24"/>
      <c r="B24" s="61"/>
      <c r="C24" s="8"/>
      <c r="D24" s="8"/>
      <c r="E24" s="8"/>
      <c r="F24" s="8"/>
      <c r="G24" s="8"/>
      <c r="H24" s="8"/>
      <c r="I24" s="8"/>
      <c r="J24" s="8"/>
    </row>
    <row r="25" spans="1:10" ht="15" x14ac:dyDescent="0.25">
      <c r="A25" s="60" t="s">
        <v>103</v>
      </c>
      <c r="B25" s="61"/>
      <c r="C25" s="8"/>
      <c r="D25" s="8"/>
      <c r="E25" s="8"/>
      <c r="F25" s="8"/>
      <c r="G25" s="8"/>
      <c r="H25" s="8"/>
      <c r="I25" s="8"/>
      <c r="J25" s="8"/>
    </row>
    <row r="26" spans="1:10" ht="14.25" x14ac:dyDescent="0.2">
      <c r="A26" s="24" t="s">
        <v>44</v>
      </c>
      <c r="B26" s="61">
        <f>J22</f>
        <v>341.33600000000001</v>
      </c>
      <c r="C26" s="8">
        <v>4615.5919999999996</v>
      </c>
      <c r="D26" s="8">
        <f>(63180.5*1.10231)/1000</f>
        <v>69.644496954999994</v>
      </c>
      <c r="E26" s="8">
        <f t="shared" ref="E26:E32" si="4">SUM(B26:D26)</f>
        <v>5026.5724969550001</v>
      </c>
      <c r="F26" s="7"/>
      <c r="G26" s="6">
        <f t="shared" ref="G26:G32" si="5">I26-H26</f>
        <v>3543.9302441150003</v>
      </c>
      <c r="H26" s="8">
        <f>(1005564*1.10231)/1000</f>
        <v>1108.44325284</v>
      </c>
      <c r="I26" s="7">
        <f t="shared" ref="I26:I32" si="6">E26-J26</f>
        <v>4652.3734969550005</v>
      </c>
      <c r="J26" s="7">
        <v>374.19900000000001</v>
      </c>
    </row>
    <row r="27" spans="1:10" ht="14.25" x14ac:dyDescent="0.2">
      <c r="A27" s="24" t="s">
        <v>45</v>
      </c>
      <c r="B27" s="61">
        <f t="shared" ref="B27:B32" si="7">J26</f>
        <v>374.19900000000001</v>
      </c>
      <c r="C27" s="8">
        <v>4516.2939999999999</v>
      </c>
      <c r="D27" s="8">
        <f>(61205.6*1.10231)/1000</f>
        <v>67.467544935999996</v>
      </c>
      <c r="E27" s="8">
        <f t="shared" si="4"/>
        <v>4957.9605449359997</v>
      </c>
      <c r="F27" s="7"/>
      <c r="G27" s="6">
        <f t="shared" si="5"/>
        <v>3223.2103220019999</v>
      </c>
      <c r="H27" s="8">
        <f>(1157871.4*1.10231)/1000</f>
        <v>1276.3332229339997</v>
      </c>
      <c r="I27" s="7">
        <f t="shared" si="6"/>
        <v>4499.5435449359993</v>
      </c>
      <c r="J27" s="7">
        <v>458.41699999999997</v>
      </c>
    </row>
    <row r="28" spans="1:10" ht="14.25" x14ac:dyDescent="0.2">
      <c r="A28" s="24" t="s">
        <v>46</v>
      </c>
      <c r="B28" s="61">
        <f t="shared" si="7"/>
        <v>458.41699999999997</v>
      </c>
      <c r="C28" s="8">
        <v>4540.9309999999996</v>
      </c>
      <c r="D28" s="8">
        <f>(58666.4*1.10231)/1000</f>
        <v>64.668559383999991</v>
      </c>
      <c r="E28" s="8">
        <f t="shared" si="4"/>
        <v>5064.0165593840002</v>
      </c>
      <c r="F28" s="7"/>
      <c r="G28" s="6">
        <f t="shared" si="5"/>
        <v>3257.6761174220001</v>
      </c>
      <c r="H28" s="8">
        <f>(1312650.2*1.10231)/1000</f>
        <v>1446.9474419619999</v>
      </c>
      <c r="I28" s="7">
        <f t="shared" si="6"/>
        <v>4704.6235593840001</v>
      </c>
      <c r="J28" s="7">
        <v>359.39299999999997</v>
      </c>
    </row>
    <row r="29" spans="1:10" ht="14.25" x14ac:dyDescent="0.2">
      <c r="A29" s="24" t="s">
        <v>47</v>
      </c>
      <c r="B29" s="61">
        <f t="shared" si="7"/>
        <v>359.39299999999997</v>
      </c>
      <c r="C29" s="8">
        <v>4665.652</v>
      </c>
      <c r="D29" s="8">
        <f>(62004.8*1.10231)/1000</f>
        <v>68.348511087999995</v>
      </c>
      <c r="E29" s="8">
        <f t="shared" si="4"/>
        <v>5093.3935110880002</v>
      </c>
      <c r="F29" s="7"/>
      <c r="G29" s="6">
        <f t="shared" si="5"/>
        <v>3080.2815676670002</v>
      </c>
      <c r="H29" s="8">
        <f>(1322049.1*1.10231)/1000</f>
        <v>1457.3079434209999</v>
      </c>
      <c r="I29" s="7">
        <f t="shared" si="6"/>
        <v>4537.5895110880001</v>
      </c>
      <c r="J29" s="7">
        <v>555.80399999999997</v>
      </c>
    </row>
    <row r="30" spans="1:10" ht="14.25" x14ac:dyDescent="0.2">
      <c r="A30" s="24" t="s">
        <v>48</v>
      </c>
      <c r="B30" s="61">
        <f t="shared" si="7"/>
        <v>555.80399999999997</v>
      </c>
      <c r="C30" s="8">
        <v>3918.6709999999998</v>
      </c>
      <c r="D30" s="8">
        <f>(60831.4*1.10231)/1000</f>
        <v>67.055060533999992</v>
      </c>
      <c r="E30" s="8">
        <f t="shared" si="4"/>
        <v>4541.5300605339999</v>
      </c>
      <c r="F30" s="7"/>
      <c r="G30" s="6">
        <f t="shared" si="5"/>
        <v>2640.8198255869997</v>
      </c>
      <c r="H30" s="8">
        <f>(1194443.7*1.10231)/1000</f>
        <v>1316.647234947</v>
      </c>
      <c r="I30" s="7">
        <f t="shared" si="6"/>
        <v>3957.4670605339998</v>
      </c>
      <c r="J30" s="7">
        <v>584.06299999999999</v>
      </c>
    </row>
    <row r="31" spans="1:10" ht="14.25" x14ac:dyDescent="0.2">
      <c r="A31" s="24" t="s">
        <v>49</v>
      </c>
      <c r="B31" s="61">
        <f t="shared" si="7"/>
        <v>584.06299999999999</v>
      </c>
      <c r="C31" s="8">
        <v>4476.5870000000004</v>
      </c>
      <c r="D31" s="8">
        <f>(66448.6*1.10231)/1000</f>
        <v>73.246956265999998</v>
      </c>
      <c r="E31" s="8">
        <f t="shared" si="4"/>
        <v>5133.8969562660004</v>
      </c>
      <c r="F31" s="7"/>
      <c r="G31" s="6">
        <f t="shared" si="5"/>
        <v>3387.3791584980008</v>
      </c>
      <c r="H31" s="8">
        <f>(1178232.8*1.10231)/1000</f>
        <v>1298.777797768</v>
      </c>
      <c r="I31" s="7">
        <f t="shared" si="6"/>
        <v>4686.1569562660006</v>
      </c>
      <c r="J31" s="7">
        <v>447.74</v>
      </c>
    </row>
    <row r="32" spans="1:10" ht="14.25" x14ac:dyDescent="0.2">
      <c r="A32" s="24" t="s">
        <v>50</v>
      </c>
      <c r="B32" s="61">
        <f t="shared" si="7"/>
        <v>447.74</v>
      </c>
      <c r="C32" s="8">
        <v>4044.7089999999998</v>
      </c>
      <c r="D32" s="8">
        <f>(61739.5*1.10231)/1000</f>
        <v>68.056068244999992</v>
      </c>
      <c r="E32" s="8">
        <f t="shared" si="4"/>
        <v>4560.5050682449992</v>
      </c>
      <c r="F32" s="7"/>
      <c r="G32" s="6">
        <f t="shared" si="5"/>
        <v>3050.7248173269991</v>
      </c>
      <c r="H32" s="8">
        <f>(959597.8*1.10231)/1000</f>
        <v>1057.774250918</v>
      </c>
      <c r="I32" s="7">
        <f t="shared" si="6"/>
        <v>4108.4990682449989</v>
      </c>
      <c r="J32" s="7">
        <v>452.00599999999997</v>
      </c>
    </row>
    <row r="33" spans="1:10" ht="14.25" x14ac:dyDescent="0.2">
      <c r="A33" s="24" t="s">
        <v>51</v>
      </c>
      <c r="B33" s="61">
        <f t="shared" ref="B33" si="8">J32</f>
        <v>452.00599999999997</v>
      </c>
      <c r="C33" s="8">
        <v>4122.884</v>
      </c>
      <c r="D33" s="8">
        <f>(59425.5*1.10231)/1000</f>
        <v>65.505322905</v>
      </c>
      <c r="E33" s="8">
        <f>SUM(B33:D33)</f>
        <v>4640.3953229050003</v>
      </c>
      <c r="F33" s="7"/>
      <c r="G33" s="6">
        <f t="shared" ref="G33:G37" si="9">I33-H33</f>
        <v>2948.6927628190006</v>
      </c>
      <c r="H33" s="8">
        <f>(952770.6*1.10231)/1000</f>
        <v>1050.2485600859998</v>
      </c>
      <c r="I33" s="7">
        <f>E33-J33</f>
        <v>3998.9413229050006</v>
      </c>
      <c r="J33" s="7">
        <v>641.45399999999995</v>
      </c>
    </row>
    <row r="34" spans="1:10" ht="14.25" x14ac:dyDescent="0.2">
      <c r="A34" s="24" t="s">
        <v>52</v>
      </c>
      <c r="B34" s="61">
        <f>J33</f>
        <v>641.45399999999995</v>
      </c>
      <c r="C34" s="8">
        <v>3833.951</v>
      </c>
      <c r="D34" s="8">
        <f>(57647.2*1.10231)/1000</f>
        <v>63.545085031999989</v>
      </c>
      <c r="E34" s="8">
        <f>SUM(B34:D34)</f>
        <v>4538.9500850320001</v>
      </c>
      <c r="F34" s="7"/>
      <c r="G34" s="6">
        <f t="shared" si="9"/>
        <v>3182.6439690309999</v>
      </c>
      <c r="H34" s="8">
        <f>(832167.1*1.10231)/1000</f>
        <v>917.30611600099996</v>
      </c>
      <c r="I34" s="7">
        <f>E34-J34</f>
        <v>4099.9500850320001</v>
      </c>
      <c r="J34" s="7">
        <v>439</v>
      </c>
    </row>
    <row r="35" spans="1:10" ht="14.25" x14ac:dyDescent="0.2">
      <c r="A35" s="24" t="s">
        <v>54</v>
      </c>
      <c r="B35" s="61">
        <f>J34</f>
        <v>439</v>
      </c>
      <c r="C35" s="8">
        <v>3966.4989999999998</v>
      </c>
      <c r="D35" s="8">
        <f>(80443.6*1.10231)/1000</f>
        <v>88.673784716</v>
      </c>
      <c r="E35" s="8">
        <f>SUM(B35:D35)</f>
        <v>4494.172784716</v>
      </c>
      <c r="F35" s="7"/>
      <c r="G35" s="6">
        <f t="shared" si="9"/>
        <v>2936.1778779750002</v>
      </c>
      <c r="H35" s="8">
        <f>(980821.1*1.10231)/1000</f>
        <v>1081.1689067409998</v>
      </c>
      <c r="I35" s="7">
        <f>E35-J35</f>
        <v>4017.346784716</v>
      </c>
      <c r="J35" s="7">
        <v>476.82600000000002</v>
      </c>
    </row>
    <row r="36" spans="1:10" ht="14.25" x14ac:dyDescent="0.2">
      <c r="A36" s="24" t="s">
        <v>55</v>
      </c>
      <c r="B36" s="61">
        <f>J35</f>
        <v>476.82600000000002</v>
      </c>
      <c r="C36" s="8">
        <v>3995.2939999999999</v>
      </c>
      <c r="D36" s="8">
        <f>(42840.9*1.10231)/1000</f>
        <v>47.223952478999998</v>
      </c>
      <c r="E36" s="8">
        <f>SUM(B36:D36)</f>
        <v>4519.3439524790001</v>
      </c>
      <c r="F36" s="7"/>
      <c r="G36" s="6">
        <f t="shared" si="9"/>
        <v>3177.8774938420006</v>
      </c>
      <c r="H36" s="8">
        <f>(869042.7*1.10231)/1000</f>
        <v>957.95445863699979</v>
      </c>
      <c r="I36" s="7">
        <f>E36-J36</f>
        <v>4135.8319524790004</v>
      </c>
      <c r="J36" s="7">
        <v>383.512</v>
      </c>
    </row>
    <row r="37" spans="1:10" ht="14.25" x14ac:dyDescent="0.2">
      <c r="A37" s="24" t="s">
        <v>57</v>
      </c>
      <c r="B37" s="61">
        <f>J36</f>
        <v>383.512</v>
      </c>
      <c r="C37" s="8">
        <v>3867.6509999999998</v>
      </c>
      <c r="D37" s="8">
        <f>(35777.1*1.10231)/1000</f>
        <v>39.437455100999991</v>
      </c>
      <c r="E37" s="8">
        <f>SUM(B37:D37)</f>
        <v>4290.6004551009992</v>
      </c>
      <c r="F37" s="7"/>
      <c r="G37" s="6">
        <f t="shared" si="9"/>
        <v>3151.0161439659992</v>
      </c>
      <c r="H37" s="8">
        <f>(724658.5*1.10231)/1000</f>
        <v>798.79831113499995</v>
      </c>
      <c r="I37" s="7">
        <f>E37-J37</f>
        <v>3949.8144551009991</v>
      </c>
      <c r="J37" s="7">
        <v>340.786</v>
      </c>
    </row>
    <row r="38" spans="1:10" ht="14.25" x14ac:dyDescent="0.2">
      <c r="A38" s="18" t="s">
        <v>104</v>
      </c>
      <c r="B38" s="62"/>
      <c r="C38" s="50">
        <f>SUM(C26:C37)</f>
        <v>50564.714999999989</v>
      </c>
      <c r="D38" s="50">
        <f>SUM(D26:D37)</f>
        <v>782.87279764099992</v>
      </c>
      <c r="E38" s="50">
        <f>B26+C38+D38</f>
        <v>51688.923797640993</v>
      </c>
      <c r="F38" s="50"/>
      <c r="G38" s="50">
        <f>SUM(G26:G37)</f>
        <v>37580.430300251006</v>
      </c>
      <c r="H38" s="50">
        <f>SUM(H26:H37)</f>
        <v>13767.707497390002</v>
      </c>
      <c r="I38" s="50">
        <f>SUM(I26:I37)</f>
        <v>51348.137797641</v>
      </c>
      <c r="J38" s="50"/>
    </row>
    <row r="39" spans="1:10" ht="16.5" x14ac:dyDescent="0.2">
      <c r="A39" s="63" t="s">
        <v>195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4.25" x14ac:dyDescent="0.2">
      <c r="A40" s="20" t="s">
        <v>81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4.25" x14ac:dyDescent="0.2">
      <c r="A41" s="26" t="s">
        <v>18</v>
      </c>
      <c r="B41" s="52">
        <f ca="1">NOW()</f>
        <v>44510.570713194444</v>
      </c>
      <c r="C41" s="46"/>
      <c r="D41" s="39"/>
      <c r="E41" s="39"/>
      <c r="F41" s="39"/>
      <c r="G41" s="39"/>
      <c r="H41" s="39"/>
      <c r="I41" s="39"/>
      <c r="J41" s="39"/>
    </row>
    <row r="42" spans="1:10" x14ac:dyDescent="0.2">
      <c r="A42" s="64"/>
      <c r="B42" s="65"/>
      <c r="C42" s="66"/>
      <c r="D42" s="65"/>
      <c r="E42" s="149"/>
      <c r="F42" s="65"/>
      <c r="G42" s="65"/>
      <c r="H42" s="67"/>
      <c r="I42" s="149"/>
      <c r="J42" s="65"/>
    </row>
    <row r="43" spans="1:10" x14ac:dyDescent="0.2">
      <c r="A43" s="64"/>
      <c r="B43" s="65"/>
      <c r="C43" s="65"/>
      <c r="D43" s="65"/>
      <c r="E43" s="65"/>
      <c r="F43" s="65"/>
      <c r="G43" s="65"/>
      <c r="H43" s="65"/>
      <c r="I43" s="65"/>
      <c r="J43" s="65"/>
    </row>
    <row r="44" spans="1:10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</row>
    <row r="45" spans="1:10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</row>
  </sheetData>
  <mergeCells count="3">
    <mergeCell ref="G2:I2"/>
    <mergeCell ref="B5:J5"/>
    <mergeCell ref="B2:E2"/>
  </mergeCells>
  <phoneticPr fontId="12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42"/>
  <sheetViews>
    <sheetView showGridLines="0" zoomScale="70" zoomScaleNormal="70" workbookViewId="0"/>
  </sheetViews>
  <sheetFormatPr defaultColWidth="9.140625" defaultRowHeight="12.75" x14ac:dyDescent="0.2"/>
  <cols>
    <col min="1" max="1" width="14.5703125" style="19" customWidth="1"/>
    <col min="2" max="2" width="12.28515625" style="19" bestFit="1" customWidth="1"/>
    <col min="3" max="3" width="11.7109375" style="19" bestFit="1" customWidth="1"/>
    <col min="4" max="4" width="11" style="19" bestFit="1" customWidth="1"/>
    <col min="5" max="5" width="11.28515625" style="19" bestFit="1" customWidth="1"/>
    <col min="6" max="6" width="3.7109375" style="19" customWidth="1"/>
    <col min="7" max="7" width="11.5703125" style="19" bestFit="1" customWidth="1"/>
    <col min="8" max="8" width="10.7109375" style="19" customWidth="1"/>
    <col min="9" max="9" width="12.7109375" style="19" customWidth="1"/>
    <col min="10" max="10" width="10.28515625" style="19" bestFit="1" customWidth="1"/>
    <col min="11" max="11" width="11.5703125" style="19" bestFit="1" customWidth="1"/>
    <col min="12" max="12" width="10.28515625" style="19" bestFit="1" customWidth="1"/>
    <col min="13" max="16384" width="9.140625" style="19"/>
  </cols>
  <sheetData>
    <row r="1" spans="1:13" ht="14.25" x14ac:dyDescent="0.2">
      <c r="A1" s="18" t="s">
        <v>114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14.25" x14ac:dyDescent="0.2">
      <c r="A2" s="20"/>
      <c r="B2" s="164" t="s">
        <v>0</v>
      </c>
      <c r="C2" s="164"/>
      <c r="D2" s="164"/>
      <c r="E2" s="164"/>
      <c r="F2" s="24"/>
      <c r="G2" s="164" t="s">
        <v>17</v>
      </c>
      <c r="H2" s="164"/>
      <c r="I2" s="164"/>
      <c r="J2" s="55"/>
      <c r="K2" s="55"/>
      <c r="L2" s="20"/>
    </row>
    <row r="3" spans="1:13" ht="14.25" x14ac:dyDescent="0.2">
      <c r="A3" s="20" t="s">
        <v>60</v>
      </c>
      <c r="B3" s="22" t="s">
        <v>28</v>
      </c>
      <c r="C3" s="41" t="s">
        <v>1</v>
      </c>
      <c r="D3" s="41" t="s">
        <v>29</v>
      </c>
      <c r="E3" s="41" t="s">
        <v>24</v>
      </c>
      <c r="F3" s="41"/>
      <c r="G3" s="55" t="s">
        <v>27</v>
      </c>
      <c r="H3" s="55"/>
      <c r="I3" s="55"/>
      <c r="J3" s="41" t="s">
        <v>31</v>
      </c>
      <c r="K3" s="41" t="s">
        <v>24</v>
      </c>
      <c r="L3" s="41" t="s">
        <v>26</v>
      </c>
    </row>
    <row r="4" spans="1:13" ht="16.5" x14ac:dyDescent="0.2">
      <c r="A4" s="27" t="s">
        <v>61</v>
      </c>
      <c r="B4" s="29" t="s">
        <v>25</v>
      </c>
      <c r="C4" s="30"/>
      <c r="D4" s="30"/>
      <c r="E4" s="30"/>
      <c r="F4" s="30"/>
      <c r="G4" s="29" t="s">
        <v>3</v>
      </c>
      <c r="H4" s="29" t="s">
        <v>130</v>
      </c>
      <c r="I4" s="29" t="s">
        <v>134</v>
      </c>
      <c r="J4" s="30"/>
      <c r="K4" s="30"/>
      <c r="L4" s="41" t="s">
        <v>70</v>
      </c>
    </row>
    <row r="5" spans="1:13" ht="14.25" x14ac:dyDescent="0.2">
      <c r="A5" s="20"/>
      <c r="B5" s="166" t="s">
        <v>76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3" ht="14.25" x14ac:dyDescent="0.2">
      <c r="A6" s="20" t="s">
        <v>100</v>
      </c>
      <c r="B6" s="59">
        <f>B11</f>
        <v>1775.316</v>
      </c>
      <c r="C6" s="59">
        <f>C23</f>
        <v>24911.120999999996</v>
      </c>
      <c r="D6" s="59">
        <f>D23</f>
        <v>319.88668388040003</v>
      </c>
      <c r="E6" s="59">
        <f>E23</f>
        <v>27006.323683880393</v>
      </c>
      <c r="F6" s="59"/>
      <c r="G6" s="59">
        <f>G23</f>
        <v>22316.958470009602</v>
      </c>
      <c r="H6" s="38">
        <f>H23</f>
        <v>8657.8000000000011</v>
      </c>
      <c r="I6" s="38">
        <f>I23</f>
        <v>13659.158470009601</v>
      </c>
      <c r="J6" s="59">
        <f>J23</f>
        <v>2836.6902138707997</v>
      </c>
      <c r="K6" s="59">
        <f>K23</f>
        <v>25153.648683880405</v>
      </c>
      <c r="L6" s="59">
        <f>L22</f>
        <v>1852.675</v>
      </c>
      <c r="M6" s="129"/>
    </row>
    <row r="7" spans="1:13" ht="16.5" x14ac:dyDescent="0.2">
      <c r="A7" s="20" t="s">
        <v>101</v>
      </c>
      <c r="B7" s="59">
        <f>L6</f>
        <v>1852.675</v>
      </c>
      <c r="C7" s="59">
        <f>C38</f>
        <v>25022.667000000001</v>
      </c>
      <c r="D7" s="59">
        <f>D38</f>
        <v>301.9644297936</v>
      </c>
      <c r="E7" s="59">
        <f>E38</f>
        <v>27177.3064297936</v>
      </c>
      <c r="F7" s="59"/>
      <c r="G7" s="59">
        <f>K7-J7</f>
        <v>23276.9821278038</v>
      </c>
      <c r="H7" s="38">
        <v>8850</v>
      </c>
      <c r="I7" s="38">
        <f>G7-H7</f>
        <v>14426.9821278038</v>
      </c>
      <c r="J7" s="59">
        <f>J38</f>
        <v>1723.4983019897998</v>
      </c>
      <c r="K7" s="59">
        <f>E7-L7</f>
        <v>25000.480429793599</v>
      </c>
      <c r="L7" s="59">
        <f>L37</f>
        <v>2176.826</v>
      </c>
      <c r="M7" s="127"/>
    </row>
    <row r="8" spans="1:13" ht="16.5" x14ac:dyDescent="0.2">
      <c r="A8" s="20" t="s">
        <v>126</v>
      </c>
      <c r="B8" s="59">
        <f>L7</f>
        <v>2176.826</v>
      </c>
      <c r="C8" s="59">
        <v>25535</v>
      </c>
      <c r="D8" s="59">
        <v>450</v>
      </c>
      <c r="E8" s="59">
        <f>SUM(B8:D8)</f>
        <v>28161.826000000001</v>
      </c>
      <c r="F8" s="59"/>
      <c r="G8" s="59">
        <f>K8-J8</f>
        <v>25000</v>
      </c>
      <c r="H8" s="38">
        <v>11000</v>
      </c>
      <c r="I8" s="38">
        <f>G8-H8</f>
        <v>14000</v>
      </c>
      <c r="J8" s="59">
        <v>1250</v>
      </c>
      <c r="K8" s="59">
        <f>E8-L8</f>
        <v>26250</v>
      </c>
      <c r="L8" s="59">
        <v>1911.8260000000009</v>
      </c>
    </row>
    <row r="9" spans="1:13" ht="14.25" x14ac:dyDescent="0.2">
      <c r="A9" s="20"/>
      <c r="B9" s="59"/>
      <c r="C9" s="59"/>
      <c r="D9" s="59"/>
      <c r="E9" s="59"/>
      <c r="F9" s="59"/>
      <c r="G9" s="59"/>
      <c r="H9" s="59"/>
      <c r="I9" s="128"/>
      <c r="J9" s="59"/>
      <c r="K9" s="59"/>
      <c r="L9" s="59"/>
    </row>
    <row r="10" spans="1:13" ht="15" x14ac:dyDescent="0.25">
      <c r="A10" s="42" t="s">
        <v>100</v>
      </c>
      <c r="B10" s="68"/>
      <c r="C10" s="8"/>
      <c r="D10" s="8"/>
      <c r="E10" s="8"/>
      <c r="F10" s="7"/>
      <c r="G10" s="8"/>
      <c r="H10" s="8"/>
      <c r="I10" s="8"/>
      <c r="J10" s="8"/>
      <c r="K10" s="8"/>
      <c r="L10" s="7"/>
    </row>
    <row r="11" spans="1:13" ht="14.25" x14ac:dyDescent="0.2">
      <c r="A11" s="24" t="s">
        <v>44</v>
      </c>
      <c r="B11" s="7">
        <f>1400.569+374.747</f>
        <v>1775.316</v>
      </c>
      <c r="C11" s="8">
        <v>2150</v>
      </c>
      <c r="D11" s="8">
        <f>(13810.4*2204.622)/1000000</f>
        <v>30.446711668799995</v>
      </c>
      <c r="E11" s="8">
        <f t="shared" ref="E11:E18" si="0">SUM(B11:D11)</f>
        <v>3955.7627116688</v>
      </c>
      <c r="F11" s="7"/>
      <c r="G11" s="7">
        <f t="shared" ref="G11:G22" si="1">K11-J11</f>
        <v>1882.0792997521999</v>
      </c>
      <c r="H11" s="8">
        <v>624.20000000000005</v>
      </c>
      <c r="I11" s="8">
        <f t="shared" ref="I11:I22" si="2">G11-H11</f>
        <v>1257.8792997521998</v>
      </c>
      <c r="J11" s="8">
        <f>(114615.3*2204.622)/1000000</f>
        <v>252.68341191659999</v>
      </c>
      <c r="K11" s="8">
        <f t="shared" ref="K11:K22" si="3">E11-L11</f>
        <v>2134.7627116688</v>
      </c>
      <c r="L11" s="7">
        <v>1821</v>
      </c>
    </row>
    <row r="12" spans="1:13" ht="14.25" x14ac:dyDescent="0.2">
      <c r="A12" s="24" t="s">
        <v>45</v>
      </c>
      <c r="B12" s="7">
        <f t="shared" ref="B12:B22" si="4">L11</f>
        <v>1821</v>
      </c>
      <c r="C12" s="8">
        <v>1999.6</v>
      </c>
      <c r="D12" s="8">
        <f>(11095*2204.622)/1000000</f>
        <v>24.460281089999999</v>
      </c>
      <c r="E12" s="8">
        <f t="shared" si="0"/>
        <v>3845.06028109</v>
      </c>
      <c r="F12" s="7"/>
      <c r="G12" s="7">
        <f t="shared" si="1"/>
        <v>1706.9654346249999</v>
      </c>
      <c r="H12" s="8">
        <v>593.20000000000005</v>
      </c>
      <c r="I12" s="8">
        <f t="shared" si="2"/>
        <v>1113.7654346249999</v>
      </c>
      <c r="J12" s="8">
        <f>(116907.5*2204.622)/1000000</f>
        <v>257.73684646499999</v>
      </c>
      <c r="K12" s="8">
        <f t="shared" si="3"/>
        <v>1964.70228109</v>
      </c>
      <c r="L12" s="7">
        <v>1880.3579999999999</v>
      </c>
    </row>
    <row r="13" spans="1:13" ht="14.25" x14ac:dyDescent="0.2">
      <c r="A13" s="24" t="s">
        <v>46</v>
      </c>
      <c r="B13" s="7">
        <f t="shared" si="4"/>
        <v>1880.3579999999999</v>
      </c>
      <c r="C13" s="8">
        <v>2110.9</v>
      </c>
      <c r="D13" s="8">
        <f>(16031.9*2204.622)/1000000</f>
        <v>35.344279441799998</v>
      </c>
      <c r="E13" s="8">
        <f t="shared" si="0"/>
        <v>4026.6022794418</v>
      </c>
      <c r="F13" s="7"/>
      <c r="G13" s="7">
        <f t="shared" si="1"/>
        <v>1707.6782996576001</v>
      </c>
      <c r="H13" s="8">
        <v>607.70000000000005</v>
      </c>
      <c r="I13" s="8">
        <f t="shared" si="2"/>
        <v>1099.9782996576</v>
      </c>
      <c r="J13" s="8">
        <f>(83851.1*2204.622)/1000000</f>
        <v>184.85997978420002</v>
      </c>
      <c r="K13" s="8">
        <f t="shared" si="3"/>
        <v>1892.5382794418001</v>
      </c>
      <c r="L13" s="7">
        <v>2134.0639999999999</v>
      </c>
    </row>
    <row r="14" spans="1:13" ht="14.25" x14ac:dyDescent="0.2">
      <c r="A14" s="24" t="s">
        <v>47</v>
      </c>
      <c r="B14" s="7">
        <f t="shared" si="4"/>
        <v>2134.0639999999999</v>
      </c>
      <c r="C14" s="8">
        <v>2154.4</v>
      </c>
      <c r="D14" s="8">
        <f>(14786.7*2204.622)/1000000</f>
        <v>32.599084127399998</v>
      </c>
      <c r="E14" s="8">
        <f t="shared" si="0"/>
        <v>4321.0630841273996</v>
      </c>
      <c r="F14" s="7"/>
      <c r="G14" s="7">
        <f t="shared" si="1"/>
        <v>1839.8681564549997</v>
      </c>
      <c r="H14" s="8">
        <v>587.70000000000005</v>
      </c>
      <c r="I14" s="8">
        <f t="shared" si="2"/>
        <v>1252.1681564549997</v>
      </c>
      <c r="J14" s="8">
        <f>(56834.2*2204.622)/1000000</f>
        <v>125.29792767239998</v>
      </c>
      <c r="K14" s="8">
        <f t="shared" si="3"/>
        <v>1965.1660841273997</v>
      </c>
      <c r="L14" s="7">
        <v>2355.8969999999999</v>
      </c>
    </row>
    <row r="15" spans="1:13" ht="14.25" x14ac:dyDescent="0.2">
      <c r="A15" s="24" t="s">
        <v>48</v>
      </c>
      <c r="B15" s="7">
        <f t="shared" si="4"/>
        <v>2355.8969999999999</v>
      </c>
      <c r="C15" s="8">
        <v>1999.5</v>
      </c>
      <c r="D15" s="8">
        <f>(12724.7*2204.622)/1000000</f>
        <v>28.053153563399999</v>
      </c>
      <c r="E15" s="8">
        <f t="shared" si="0"/>
        <v>4383.4501535633999</v>
      </c>
      <c r="F15" s="7"/>
      <c r="G15" s="7">
        <f t="shared" si="1"/>
        <v>1610.9762973402003</v>
      </c>
      <c r="H15" s="8">
        <v>641.4</v>
      </c>
      <c r="I15" s="8">
        <f t="shared" si="2"/>
        <v>969.57629734020031</v>
      </c>
      <c r="J15" s="8">
        <f>(179475.6*2204.622)/1000000</f>
        <v>395.67585622319996</v>
      </c>
      <c r="K15" s="8">
        <f t="shared" si="3"/>
        <v>2006.6521535634001</v>
      </c>
      <c r="L15" s="7">
        <v>2376.7979999999998</v>
      </c>
    </row>
    <row r="16" spans="1:13" ht="14.25" x14ac:dyDescent="0.2">
      <c r="A16" s="24" t="s">
        <v>49</v>
      </c>
      <c r="B16" s="7">
        <f t="shared" si="4"/>
        <v>2376.7979999999998</v>
      </c>
      <c r="C16" s="8">
        <v>2201.1</v>
      </c>
      <c r="D16" s="8">
        <f>(10771*2204.622)/1000000</f>
        <v>23.745983561999999</v>
      </c>
      <c r="E16" s="8">
        <f t="shared" si="0"/>
        <v>4601.6439835619994</v>
      </c>
      <c r="F16" s="7"/>
      <c r="G16" s="7">
        <f t="shared" si="1"/>
        <v>1954.1663696131995</v>
      </c>
      <c r="H16" s="8">
        <v>722.7</v>
      </c>
      <c r="I16" s="8">
        <f t="shared" si="2"/>
        <v>1231.4663696131995</v>
      </c>
      <c r="J16" s="8">
        <f>(145550.4*2204.622)/1000000</f>
        <v>320.88361394879996</v>
      </c>
      <c r="K16" s="8">
        <f t="shared" si="3"/>
        <v>2275.0499835619994</v>
      </c>
      <c r="L16" s="7">
        <v>2326.5940000000001</v>
      </c>
    </row>
    <row r="17" spans="1:13" ht="14.25" x14ac:dyDescent="0.2">
      <c r="A17" s="24" t="s">
        <v>50</v>
      </c>
      <c r="B17" s="7">
        <f t="shared" si="4"/>
        <v>2326.5940000000001</v>
      </c>
      <c r="C17" s="8">
        <v>2099.5</v>
      </c>
      <c r="D17" s="8">
        <f>(11098.6*2204.622)/1000000</f>
        <v>24.468217729199999</v>
      </c>
      <c r="E17" s="8">
        <f t="shared" si="0"/>
        <v>4450.5622177291998</v>
      </c>
      <c r="F17" s="7"/>
      <c r="G17" s="7">
        <f t="shared" si="1"/>
        <v>1619.7662729857998</v>
      </c>
      <c r="H17" s="8">
        <v>738.5</v>
      </c>
      <c r="I17" s="8">
        <f t="shared" si="2"/>
        <v>881.26627298579979</v>
      </c>
      <c r="J17" s="8">
        <f>(104414.7*2204.622)/1000000</f>
        <v>230.19494474339999</v>
      </c>
      <c r="K17" s="8">
        <f t="shared" si="3"/>
        <v>1849.9612177291997</v>
      </c>
      <c r="L17" s="7">
        <v>2600.6010000000001</v>
      </c>
    </row>
    <row r="18" spans="1:13" ht="14.25" x14ac:dyDescent="0.2">
      <c r="A18" s="24" t="s">
        <v>51</v>
      </c>
      <c r="B18" s="7">
        <f t="shared" si="4"/>
        <v>2600.6010000000001</v>
      </c>
      <c r="C18" s="8">
        <v>2057.6</v>
      </c>
      <c r="D18" s="8">
        <f>(11013.3*2204.622)/1000000</f>
        <v>24.280163472599998</v>
      </c>
      <c r="E18" s="8">
        <f t="shared" si="0"/>
        <v>4682.4811634726002</v>
      </c>
      <c r="F18" s="7"/>
      <c r="G18" s="7">
        <f t="shared" si="1"/>
        <v>1879.2416828296002</v>
      </c>
      <c r="H18" s="8">
        <v>872</v>
      </c>
      <c r="I18" s="8">
        <f t="shared" si="2"/>
        <v>1007.2416828296002</v>
      </c>
      <c r="J18" s="8">
        <f>(162306.5*2204.622)/1000000</f>
        <v>357.82448064299996</v>
      </c>
      <c r="K18" s="8">
        <f t="shared" si="3"/>
        <v>2237.0661634726002</v>
      </c>
      <c r="L18" s="7">
        <v>2445.415</v>
      </c>
    </row>
    <row r="19" spans="1:13" ht="14.25" x14ac:dyDescent="0.2">
      <c r="A19" s="24" t="s">
        <v>52</v>
      </c>
      <c r="B19" s="7">
        <f t="shared" si="4"/>
        <v>2445.415</v>
      </c>
      <c r="C19" s="8">
        <v>2035.3</v>
      </c>
      <c r="D19" s="8">
        <f>(11446.3*2204.622)/1000000</f>
        <v>25.234764798599997</v>
      </c>
      <c r="E19" s="8">
        <f>SUM(B19:D19)</f>
        <v>4505.9497647986</v>
      </c>
      <c r="F19" s="7"/>
      <c r="G19" s="7">
        <f t="shared" si="1"/>
        <v>2067.4719706057999</v>
      </c>
      <c r="H19" s="8">
        <v>813.7</v>
      </c>
      <c r="I19" s="8">
        <f t="shared" si="2"/>
        <v>1253.7719706057999</v>
      </c>
      <c r="J19" s="8">
        <f>(76052.4*2204.622)/1000000</f>
        <v>167.66679419279998</v>
      </c>
      <c r="K19" s="8">
        <f t="shared" si="3"/>
        <v>2235.1387647985998</v>
      </c>
      <c r="L19" s="7">
        <v>2270.8110000000001</v>
      </c>
    </row>
    <row r="20" spans="1:13" ht="14.25" x14ac:dyDescent="0.2">
      <c r="A20" s="24" t="s">
        <v>54</v>
      </c>
      <c r="B20" s="7">
        <f t="shared" si="4"/>
        <v>2270.8110000000001</v>
      </c>
      <c r="C20" s="8">
        <v>2122.8000000000002</v>
      </c>
      <c r="D20" s="8">
        <f>(12544.2*2204.622)/1000000</f>
        <v>27.655219292399998</v>
      </c>
      <c r="E20" s="8">
        <f>SUM(B20:D20)</f>
        <v>4421.2662192924008</v>
      </c>
      <c r="F20" s="7"/>
      <c r="G20" s="7">
        <f t="shared" si="1"/>
        <v>2133.4107486692005</v>
      </c>
      <c r="H20" s="8">
        <v>841.5</v>
      </c>
      <c r="I20" s="8">
        <f t="shared" si="2"/>
        <v>1291.9107486692005</v>
      </c>
      <c r="J20" s="8">
        <f>(74675.6*2204.622)/1000000</f>
        <v>164.63147062319999</v>
      </c>
      <c r="K20" s="8">
        <f t="shared" si="3"/>
        <v>2298.0422192924007</v>
      </c>
      <c r="L20" s="7">
        <v>2123.2240000000002</v>
      </c>
    </row>
    <row r="21" spans="1:13" ht="14.25" x14ac:dyDescent="0.2">
      <c r="A21" s="24" t="s">
        <v>55</v>
      </c>
      <c r="B21" s="7">
        <f t="shared" si="4"/>
        <v>2123.2240000000002</v>
      </c>
      <c r="C21" s="8">
        <v>2012.8</v>
      </c>
      <c r="D21" s="8">
        <f>(10325.1*2204.622)/1000000</f>
        <v>22.7629426122</v>
      </c>
      <c r="E21" s="8">
        <f>SUM(B21:D21)</f>
        <v>4158.7869426122006</v>
      </c>
      <c r="F21" s="7"/>
      <c r="G21" s="7">
        <f t="shared" si="1"/>
        <v>2013.3036127298008</v>
      </c>
      <c r="H21" s="8">
        <v>812</v>
      </c>
      <c r="I21" s="8">
        <f t="shared" si="2"/>
        <v>1201.3036127298008</v>
      </c>
      <c r="J21" s="8">
        <f>(90889.2*2204.622)/1000000</f>
        <v>200.37632988239997</v>
      </c>
      <c r="K21" s="8">
        <f t="shared" si="3"/>
        <v>2213.6799426122006</v>
      </c>
      <c r="L21" s="7">
        <v>1945.107</v>
      </c>
    </row>
    <row r="22" spans="1:13" ht="14.25" x14ac:dyDescent="0.2">
      <c r="A22" s="24" t="s">
        <v>57</v>
      </c>
      <c r="B22" s="7">
        <f t="shared" si="4"/>
        <v>1945.107</v>
      </c>
      <c r="C22" s="8">
        <v>1967.6210000000001</v>
      </c>
      <c r="D22" s="8">
        <f>(9451*2204.622)/1000000</f>
        <v>20.835882521999999</v>
      </c>
      <c r="E22" s="8">
        <f>SUM(B22:D22)</f>
        <v>3933.5638825219999</v>
      </c>
      <c r="F22" s="7"/>
      <c r="G22" s="7">
        <f t="shared" si="1"/>
        <v>1902.0303247462002</v>
      </c>
      <c r="H22" s="8">
        <v>803.2</v>
      </c>
      <c r="I22" s="8">
        <f t="shared" si="2"/>
        <v>1098.8303247462002</v>
      </c>
      <c r="J22" s="8">
        <f>(81128.9*2204.622)/1000000</f>
        <v>178.85855777579997</v>
      </c>
      <c r="K22" s="8">
        <f t="shared" si="3"/>
        <v>2080.8888825220001</v>
      </c>
      <c r="L22" s="7">
        <v>1852.675</v>
      </c>
      <c r="M22" s="48"/>
    </row>
    <row r="23" spans="1:13" ht="14.25" x14ac:dyDescent="0.2">
      <c r="A23" s="24" t="s">
        <v>3</v>
      </c>
      <c r="B23" s="7"/>
      <c r="C23" s="8">
        <f>SUM(C11:C22)</f>
        <v>24911.120999999996</v>
      </c>
      <c r="D23" s="8">
        <f t="shared" ref="D23:K23" si="5">SUM(D11:D22)</f>
        <v>319.88668388040003</v>
      </c>
      <c r="E23" s="8">
        <f>B11+C23+D23</f>
        <v>27006.323683880393</v>
      </c>
      <c r="F23" s="8"/>
      <c r="G23" s="8">
        <f t="shared" si="5"/>
        <v>22316.958470009602</v>
      </c>
      <c r="H23" s="8">
        <f t="shared" si="5"/>
        <v>8657.8000000000011</v>
      </c>
      <c r="I23" s="8">
        <f t="shared" si="5"/>
        <v>13659.158470009601</v>
      </c>
      <c r="J23" s="8">
        <f t="shared" si="5"/>
        <v>2836.6902138707997</v>
      </c>
      <c r="K23" s="8">
        <f t="shared" si="5"/>
        <v>25153.648683880405</v>
      </c>
      <c r="L23" s="7"/>
    </row>
    <row r="24" spans="1:13" ht="14.25" x14ac:dyDescent="0.2">
      <c r="A24" s="24"/>
      <c r="B24" s="68"/>
      <c r="C24" s="8"/>
      <c r="D24" s="134"/>
      <c r="E24" s="8"/>
      <c r="F24" s="7"/>
      <c r="G24" s="8"/>
      <c r="H24" s="8"/>
      <c r="I24" s="8"/>
      <c r="J24" s="8"/>
      <c r="K24" s="8"/>
      <c r="L24" s="7"/>
    </row>
    <row r="25" spans="1:13" ht="15" x14ac:dyDescent="0.25">
      <c r="A25" s="42" t="s">
        <v>103</v>
      </c>
      <c r="B25" s="68"/>
      <c r="C25" s="8"/>
      <c r="D25" s="8"/>
      <c r="E25" s="8"/>
      <c r="F25" s="7"/>
      <c r="G25" s="8"/>
      <c r="H25" s="8"/>
      <c r="I25" s="8"/>
      <c r="J25" s="8"/>
      <c r="K25" s="8"/>
      <c r="L25" s="7"/>
    </row>
    <row r="26" spans="1:13" ht="14.25" x14ac:dyDescent="0.2">
      <c r="A26" s="24" t="s">
        <v>44</v>
      </c>
      <c r="B26" s="7">
        <f>L22</f>
        <v>1852.675</v>
      </c>
      <c r="C26" s="8">
        <v>2282.471</v>
      </c>
      <c r="D26" s="8">
        <f>(9279.7*2204.622)/1000000</f>
        <v>20.4582307734</v>
      </c>
      <c r="E26" s="8">
        <f t="shared" ref="E26:E32" si="6">SUM(B26:D26)</f>
        <v>4155.6042307733996</v>
      </c>
      <c r="F26" s="7"/>
      <c r="G26" s="7">
        <v>2003.5</v>
      </c>
      <c r="H26" s="8">
        <v>790</v>
      </c>
      <c r="I26" s="8">
        <v>1208.5</v>
      </c>
      <c r="J26" s="8">
        <f>(84043.5*2204.622)/1000000</f>
        <v>185.28414905699998</v>
      </c>
      <c r="K26" s="8">
        <f t="shared" ref="K26:K32" si="7">E26-L26</f>
        <v>2187.5932307733997</v>
      </c>
      <c r="L26" s="7">
        <v>1968.011</v>
      </c>
    </row>
    <row r="27" spans="1:13" ht="14.25" x14ac:dyDescent="0.2">
      <c r="A27" s="24" t="s">
        <v>45</v>
      </c>
      <c r="B27" s="7">
        <f t="shared" ref="B27:B32" si="8">L26</f>
        <v>1968.011</v>
      </c>
      <c r="C27" s="8">
        <v>2206.7919999999999</v>
      </c>
      <c r="D27" s="8">
        <f>(9584.1*2204.622)/1000000</f>
        <v>21.129317710200002</v>
      </c>
      <c r="E27" s="8">
        <f t="shared" si="6"/>
        <v>4195.9323177101996</v>
      </c>
      <c r="F27" s="7"/>
      <c r="G27" s="7">
        <v>1901.6</v>
      </c>
      <c r="H27" s="8">
        <v>750</v>
      </c>
      <c r="I27" s="8">
        <v>1149.5999999999999</v>
      </c>
      <c r="J27" s="8">
        <f>(80375.8*2204.622)/1000000</f>
        <v>177.19825694760002</v>
      </c>
      <c r="K27" s="8">
        <f t="shared" si="7"/>
        <v>2078.8353177101994</v>
      </c>
      <c r="L27" s="7">
        <v>2117.0970000000002</v>
      </c>
    </row>
    <row r="28" spans="1:13" ht="14.25" x14ac:dyDescent="0.2">
      <c r="A28" s="24" t="s">
        <v>46</v>
      </c>
      <c r="B28" s="7">
        <f t="shared" si="8"/>
        <v>2117.0970000000002</v>
      </c>
      <c r="C28" s="8">
        <v>2233.4859999999999</v>
      </c>
      <c r="D28" s="8">
        <f>(11454.4*2204.622)/1000000</f>
        <v>25.252622236799997</v>
      </c>
      <c r="E28" s="8">
        <f t="shared" si="6"/>
        <v>4375.8356222368002</v>
      </c>
      <c r="F28" s="7"/>
      <c r="G28" s="7">
        <v>2030</v>
      </c>
      <c r="H28" s="8">
        <v>811</v>
      </c>
      <c r="I28" s="8">
        <v>1199</v>
      </c>
      <c r="J28" s="8">
        <f>(106506.7*2204.622)/1000000</f>
        <v>234.8070139674</v>
      </c>
      <c r="K28" s="8">
        <f t="shared" si="7"/>
        <v>2265.0496222368001</v>
      </c>
      <c r="L28" s="7">
        <v>2110.7860000000001</v>
      </c>
    </row>
    <row r="29" spans="1:13" ht="14.25" x14ac:dyDescent="0.2">
      <c r="A29" s="24" t="s">
        <v>47</v>
      </c>
      <c r="B29" s="7">
        <f t="shared" si="8"/>
        <v>2110.7860000000001</v>
      </c>
      <c r="C29" s="8">
        <v>2308.752</v>
      </c>
      <c r="D29" s="8">
        <f>(8609.5*2204.622)/1000000</f>
        <v>18.980693108999997</v>
      </c>
      <c r="E29" s="8">
        <f t="shared" si="6"/>
        <v>4438.5186931090002</v>
      </c>
      <c r="F29" s="7"/>
      <c r="G29" s="7">
        <v>1804.7</v>
      </c>
      <c r="H29" s="8">
        <v>682.87599999999998</v>
      </c>
      <c r="I29" s="8">
        <v>1121.7</v>
      </c>
      <c r="J29" s="8">
        <f>(148706.1*2204.622)/1000000</f>
        <v>327.84073959419999</v>
      </c>
      <c r="K29" s="8">
        <f t="shared" si="7"/>
        <v>2132.5276931090002</v>
      </c>
      <c r="L29" s="7">
        <v>2305.991</v>
      </c>
    </row>
    <row r="30" spans="1:13" ht="14.25" x14ac:dyDescent="0.2">
      <c r="A30" s="24" t="s">
        <v>48</v>
      </c>
      <c r="B30" s="7">
        <f t="shared" si="8"/>
        <v>2305.991</v>
      </c>
      <c r="C30" s="8">
        <v>1924.749</v>
      </c>
      <c r="D30" s="8">
        <f>(9711.7*2204.622)/1000000</f>
        <v>21.410627477400002</v>
      </c>
      <c r="E30" s="8">
        <f t="shared" si="6"/>
        <v>4252.1506274774001</v>
      </c>
      <c r="F30" s="7"/>
      <c r="G30" s="7">
        <v>1690.2</v>
      </c>
      <c r="H30" s="8">
        <v>552.22799999999995</v>
      </c>
      <c r="I30" s="8">
        <v>1138.2</v>
      </c>
      <c r="J30" s="8">
        <f>(116113.6*2204.622)/1000000</f>
        <v>255.98659705919999</v>
      </c>
      <c r="K30" s="8">
        <f t="shared" si="7"/>
        <v>1946.1626274774003</v>
      </c>
      <c r="L30" s="7">
        <v>2305.9879999999998</v>
      </c>
    </row>
    <row r="31" spans="1:13" ht="14.25" x14ac:dyDescent="0.2">
      <c r="A31" s="24" t="s">
        <v>49</v>
      </c>
      <c r="B31" s="7">
        <f t="shared" si="8"/>
        <v>2305.9879999999998</v>
      </c>
      <c r="C31" s="8">
        <v>2222.123</v>
      </c>
      <c r="D31" s="8">
        <f>(9636.1*2204.622)/1000000</f>
        <v>21.2439580542</v>
      </c>
      <c r="E31" s="8">
        <f t="shared" si="6"/>
        <v>4549.3549580542003</v>
      </c>
      <c r="F31" s="7"/>
      <c r="G31" s="7">
        <v>2148.1999999999998</v>
      </c>
      <c r="H31" s="8">
        <v>740.35334330000001</v>
      </c>
      <c r="I31" s="8">
        <v>1408.2</v>
      </c>
      <c r="J31" s="8">
        <f>(70685.2*2204.622)/1000000</f>
        <v>155.83414699439999</v>
      </c>
      <c r="K31" s="8">
        <f t="shared" si="7"/>
        <v>2304.0769580542005</v>
      </c>
      <c r="L31" s="7">
        <v>2245.2779999999998</v>
      </c>
    </row>
    <row r="32" spans="1:13" ht="14.25" x14ac:dyDescent="0.2">
      <c r="A32" s="24" t="s">
        <v>50</v>
      </c>
      <c r="B32" s="7">
        <f t="shared" si="8"/>
        <v>2245.2779999999998</v>
      </c>
      <c r="C32" s="8">
        <v>1991.877</v>
      </c>
      <c r="D32" s="8">
        <f>(9275.9*2204.622)/1000000</f>
        <v>20.449853209799997</v>
      </c>
      <c r="E32" s="8">
        <f t="shared" si="6"/>
        <v>4257.6048532097993</v>
      </c>
      <c r="F32" s="7"/>
      <c r="G32" s="7">
        <v>1950.5</v>
      </c>
      <c r="H32" s="8">
        <v>699.93299999999999</v>
      </c>
      <c r="I32" s="8">
        <f>G32-H32</f>
        <v>1250.567</v>
      </c>
      <c r="J32" s="8">
        <f>(58789.4*2204.622)/1000000</f>
        <v>129.60840460679998</v>
      </c>
      <c r="K32" s="8">
        <f t="shared" si="7"/>
        <v>2080.0168532097991</v>
      </c>
      <c r="L32" s="7">
        <v>2177.5880000000002</v>
      </c>
    </row>
    <row r="33" spans="1:14" ht="14.25" x14ac:dyDescent="0.2">
      <c r="A33" s="24" t="s">
        <v>51</v>
      </c>
      <c r="B33" s="7">
        <f t="shared" ref="B33" si="9">L32</f>
        <v>2177.5880000000002</v>
      </c>
      <c r="C33" s="8">
        <v>2043.135</v>
      </c>
      <c r="D33" s="8">
        <f>(7517.3*2204.622)/1000000</f>
        <v>16.572804960599999</v>
      </c>
      <c r="E33" s="8">
        <f t="shared" ref="E33:E37" si="10">SUM(B33:D33)</f>
        <v>4237.2958049605995</v>
      </c>
      <c r="F33" s="7"/>
      <c r="G33" s="7">
        <f>K33-J33</f>
        <v>2019.0822001577997</v>
      </c>
      <c r="H33" s="8">
        <v>787.56200000000001</v>
      </c>
      <c r="I33" s="8">
        <f>G33-H33</f>
        <v>1231.5202001577995</v>
      </c>
      <c r="J33" s="8">
        <f>(32307.4*2204.622)/1000000</f>
        <v>71.225604802800007</v>
      </c>
      <c r="K33" s="8">
        <f>E33-L33</f>
        <v>2090.3078049605997</v>
      </c>
      <c r="L33" s="7">
        <v>2146.9879999999998</v>
      </c>
    </row>
    <row r="34" spans="1:14" ht="14.25" x14ac:dyDescent="0.2">
      <c r="A34" s="24" t="s">
        <v>52</v>
      </c>
      <c r="B34" s="7">
        <f>L33</f>
        <v>2146.9879999999998</v>
      </c>
      <c r="C34" s="8">
        <v>1908.6489999999999</v>
      </c>
      <c r="D34" s="8">
        <f>(11859.1*2204.622)/1000000</f>
        <v>26.144832760199996</v>
      </c>
      <c r="E34" s="8">
        <f t="shared" si="10"/>
        <v>4081.7818327601999</v>
      </c>
      <c r="F34" s="7"/>
      <c r="G34" s="7">
        <f>K34-J34</f>
        <v>1889.5260091224</v>
      </c>
      <c r="H34" s="8">
        <v>663.33</v>
      </c>
      <c r="I34" s="8">
        <f>G34-H34</f>
        <v>1226.1960091224</v>
      </c>
      <c r="J34" s="8">
        <f>(41549.9*2204.622)/1000000</f>
        <v>91.601823637799995</v>
      </c>
      <c r="K34" s="8">
        <f>E34-L34</f>
        <v>1981.1278327601999</v>
      </c>
      <c r="L34" s="7">
        <v>2100.654</v>
      </c>
    </row>
    <row r="35" spans="1:14" ht="14.25" x14ac:dyDescent="0.2">
      <c r="A35" s="24" t="s">
        <v>54</v>
      </c>
      <c r="B35" s="7">
        <f>L34</f>
        <v>2100.654</v>
      </c>
      <c r="C35" s="8">
        <v>1972.6880000000001</v>
      </c>
      <c r="D35" s="8">
        <f>(14714.2*2204.622)/1000000</f>
        <v>32.439249032399999</v>
      </c>
      <c r="E35" s="8">
        <f t="shared" si="10"/>
        <v>4105.7812490324004</v>
      </c>
      <c r="F35" s="7"/>
      <c r="G35" s="7">
        <f>K35-J35</f>
        <v>1999.9908670466004</v>
      </c>
      <c r="H35" s="8">
        <v>791.97900000000004</v>
      </c>
      <c r="I35" s="8">
        <f>G35-H35</f>
        <v>1208.0118670466004</v>
      </c>
      <c r="J35" s="8">
        <f>(16183.9*2204.622)/1000000</f>
        <v>35.679381985799999</v>
      </c>
      <c r="K35" s="8">
        <f>E35-L35</f>
        <v>2035.6702490324005</v>
      </c>
      <c r="L35" s="7">
        <v>2070.1109999999999</v>
      </c>
    </row>
    <row r="36" spans="1:14" ht="14.25" x14ac:dyDescent="0.2">
      <c r="A36" s="24" t="s">
        <v>55</v>
      </c>
      <c r="B36" s="7">
        <f>L35</f>
        <v>2070.1109999999999</v>
      </c>
      <c r="C36" s="8">
        <v>1989.7329999999999</v>
      </c>
      <c r="D36" s="8">
        <f>(19317.4*2204.622)/1000000</f>
        <v>42.5875650228</v>
      </c>
      <c r="E36" s="8">
        <f t="shared" si="10"/>
        <v>4102.4315650228</v>
      </c>
      <c r="F36" s="7"/>
      <c r="G36" s="7">
        <f>K36-J36</f>
        <v>1894.4255643878003</v>
      </c>
      <c r="H36" s="8">
        <v>814.73500000000001</v>
      </c>
      <c r="I36" s="8">
        <f>G36-H36</f>
        <v>1079.6905643878004</v>
      </c>
      <c r="J36" s="8">
        <f>(11142.5*2204.622)/1000000</f>
        <v>24.565000634999997</v>
      </c>
      <c r="K36" s="8">
        <f>E36-L36</f>
        <v>1918.9905650228002</v>
      </c>
      <c r="L36" s="7">
        <v>2183.4409999999998</v>
      </c>
    </row>
    <row r="37" spans="1:14" ht="14.25" x14ac:dyDescent="0.2">
      <c r="A37" s="24" t="s">
        <v>57</v>
      </c>
      <c r="B37" s="7">
        <f>L36</f>
        <v>2183.4409999999998</v>
      </c>
      <c r="C37" s="8">
        <v>1938.212</v>
      </c>
      <c r="D37" s="8">
        <f>(16009.4*2204.622)/1000000</f>
        <v>35.294675446799992</v>
      </c>
      <c r="E37" s="8">
        <f t="shared" si="10"/>
        <v>4156.9476754468005</v>
      </c>
      <c r="F37" s="7"/>
      <c r="G37" s="7">
        <f>K37-J37</f>
        <v>1946.2544927450006</v>
      </c>
      <c r="H37" s="8" t="s">
        <v>10</v>
      </c>
      <c r="I37" s="8" t="s">
        <v>10</v>
      </c>
      <c r="J37" s="8">
        <f>(15361.9*2204.622)/1000000</f>
        <v>33.867182701799997</v>
      </c>
      <c r="K37" s="8">
        <f>E37-L37</f>
        <v>1980.1216754468005</v>
      </c>
      <c r="L37" s="7">
        <v>2176.826</v>
      </c>
      <c r="N37" s="48"/>
    </row>
    <row r="38" spans="1:14" ht="14.25" x14ac:dyDescent="0.2">
      <c r="A38" s="18" t="s">
        <v>104</v>
      </c>
      <c r="B38" s="69"/>
      <c r="C38" s="50">
        <f>SUM(C26:C37)</f>
        <v>25022.667000000001</v>
      </c>
      <c r="D38" s="50">
        <f>SUM(D26:D37)</f>
        <v>301.9644297936</v>
      </c>
      <c r="E38" s="50">
        <f>B26+C38+D38</f>
        <v>27177.3064297936</v>
      </c>
      <c r="F38" s="69"/>
      <c r="G38" s="69">
        <f>SUM(G26:G37)</f>
        <v>23277.979133459598</v>
      </c>
      <c r="H38" s="50">
        <f>SUM(H26:H37)</f>
        <v>8083.9963433000003</v>
      </c>
      <c r="I38" s="50">
        <f>SUM(I26:I37)</f>
        <v>13221.185640714599</v>
      </c>
      <c r="J38" s="50">
        <f>SUM(J26:J37)</f>
        <v>1723.4983019897998</v>
      </c>
      <c r="K38" s="69">
        <f>SUM(K26:K37)</f>
        <v>25000.480429793599</v>
      </c>
      <c r="L38" s="69"/>
    </row>
    <row r="39" spans="1:14" ht="16.5" x14ac:dyDescent="0.2">
      <c r="A39" s="63" t="s">
        <v>196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4" ht="14.25" x14ac:dyDescent="0.2">
      <c r="A40" s="20" t="s">
        <v>81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4" ht="14.25" x14ac:dyDescent="0.2">
      <c r="A41" s="26" t="s">
        <v>18</v>
      </c>
      <c r="B41" s="52">
        <f ca="1">NOW()</f>
        <v>44510.570713194444</v>
      </c>
      <c r="K41" s="48"/>
    </row>
    <row r="42" spans="1:14" x14ac:dyDescent="0.2">
      <c r="E42" s="48"/>
    </row>
  </sheetData>
  <mergeCells count="3">
    <mergeCell ref="B5:L5"/>
    <mergeCell ref="G2:I2"/>
    <mergeCell ref="B2:E2"/>
  </mergeCells>
  <phoneticPr fontId="12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zoomScale="70" zoomScaleNormal="70" workbookViewId="0"/>
  </sheetViews>
  <sheetFormatPr defaultColWidth="9.140625" defaultRowHeight="12.75" x14ac:dyDescent="0.2"/>
  <cols>
    <col min="1" max="1" width="14.7109375" style="19" customWidth="1"/>
    <col min="2" max="2" width="12.7109375" style="19" customWidth="1"/>
    <col min="3" max="3" width="12.140625" style="19" customWidth="1"/>
    <col min="4" max="4" width="13.42578125" style="19" customWidth="1"/>
    <col min="5" max="5" width="15.28515625" style="19" customWidth="1"/>
    <col min="6" max="6" width="10.5703125" style="19" customWidth="1"/>
    <col min="7" max="7" width="11.7109375" style="19" customWidth="1"/>
    <col min="8" max="8" width="8.7109375" style="19" customWidth="1"/>
    <col min="9" max="9" width="9.7109375" style="19" customWidth="1"/>
    <col min="10" max="11" width="7.7109375" style="19" customWidth="1"/>
    <col min="12" max="12" width="8.5703125" style="19" customWidth="1"/>
    <col min="13" max="13" width="9.5703125" style="19" customWidth="1"/>
    <col min="14" max="15" width="7.5703125" style="19" customWidth="1"/>
    <col min="16" max="18" width="9.140625" style="19"/>
    <col min="19" max="19" width="17.42578125" style="19" bestFit="1" customWidth="1"/>
    <col min="20" max="20" width="9.140625" style="19"/>
    <col min="21" max="21" width="28.28515625" style="19" bestFit="1" customWidth="1"/>
    <col min="22" max="16384" width="9.140625" style="19"/>
  </cols>
  <sheetData>
    <row r="1" spans="1:15" ht="14.25" x14ac:dyDescent="0.2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0"/>
      <c r="M1" s="20"/>
      <c r="N1" s="20"/>
      <c r="O1" s="20"/>
    </row>
    <row r="2" spans="1:15" ht="14.25" x14ac:dyDescent="0.2">
      <c r="A2" s="20"/>
      <c r="B2" s="164" t="s">
        <v>0</v>
      </c>
      <c r="C2" s="164"/>
      <c r="D2" s="164"/>
      <c r="E2" s="164"/>
      <c r="F2" s="105"/>
      <c r="G2" s="164" t="s">
        <v>17</v>
      </c>
      <c r="H2" s="164"/>
      <c r="I2" s="164"/>
      <c r="J2" s="164"/>
      <c r="K2" s="105"/>
      <c r="L2" s="20"/>
      <c r="M2" s="20"/>
      <c r="N2" s="20"/>
      <c r="O2" s="20"/>
    </row>
    <row r="3" spans="1:15" ht="14.25" x14ac:dyDescent="0.2">
      <c r="A3" s="20" t="s">
        <v>60</v>
      </c>
      <c r="B3" s="26" t="s">
        <v>28</v>
      </c>
      <c r="C3" s="26"/>
      <c r="D3" s="26"/>
      <c r="E3" s="26"/>
      <c r="F3" s="106"/>
      <c r="G3" s="26"/>
      <c r="H3" s="26"/>
      <c r="I3" s="26"/>
      <c r="J3" s="26"/>
      <c r="K3" s="22" t="s">
        <v>26</v>
      </c>
      <c r="L3" s="20"/>
      <c r="M3" s="20"/>
      <c r="N3" s="20"/>
      <c r="O3" s="20"/>
    </row>
    <row r="4" spans="1:15" ht="14.25" x14ac:dyDescent="0.2">
      <c r="A4" s="27" t="s">
        <v>62</v>
      </c>
      <c r="B4" s="29" t="s">
        <v>42</v>
      </c>
      <c r="C4" s="83" t="s">
        <v>1</v>
      </c>
      <c r="D4" s="31" t="s">
        <v>29</v>
      </c>
      <c r="E4" s="29" t="s">
        <v>69</v>
      </c>
      <c r="F4" s="30"/>
      <c r="G4" s="29" t="s">
        <v>32</v>
      </c>
      <c r="H4" s="29" t="s">
        <v>4</v>
      </c>
      <c r="I4" s="29" t="s">
        <v>33</v>
      </c>
      <c r="J4" s="29" t="s">
        <v>30</v>
      </c>
      <c r="K4" s="29" t="s">
        <v>25</v>
      </c>
      <c r="L4" s="20"/>
      <c r="M4" s="20"/>
      <c r="N4" s="20"/>
      <c r="O4" s="20"/>
    </row>
    <row r="5" spans="1:15" ht="14.25" x14ac:dyDescent="0.2">
      <c r="A5" s="20"/>
      <c r="B5" s="167" t="s">
        <v>14</v>
      </c>
      <c r="C5" s="167"/>
      <c r="D5" s="167"/>
      <c r="E5" s="167"/>
      <c r="F5" s="167"/>
      <c r="G5" s="167"/>
      <c r="H5" s="167"/>
      <c r="I5" s="167"/>
      <c r="J5" s="167"/>
      <c r="K5" s="167"/>
      <c r="L5" s="20"/>
      <c r="M5" s="20"/>
      <c r="N5" s="20"/>
      <c r="O5" s="20"/>
    </row>
    <row r="6" spans="1:15" ht="14.25" x14ac:dyDescent="0.2">
      <c r="A6" s="20" t="s">
        <v>100</v>
      </c>
      <c r="B6" s="107">
        <v>476.97603460691334</v>
      </c>
      <c r="C6" s="107">
        <v>5945</v>
      </c>
      <c r="D6" s="108">
        <v>1.0880000000000001</v>
      </c>
      <c r="E6" s="107">
        <v>6423.0879999999997</v>
      </c>
      <c r="F6" s="109"/>
      <c r="G6" s="107">
        <v>1712.0099999999998</v>
      </c>
      <c r="H6" s="110">
        <v>340.64748459156186</v>
      </c>
      <c r="I6" s="107">
        <v>3914.4029999999993</v>
      </c>
      <c r="J6" s="111">
        <f>E6-K6</f>
        <v>5967.0811380282848</v>
      </c>
      <c r="K6" s="107">
        <v>456.0068619717149</v>
      </c>
      <c r="L6" s="20"/>
      <c r="M6" s="20"/>
      <c r="N6" s="20"/>
      <c r="O6" s="20"/>
    </row>
    <row r="7" spans="1:15" ht="16.5" x14ac:dyDescent="0.2">
      <c r="A7" s="24" t="s">
        <v>101</v>
      </c>
      <c r="B7" s="111">
        <f>K6</f>
        <v>456.0068619717149</v>
      </c>
      <c r="C7" s="111">
        <v>4509</v>
      </c>
      <c r="D7" s="112">
        <v>1</v>
      </c>
      <c r="E7" s="111">
        <f>B7+C7+D7</f>
        <v>4966.0068619717149</v>
      </c>
      <c r="F7" s="113"/>
      <c r="G7" s="111">
        <v>1562.7429999999999</v>
      </c>
      <c r="H7" s="114">
        <v>282.68453874670092</v>
      </c>
      <c r="I7" s="111">
        <f>J7-G7-H7</f>
        <v>2762.0677753251334</v>
      </c>
      <c r="J7" s="111">
        <f>E7-K7</f>
        <v>4607.4953140718344</v>
      </c>
      <c r="K7" s="111">
        <v>358.5115478998805</v>
      </c>
      <c r="L7" s="20"/>
      <c r="M7" s="20"/>
      <c r="N7" s="20"/>
      <c r="O7" s="20"/>
    </row>
    <row r="8" spans="1:15" ht="16.5" x14ac:dyDescent="0.2">
      <c r="A8" s="18" t="s">
        <v>126</v>
      </c>
      <c r="B8" s="115">
        <f>K7</f>
        <v>358.5115478998805</v>
      </c>
      <c r="C8" s="115">
        <v>5549</v>
      </c>
      <c r="D8" s="116">
        <v>50</v>
      </c>
      <c r="E8" s="115">
        <f>B8+C8+D8</f>
        <v>5957.5115478998805</v>
      </c>
      <c r="F8" s="117"/>
      <c r="G8" s="115">
        <v>1775</v>
      </c>
      <c r="H8" s="118">
        <v>300</v>
      </c>
      <c r="I8" s="115">
        <v>3505.4</v>
      </c>
      <c r="J8" s="115">
        <f>E8-K8</f>
        <v>5580.4115478998801</v>
      </c>
      <c r="K8" s="115">
        <v>377.1</v>
      </c>
      <c r="L8" s="20"/>
      <c r="M8" s="20"/>
      <c r="N8" s="20"/>
      <c r="O8" s="20"/>
    </row>
    <row r="9" spans="1:15" ht="16.5" x14ac:dyDescent="0.2">
      <c r="A9" s="63" t="s">
        <v>82</v>
      </c>
      <c r="B9" s="20"/>
      <c r="C9" s="109"/>
      <c r="D9" s="109"/>
      <c r="E9" s="109"/>
      <c r="F9" s="109"/>
      <c r="G9" s="119"/>
      <c r="H9" s="109"/>
      <c r="I9" s="109"/>
      <c r="J9" s="109"/>
      <c r="K9" s="20"/>
      <c r="L9" s="20"/>
      <c r="M9" s="20"/>
      <c r="N9" s="20"/>
      <c r="O9" s="20"/>
    </row>
    <row r="10" spans="1:15" ht="14.25" x14ac:dyDescent="0.2">
      <c r="A10" s="20" t="s">
        <v>124</v>
      </c>
      <c r="B10" s="39"/>
      <c r="C10" s="46"/>
      <c r="D10" s="20"/>
      <c r="E10" s="39"/>
      <c r="F10" s="39"/>
      <c r="G10" s="39"/>
      <c r="H10" s="39"/>
      <c r="I10" s="39"/>
      <c r="J10" s="39"/>
      <c r="K10" s="20"/>
      <c r="L10" s="20"/>
      <c r="M10" s="20"/>
      <c r="N10" s="20"/>
      <c r="O10" s="20"/>
    </row>
    <row r="11" spans="1:15" ht="14.25" x14ac:dyDescent="0.2">
      <c r="A11" s="20" t="s">
        <v>102</v>
      </c>
      <c r="B11" s="39"/>
      <c r="C11" s="46"/>
      <c r="D11" s="20"/>
      <c r="E11" s="39"/>
      <c r="F11" s="39"/>
      <c r="G11" s="39"/>
      <c r="H11" s="39"/>
      <c r="I11" s="39"/>
      <c r="J11" s="39"/>
      <c r="K11" s="20"/>
      <c r="L11" s="20"/>
      <c r="M11" s="20"/>
      <c r="N11" s="20"/>
      <c r="O11" s="20"/>
    </row>
    <row r="12" spans="1:15" ht="14.25" x14ac:dyDescent="0.2">
      <c r="A12" s="20"/>
      <c r="B12" s="39"/>
      <c r="C12" s="46"/>
      <c r="D12" s="20"/>
      <c r="E12" s="39"/>
      <c r="F12" s="39"/>
      <c r="G12" s="39"/>
      <c r="H12" s="39"/>
      <c r="I12" s="39"/>
      <c r="J12" s="39"/>
      <c r="K12" s="20"/>
      <c r="L12" s="20"/>
      <c r="M12" s="20"/>
      <c r="N12" s="20"/>
      <c r="O12" s="20"/>
    </row>
    <row r="13" spans="1:15" ht="14.25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4.25" x14ac:dyDescent="0.2">
      <c r="A14" s="18" t="s">
        <v>116</v>
      </c>
      <c r="B14" s="18"/>
      <c r="C14" s="18"/>
      <c r="D14" s="18"/>
      <c r="E14" s="18"/>
      <c r="F14" s="18"/>
      <c r="G14" s="18"/>
      <c r="H14" s="18"/>
      <c r="I14" s="20"/>
      <c r="J14" s="18"/>
      <c r="K14" s="20"/>
      <c r="L14" s="20"/>
      <c r="M14" s="20"/>
      <c r="N14" s="20"/>
      <c r="O14" s="20"/>
    </row>
    <row r="15" spans="1:15" ht="14.25" x14ac:dyDescent="0.2">
      <c r="A15" s="20"/>
      <c r="B15" s="164" t="s">
        <v>0</v>
      </c>
      <c r="C15" s="164"/>
      <c r="D15" s="164"/>
      <c r="E15" s="164"/>
      <c r="F15" s="20"/>
      <c r="G15" s="164" t="s">
        <v>17</v>
      </c>
      <c r="H15" s="164"/>
      <c r="I15" s="164"/>
      <c r="J15" s="20"/>
      <c r="K15" s="20"/>
      <c r="L15" s="20"/>
      <c r="M15" s="20"/>
      <c r="N15" s="20"/>
      <c r="O15" s="20"/>
    </row>
    <row r="16" spans="1:15" ht="14.25" x14ac:dyDescent="0.2">
      <c r="A16" s="20" t="s">
        <v>60</v>
      </c>
      <c r="B16" s="22" t="s">
        <v>28</v>
      </c>
      <c r="C16" s="26"/>
      <c r="D16" s="26"/>
      <c r="E16" s="26"/>
      <c r="F16" s="26"/>
      <c r="G16" s="26"/>
      <c r="H16" s="26"/>
      <c r="I16" s="26"/>
      <c r="J16" s="22" t="s">
        <v>26</v>
      </c>
      <c r="K16" s="20"/>
      <c r="L16" s="20"/>
      <c r="M16" s="20"/>
      <c r="N16" s="20"/>
      <c r="O16" s="20"/>
    </row>
    <row r="17" spans="1:15" ht="14.25" x14ac:dyDescent="0.2">
      <c r="A17" s="27" t="s">
        <v>61</v>
      </c>
      <c r="B17" s="29" t="s">
        <v>25</v>
      </c>
      <c r="C17" s="83" t="s">
        <v>1</v>
      </c>
      <c r="D17" s="31" t="s">
        <v>29</v>
      </c>
      <c r="E17" s="29" t="s">
        <v>30</v>
      </c>
      <c r="F17" s="30"/>
      <c r="G17" s="111" t="s">
        <v>9</v>
      </c>
      <c r="H17" s="29" t="s">
        <v>4</v>
      </c>
      <c r="I17" s="31" t="s">
        <v>24</v>
      </c>
      <c r="J17" s="29" t="s">
        <v>25</v>
      </c>
      <c r="K17" s="20"/>
      <c r="L17" s="20"/>
      <c r="M17" s="20"/>
      <c r="N17" s="20"/>
      <c r="O17" s="20"/>
    </row>
    <row r="18" spans="1:15" ht="14.25" x14ac:dyDescent="0.2">
      <c r="A18" s="20"/>
      <c r="B18" s="167" t="s">
        <v>15</v>
      </c>
      <c r="C18" s="167"/>
      <c r="D18" s="167"/>
      <c r="E18" s="167"/>
      <c r="F18" s="167"/>
      <c r="G18" s="167"/>
      <c r="H18" s="167"/>
      <c r="I18" s="167"/>
      <c r="J18" s="167"/>
      <c r="K18" s="20"/>
      <c r="L18" s="20"/>
      <c r="M18" s="20"/>
      <c r="N18" s="20"/>
      <c r="O18" s="20"/>
    </row>
    <row r="19" spans="1:15" ht="14.25" x14ac:dyDescent="0.2">
      <c r="A19" s="20" t="s">
        <v>100</v>
      </c>
      <c r="B19" s="107">
        <v>43</v>
      </c>
      <c r="C19" s="110">
        <v>779.976</v>
      </c>
      <c r="D19" s="108">
        <v>0</v>
      </c>
      <c r="E19" s="110">
        <v>822.976</v>
      </c>
      <c r="F19" s="20"/>
      <c r="G19" s="110">
        <v>688.44474810762813</v>
      </c>
      <c r="H19" s="110">
        <v>109.65925189237197</v>
      </c>
      <c r="I19" s="114">
        <f>SUM(G19:H19)</f>
        <v>798.10400000000004</v>
      </c>
      <c r="J19" s="107">
        <v>24.872</v>
      </c>
      <c r="K19" s="20"/>
      <c r="L19" s="20"/>
      <c r="M19" s="20"/>
      <c r="N19" s="20"/>
      <c r="O19" s="20"/>
    </row>
    <row r="20" spans="1:15" ht="16.5" x14ac:dyDescent="0.2">
      <c r="A20" s="24" t="s">
        <v>101</v>
      </c>
      <c r="B20" s="111">
        <f>J19</f>
        <v>24.872</v>
      </c>
      <c r="C20" s="114">
        <v>648.57100000000003</v>
      </c>
      <c r="D20" s="112">
        <v>0</v>
      </c>
      <c r="E20" s="114">
        <f>B20+C20+D20</f>
        <v>673.44299999999998</v>
      </c>
      <c r="F20" s="113"/>
      <c r="G20" s="114">
        <v>573.37749036166895</v>
      </c>
      <c r="H20" s="114">
        <v>60.759509638330982</v>
      </c>
      <c r="I20" s="114">
        <f>SUM(G20:H20)</f>
        <v>634.13699999999994</v>
      </c>
      <c r="J20" s="111">
        <v>39.305999999999997</v>
      </c>
      <c r="K20" s="20"/>
      <c r="L20" s="20"/>
      <c r="M20" s="20"/>
      <c r="N20" s="20"/>
      <c r="O20" s="20"/>
    </row>
    <row r="21" spans="1:15" ht="16.5" x14ac:dyDescent="0.2">
      <c r="A21" s="18" t="s">
        <v>126</v>
      </c>
      <c r="B21" s="115">
        <f>J20</f>
        <v>39.305999999999997</v>
      </c>
      <c r="C21" s="118">
        <v>800</v>
      </c>
      <c r="D21" s="116">
        <v>0</v>
      </c>
      <c r="E21" s="118">
        <f>B21+C21+D21</f>
        <v>839.30600000000004</v>
      </c>
      <c r="F21" s="117"/>
      <c r="G21" s="118">
        <v>739.30600000000004</v>
      </c>
      <c r="H21" s="118">
        <v>75</v>
      </c>
      <c r="I21" s="118">
        <f>SUM(G21:H21)</f>
        <v>814.30600000000004</v>
      </c>
      <c r="J21" s="115">
        <v>25</v>
      </c>
      <c r="K21" s="20"/>
      <c r="L21" s="20"/>
      <c r="M21" s="20"/>
      <c r="N21" s="20"/>
      <c r="O21" s="20"/>
    </row>
    <row r="22" spans="1:15" ht="16.5" x14ac:dyDescent="0.2">
      <c r="A22" s="63" t="s">
        <v>82</v>
      </c>
      <c r="B22" s="20"/>
      <c r="C22" s="109"/>
      <c r="D22" s="109"/>
      <c r="E22" s="109"/>
      <c r="F22" s="109"/>
      <c r="G22" s="109"/>
      <c r="H22" s="109"/>
      <c r="I22" s="20"/>
      <c r="J22" s="20"/>
      <c r="K22" s="20"/>
      <c r="L22" s="20"/>
      <c r="M22" s="20"/>
      <c r="N22" s="20"/>
      <c r="O22" s="20"/>
    </row>
    <row r="23" spans="1:15" ht="14.25" x14ac:dyDescent="0.2">
      <c r="A23" s="20" t="s">
        <v>131</v>
      </c>
      <c r="B23" s="113"/>
      <c r="C23" s="113"/>
      <c r="D23" s="113"/>
      <c r="E23" s="113"/>
      <c r="F23" s="113"/>
      <c r="G23" s="113"/>
      <c r="H23" s="113"/>
      <c r="I23" s="20"/>
      <c r="J23" s="20"/>
      <c r="K23" s="20"/>
      <c r="L23" s="20"/>
      <c r="M23" s="20"/>
      <c r="N23" s="20"/>
      <c r="O23" s="20"/>
    </row>
    <row r="24" spans="1:15" ht="14.25" x14ac:dyDescent="0.2">
      <c r="A24" s="24"/>
      <c r="B24" s="39"/>
      <c r="C24" s="39"/>
      <c r="D24" s="39"/>
      <c r="E24" s="39"/>
      <c r="F24" s="39"/>
      <c r="G24" s="39"/>
      <c r="H24" s="39"/>
      <c r="I24" s="20"/>
      <c r="J24" s="20"/>
      <c r="K24" s="20"/>
      <c r="L24" s="20"/>
      <c r="M24" s="20"/>
      <c r="N24" s="20"/>
      <c r="O24" s="20"/>
    </row>
    <row r="25" spans="1:15" ht="14.25" x14ac:dyDescent="0.2">
      <c r="A25" s="24"/>
      <c r="B25" s="39"/>
      <c r="C25" s="46"/>
      <c r="D25" s="39"/>
      <c r="E25" s="39"/>
      <c r="F25" s="39"/>
      <c r="G25" s="39"/>
      <c r="H25" s="39"/>
      <c r="I25" s="20"/>
      <c r="J25" s="20"/>
      <c r="K25" s="20"/>
      <c r="L25" s="20"/>
      <c r="M25" s="20"/>
      <c r="N25" s="20"/>
      <c r="O25" s="20"/>
    </row>
    <row r="26" spans="1:15" ht="14.25" x14ac:dyDescent="0.2">
      <c r="A26" s="18" t="s">
        <v>117</v>
      </c>
      <c r="B26" s="18"/>
      <c r="C26" s="18"/>
      <c r="D26" s="18"/>
      <c r="E26" s="18"/>
      <c r="F26" s="18"/>
      <c r="G26" s="18"/>
      <c r="H26" s="18"/>
      <c r="I26" s="20"/>
      <c r="J26" s="18"/>
      <c r="K26" s="20"/>
      <c r="L26" s="20"/>
      <c r="M26" s="20"/>
      <c r="N26" s="20"/>
      <c r="O26" s="20"/>
    </row>
    <row r="27" spans="1:15" ht="14.25" x14ac:dyDescent="0.2">
      <c r="A27" s="20"/>
      <c r="B27" s="164" t="s">
        <v>0</v>
      </c>
      <c r="C27" s="164"/>
      <c r="D27" s="164"/>
      <c r="E27" s="164"/>
      <c r="F27" s="20"/>
      <c r="G27" s="164" t="s">
        <v>17</v>
      </c>
      <c r="H27" s="164"/>
      <c r="I27" s="164"/>
      <c r="J27" s="20"/>
      <c r="K27" s="20"/>
      <c r="L27" s="20"/>
      <c r="M27" s="20"/>
      <c r="N27" s="20"/>
      <c r="O27" s="20"/>
    </row>
    <row r="28" spans="1:15" ht="14.25" x14ac:dyDescent="0.2">
      <c r="A28" s="20" t="s">
        <v>60</v>
      </c>
      <c r="B28" s="22" t="s">
        <v>28</v>
      </c>
      <c r="C28" s="26"/>
      <c r="D28" s="26"/>
      <c r="E28" s="26"/>
      <c r="F28" s="26"/>
      <c r="G28" s="26"/>
      <c r="H28" s="26"/>
      <c r="I28" s="26"/>
      <c r="J28" s="22" t="s">
        <v>26</v>
      </c>
      <c r="K28" s="20"/>
      <c r="L28" s="20"/>
      <c r="M28" s="20"/>
      <c r="N28" s="20"/>
      <c r="O28" s="20"/>
    </row>
    <row r="29" spans="1:15" ht="14.25" x14ac:dyDescent="0.2">
      <c r="A29" s="27" t="s">
        <v>61</v>
      </c>
      <c r="B29" s="29" t="s">
        <v>25</v>
      </c>
      <c r="C29" s="29" t="s">
        <v>1</v>
      </c>
      <c r="D29" s="31" t="s">
        <v>29</v>
      </c>
      <c r="E29" s="29" t="s">
        <v>30</v>
      </c>
      <c r="F29" s="30"/>
      <c r="G29" s="29" t="s">
        <v>27</v>
      </c>
      <c r="H29" s="29" t="s">
        <v>4</v>
      </c>
      <c r="I29" s="29" t="s">
        <v>24</v>
      </c>
      <c r="J29" s="29" t="s">
        <v>70</v>
      </c>
      <c r="K29" s="20"/>
      <c r="L29" s="20"/>
      <c r="M29" s="20"/>
      <c r="N29" s="20"/>
      <c r="O29" s="20"/>
    </row>
    <row r="30" spans="1:15" ht="14.25" x14ac:dyDescent="0.2">
      <c r="A30" s="20"/>
      <c r="B30" s="167" t="s">
        <v>127</v>
      </c>
      <c r="C30" s="167"/>
      <c r="D30" s="167"/>
      <c r="E30" s="167"/>
      <c r="F30" s="167"/>
      <c r="G30" s="167"/>
      <c r="H30" s="167"/>
      <c r="I30" s="167"/>
      <c r="J30" s="167"/>
      <c r="K30" s="20"/>
      <c r="L30" s="20"/>
      <c r="M30" s="20"/>
      <c r="N30" s="20"/>
      <c r="O30" s="20"/>
    </row>
    <row r="31" spans="1:15" ht="14.25" x14ac:dyDescent="0.2">
      <c r="A31" s="20" t="s">
        <v>100</v>
      </c>
      <c r="B31" s="108">
        <v>35.040999999999997</v>
      </c>
      <c r="C31" s="110">
        <v>481.34800000000001</v>
      </c>
      <c r="D31" s="108">
        <v>0.26666000000000001</v>
      </c>
      <c r="E31" s="120">
        <f>B31+C31+D31</f>
        <v>516.65566000000001</v>
      </c>
      <c r="F31" s="20"/>
      <c r="G31" s="114">
        <f>I31-H31</f>
        <v>388.20178644136797</v>
      </c>
      <c r="H31" s="110">
        <v>83.915873558632001</v>
      </c>
      <c r="I31" s="114">
        <f>E31-J31</f>
        <v>472.11766</v>
      </c>
      <c r="J31" s="114">
        <v>44.537999999999997</v>
      </c>
      <c r="K31" s="20"/>
      <c r="L31" s="20"/>
      <c r="M31" s="20"/>
      <c r="N31" s="20"/>
      <c r="O31" s="20"/>
    </row>
    <row r="32" spans="1:15" ht="16.5" x14ac:dyDescent="0.2">
      <c r="A32" s="24" t="s">
        <v>101</v>
      </c>
      <c r="B32" s="112">
        <f>J31</f>
        <v>44.537999999999997</v>
      </c>
      <c r="C32" s="114">
        <v>399.91800000000001</v>
      </c>
      <c r="D32" s="112">
        <v>21.365218272682</v>
      </c>
      <c r="E32" s="120">
        <f>B32+C32+D32</f>
        <v>465.82121827268202</v>
      </c>
      <c r="F32" s="113"/>
      <c r="G32" s="114">
        <f>I32-H32</f>
        <v>355.51274692573605</v>
      </c>
      <c r="H32" s="114">
        <v>62.100471346945994</v>
      </c>
      <c r="I32" s="114">
        <f>E32-J32</f>
        <v>417.61321827268205</v>
      </c>
      <c r="J32" s="114">
        <v>48.207999999999998</v>
      </c>
      <c r="K32" s="20"/>
      <c r="L32" s="20"/>
      <c r="M32" s="20"/>
      <c r="N32" s="20"/>
      <c r="O32" s="20"/>
    </row>
    <row r="33" spans="1:15" ht="16.5" x14ac:dyDescent="0.2">
      <c r="A33" s="18" t="s">
        <v>126</v>
      </c>
      <c r="B33" s="116">
        <f>J32</f>
        <v>48.207999999999998</v>
      </c>
      <c r="C33" s="118">
        <v>495</v>
      </c>
      <c r="D33" s="116">
        <v>5</v>
      </c>
      <c r="E33" s="121">
        <f>B33+C33+D33</f>
        <v>548.20799999999997</v>
      </c>
      <c r="F33" s="117"/>
      <c r="G33" s="118">
        <f>I33-H33</f>
        <v>437.20799999999997</v>
      </c>
      <c r="H33" s="118">
        <v>66</v>
      </c>
      <c r="I33" s="118">
        <f>E33-J33</f>
        <v>503.20799999999997</v>
      </c>
      <c r="J33" s="118">
        <v>45</v>
      </c>
      <c r="K33" s="20"/>
      <c r="L33" s="20"/>
      <c r="M33" s="20"/>
      <c r="N33" s="20"/>
      <c r="O33" s="20"/>
    </row>
    <row r="34" spans="1:15" ht="16.5" x14ac:dyDescent="0.2">
      <c r="A34" s="63" t="s">
        <v>82</v>
      </c>
      <c r="B34" s="20"/>
      <c r="C34" s="109"/>
      <c r="D34" s="109"/>
      <c r="E34" s="109"/>
      <c r="F34" s="109"/>
      <c r="G34" s="109"/>
      <c r="H34" s="109"/>
      <c r="I34" s="20"/>
      <c r="J34" s="20"/>
      <c r="K34" s="20"/>
      <c r="L34" s="20"/>
      <c r="M34" s="20"/>
      <c r="N34" s="20"/>
      <c r="O34" s="20"/>
    </row>
    <row r="35" spans="1:15" ht="14.25" x14ac:dyDescent="0.2">
      <c r="A35" s="20" t="s">
        <v>131</v>
      </c>
      <c r="B35" s="39"/>
      <c r="C35" s="46"/>
      <c r="D35" s="39"/>
      <c r="E35" s="39"/>
      <c r="F35" s="39"/>
      <c r="G35" s="39"/>
      <c r="H35" s="39"/>
      <c r="I35" s="20"/>
      <c r="J35" s="20"/>
      <c r="K35" s="20"/>
      <c r="L35" s="20"/>
      <c r="M35" s="20"/>
      <c r="N35" s="20"/>
      <c r="O35" s="20"/>
    </row>
    <row r="36" spans="1:15" ht="14.25" x14ac:dyDescent="0.2">
      <c r="A36" s="24"/>
      <c r="B36" s="24"/>
      <c r="C36" s="24"/>
      <c r="D36" s="24"/>
      <c r="E36" s="24"/>
      <c r="F36" s="24"/>
      <c r="G36" s="24"/>
      <c r="H36" s="24"/>
      <c r="I36" s="20"/>
      <c r="J36" s="20"/>
      <c r="K36" s="20"/>
      <c r="L36" s="20"/>
      <c r="M36" s="20"/>
      <c r="N36" s="20"/>
      <c r="O36" s="20"/>
    </row>
    <row r="37" spans="1:15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4.25" x14ac:dyDescent="0.2">
      <c r="A38" s="18" t="s">
        <v>118</v>
      </c>
      <c r="B38" s="18"/>
      <c r="C38" s="18"/>
      <c r="D38" s="18"/>
      <c r="E38" s="18"/>
      <c r="F38" s="18"/>
      <c r="G38" s="18"/>
      <c r="H38" s="18"/>
      <c r="I38" s="18"/>
      <c r="J38" s="20"/>
      <c r="K38" s="20"/>
      <c r="L38" s="20"/>
      <c r="M38" s="20"/>
      <c r="N38" s="20"/>
      <c r="O38" s="20"/>
    </row>
    <row r="39" spans="1:15" ht="14.25" x14ac:dyDescent="0.2">
      <c r="A39" s="20"/>
      <c r="B39" s="164" t="s">
        <v>19</v>
      </c>
      <c r="C39" s="164"/>
      <c r="D39" s="22" t="s">
        <v>22</v>
      </c>
      <c r="E39" s="164" t="s">
        <v>66</v>
      </c>
      <c r="F39" s="164"/>
      <c r="G39" s="164"/>
      <c r="H39" s="164"/>
      <c r="I39" s="20"/>
      <c r="J39" s="164" t="s">
        <v>17</v>
      </c>
      <c r="K39" s="164"/>
      <c r="L39" s="164"/>
      <c r="M39" s="164"/>
      <c r="N39" s="164"/>
      <c r="O39" s="105"/>
    </row>
    <row r="40" spans="1:15" ht="14.25" x14ac:dyDescent="0.2">
      <c r="A40" s="20" t="s">
        <v>60</v>
      </c>
      <c r="B40" s="22" t="s">
        <v>20</v>
      </c>
      <c r="C40" s="22" t="s">
        <v>21</v>
      </c>
      <c r="D40" s="20"/>
      <c r="E40" s="22" t="s">
        <v>28</v>
      </c>
      <c r="F40" s="22"/>
      <c r="G40" s="22"/>
      <c r="H40" s="22"/>
      <c r="I40" s="20"/>
      <c r="J40" s="122" t="s">
        <v>9</v>
      </c>
      <c r="K40" s="22"/>
      <c r="L40" s="22" t="s">
        <v>72</v>
      </c>
      <c r="M40" s="22"/>
      <c r="N40" s="22"/>
      <c r="O40" s="22" t="s">
        <v>26</v>
      </c>
    </row>
    <row r="41" spans="1:15" ht="14.25" x14ac:dyDescent="0.2">
      <c r="A41" s="27" t="s">
        <v>62</v>
      </c>
      <c r="B41" s="28"/>
      <c r="C41" s="28"/>
      <c r="D41" s="28"/>
      <c r="E41" s="29" t="s">
        <v>25</v>
      </c>
      <c r="F41" s="29" t="s">
        <v>1</v>
      </c>
      <c r="G41" s="29" t="s">
        <v>29</v>
      </c>
      <c r="H41" s="29" t="s">
        <v>30</v>
      </c>
      <c r="I41" s="29"/>
      <c r="J41" s="29" t="s">
        <v>34</v>
      </c>
      <c r="K41" s="29" t="s">
        <v>32</v>
      </c>
      <c r="L41" s="29" t="s">
        <v>5</v>
      </c>
      <c r="M41" s="31" t="s">
        <v>4</v>
      </c>
      <c r="N41" s="29" t="s">
        <v>24</v>
      </c>
      <c r="O41" s="29" t="s">
        <v>70</v>
      </c>
    </row>
    <row r="42" spans="1:15" ht="14.25" x14ac:dyDescent="0.2">
      <c r="A42" s="20"/>
      <c r="B42" s="168" t="s">
        <v>68</v>
      </c>
      <c r="C42" s="169"/>
      <c r="D42" s="123" t="s">
        <v>59</v>
      </c>
      <c r="E42" s="170" t="s">
        <v>16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69"/>
    </row>
    <row r="43" spans="1:15" ht="14.25" x14ac:dyDescent="0.2">
      <c r="A43" s="20"/>
      <c r="B43" s="22"/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4.25" x14ac:dyDescent="0.2">
      <c r="A44" s="20" t="s">
        <v>100</v>
      </c>
      <c r="B44" s="107">
        <v>1432.7</v>
      </c>
      <c r="C44" s="107">
        <v>1389.7</v>
      </c>
      <c r="D44" s="111">
        <f>F44*1000/C44</f>
        <v>3933.5734331150607</v>
      </c>
      <c r="E44" s="107">
        <v>2421.09</v>
      </c>
      <c r="F44" s="107">
        <v>5466.4870000000001</v>
      </c>
      <c r="G44" s="114">
        <v>113.82652333129602</v>
      </c>
      <c r="H44" s="111">
        <f>SUM(E44:G44)</f>
        <v>8001.4035233312961</v>
      </c>
      <c r="I44" s="107"/>
      <c r="J44" s="107">
        <v>3221.4</v>
      </c>
      <c r="K44" s="107">
        <v>774.15131240000005</v>
      </c>
      <c r="L44" s="114">
        <f>N44-J44-K44-M44</f>
        <v>277.31027254689639</v>
      </c>
      <c r="M44" s="110">
        <v>1610.288415053104</v>
      </c>
      <c r="N44" s="107">
        <v>5883.1500000000005</v>
      </c>
      <c r="O44" s="107">
        <v>2118.1880000000001</v>
      </c>
    </row>
    <row r="45" spans="1:15" ht="16.5" x14ac:dyDescent="0.2">
      <c r="A45" s="24" t="s">
        <v>101</v>
      </c>
      <c r="B45" s="111">
        <v>1662.5</v>
      </c>
      <c r="C45" s="111">
        <v>1615.2</v>
      </c>
      <c r="D45" s="111">
        <f>F45*1000/C45</f>
        <v>3812.7476473501733</v>
      </c>
      <c r="E45" s="111">
        <f>O44</f>
        <v>2118.1880000000001</v>
      </c>
      <c r="F45" s="111">
        <v>6158.35</v>
      </c>
      <c r="G45" s="114">
        <v>121.04780464882167</v>
      </c>
      <c r="H45" s="111">
        <f>SUM(E45:G45)</f>
        <v>8397.5858046488229</v>
      </c>
      <c r="I45" s="111"/>
      <c r="J45" s="111">
        <v>3357.2</v>
      </c>
      <c r="K45" s="111">
        <v>872.91017669999985</v>
      </c>
      <c r="L45" s="114">
        <f>N45-J45-K45-M45</f>
        <v>782.56198954251931</v>
      </c>
      <c r="M45" s="114">
        <v>1416.7516384063038</v>
      </c>
      <c r="N45" s="111">
        <f>H45-O45</f>
        <v>6429.4238046488226</v>
      </c>
      <c r="O45" s="111">
        <v>1968.162</v>
      </c>
    </row>
    <row r="46" spans="1:15" ht="16.5" x14ac:dyDescent="0.2">
      <c r="A46" s="18" t="s">
        <v>126</v>
      </c>
      <c r="B46" s="115">
        <v>1580</v>
      </c>
      <c r="C46" s="115">
        <v>1533</v>
      </c>
      <c r="D46" s="115">
        <f>F46*1000/C46</f>
        <v>4072.0808871493805</v>
      </c>
      <c r="E46" s="115">
        <f>O45</f>
        <v>1968.162</v>
      </c>
      <c r="F46" s="115">
        <v>6242.5</v>
      </c>
      <c r="G46" s="118">
        <v>115</v>
      </c>
      <c r="H46" s="115">
        <f>SUM(E46:G46)</f>
        <v>8325.6620000000003</v>
      </c>
      <c r="I46" s="115"/>
      <c r="J46" s="115">
        <v>3459.4934971207999</v>
      </c>
      <c r="K46" s="115">
        <v>875</v>
      </c>
      <c r="L46" s="118">
        <f>N46-J46-K46-M46</f>
        <v>643.00000000000045</v>
      </c>
      <c r="M46" s="118">
        <v>1400</v>
      </c>
      <c r="N46" s="115">
        <f>H46-O46</f>
        <v>6377.4934971208004</v>
      </c>
      <c r="O46" s="115">
        <v>1948.1685028791999</v>
      </c>
    </row>
    <row r="47" spans="1:15" ht="16.5" x14ac:dyDescent="0.2">
      <c r="A47" s="63" t="s">
        <v>82</v>
      </c>
      <c r="B47" s="20"/>
      <c r="C47" s="109"/>
      <c r="D47" s="109"/>
      <c r="E47" s="109"/>
      <c r="F47" s="109"/>
      <c r="G47" s="109"/>
      <c r="H47" s="109"/>
      <c r="I47" s="20"/>
      <c r="J47" s="20"/>
      <c r="K47" s="20"/>
      <c r="L47" s="20"/>
      <c r="M47" s="20"/>
      <c r="N47" s="20"/>
      <c r="O47" s="20"/>
    </row>
    <row r="48" spans="1:15" ht="14.25" x14ac:dyDescent="0.2">
      <c r="A48" s="20" t="s">
        <v>125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4.25" x14ac:dyDescent="0.2">
      <c r="A49" s="20" t="s">
        <v>102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4.25" x14ac:dyDescent="0.2">
      <c r="A50" s="26" t="s">
        <v>18</v>
      </c>
      <c r="B50" s="124">
        <f ca="1">NOW()</f>
        <v>44510.570713194444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44.45" customHeight="1" x14ac:dyDescent="0.2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</row>
    <row r="52" spans="1:15" ht="15.75" x14ac:dyDescent="0.25">
      <c r="G52" s="89"/>
      <c r="H52" s="89"/>
    </row>
    <row r="53" spans="1:15" ht="15.75" x14ac:dyDescent="0.25">
      <c r="G53" s="89"/>
      <c r="H53" s="89"/>
    </row>
    <row r="54" spans="1:15" ht="15.75" x14ac:dyDescent="0.25">
      <c r="G54" s="89"/>
      <c r="H54" s="89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12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37"/>
  <sheetViews>
    <sheetView showGridLines="0" zoomScale="70" zoomScaleNormal="70" workbookViewId="0"/>
  </sheetViews>
  <sheetFormatPr defaultColWidth="9.140625" defaultRowHeight="12.75" x14ac:dyDescent="0.2"/>
  <cols>
    <col min="1" max="1" width="11.7109375" style="19" customWidth="1"/>
    <col min="2" max="2" width="18.85546875" style="19" bestFit="1" customWidth="1"/>
    <col min="3" max="3" width="22.140625" style="19" bestFit="1" customWidth="1"/>
    <col min="4" max="5" width="25.7109375" style="19" bestFit="1" customWidth="1"/>
    <col min="6" max="6" width="16.7109375" style="19" bestFit="1" customWidth="1"/>
    <col min="7" max="7" width="18.85546875" style="19" bestFit="1" customWidth="1"/>
    <col min="8" max="16384" width="9.140625" style="19"/>
  </cols>
  <sheetData>
    <row r="1" spans="1:8" ht="15.6" customHeight="1" x14ac:dyDescent="0.2">
      <c r="A1" s="18" t="s">
        <v>119</v>
      </c>
      <c r="B1" s="18"/>
      <c r="C1" s="18"/>
      <c r="D1" s="18"/>
      <c r="E1" s="18"/>
      <c r="F1" s="18"/>
      <c r="G1" s="18"/>
      <c r="H1" s="64"/>
    </row>
    <row r="2" spans="1:8" ht="15.6" customHeight="1" x14ac:dyDescent="0.2">
      <c r="A2" s="24" t="s">
        <v>11</v>
      </c>
      <c r="B2" s="41" t="s">
        <v>83</v>
      </c>
      <c r="C2" s="41" t="s">
        <v>84</v>
      </c>
      <c r="D2" s="41" t="s">
        <v>85</v>
      </c>
      <c r="E2" s="41" t="s">
        <v>86</v>
      </c>
      <c r="F2" s="41" t="s">
        <v>87</v>
      </c>
      <c r="G2" s="41" t="s">
        <v>88</v>
      </c>
      <c r="H2" s="64"/>
    </row>
    <row r="3" spans="1:8" ht="15.6" customHeight="1" x14ac:dyDescent="0.2">
      <c r="A3" s="18" t="s">
        <v>12</v>
      </c>
      <c r="B3" s="30"/>
      <c r="C3" s="70"/>
      <c r="D3" s="70"/>
      <c r="E3" s="70"/>
      <c r="F3" s="70"/>
      <c r="G3" s="70"/>
      <c r="H3" s="64"/>
    </row>
    <row r="4" spans="1:8" ht="14.25" x14ac:dyDescent="0.2">
      <c r="A4" s="71"/>
      <c r="B4" s="72" t="s">
        <v>107</v>
      </c>
      <c r="C4" s="72" t="s">
        <v>108</v>
      </c>
      <c r="D4" s="72" t="s">
        <v>110</v>
      </c>
      <c r="E4" s="72" t="s">
        <v>110</v>
      </c>
      <c r="F4" s="72" t="s">
        <v>109</v>
      </c>
      <c r="G4" s="72" t="s">
        <v>107</v>
      </c>
      <c r="H4" s="64"/>
    </row>
    <row r="5" spans="1:8" ht="14.25" x14ac:dyDescent="0.2">
      <c r="A5" s="20"/>
      <c r="B5" s="20"/>
      <c r="C5" s="20"/>
      <c r="D5" s="22"/>
      <c r="E5" s="20"/>
      <c r="F5" s="20"/>
      <c r="G5" s="20"/>
      <c r="H5" s="64"/>
    </row>
    <row r="6" spans="1:8" ht="14.25" x14ac:dyDescent="0.2">
      <c r="A6" s="20" t="s">
        <v>43</v>
      </c>
      <c r="B6" s="73">
        <v>11.3</v>
      </c>
      <c r="C6" s="73">
        <v>161</v>
      </c>
      <c r="D6" s="73">
        <v>23.3</v>
      </c>
      <c r="E6" s="73">
        <v>19.3</v>
      </c>
      <c r="F6" s="73">
        <v>22.5</v>
      </c>
      <c r="G6" s="73">
        <v>12.2</v>
      </c>
      <c r="H6" s="64"/>
    </row>
    <row r="7" spans="1:8" ht="14.25" x14ac:dyDescent="0.2">
      <c r="A7" s="20" t="s">
        <v>53</v>
      </c>
      <c r="B7" s="73">
        <v>12.5</v>
      </c>
      <c r="C7" s="73">
        <v>260</v>
      </c>
      <c r="D7" s="73">
        <v>29.1</v>
      </c>
      <c r="E7" s="73">
        <v>24</v>
      </c>
      <c r="F7" s="73">
        <v>31.8</v>
      </c>
      <c r="G7" s="73">
        <v>13.9</v>
      </c>
      <c r="H7" s="64"/>
    </row>
    <row r="8" spans="1:8" ht="14.25" x14ac:dyDescent="0.2">
      <c r="A8" s="20" t="s">
        <v>65</v>
      </c>
      <c r="B8" s="73">
        <v>14.4</v>
      </c>
      <c r="C8" s="73">
        <v>252</v>
      </c>
      <c r="D8" s="73">
        <v>25.4</v>
      </c>
      <c r="E8" s="73">
        <v>26.5</v>
      </c>
      <c r="F8" s="73">
        <v>30.1</v>
      </c>
      <c r="G8" s="73">
        <v>13.8</v>
      </c>
      <c r="H8" s="64"/>
    </row>
    <row r="9" spans="1:8" ht="14.25" x14ac:dyDescent="0.2">
      <c r="A9" s="20" t="s">
        <v>71</v>
      </c>
      <c r="B9" s="73">
        <v>13</v>
      </c>
      <c r="C9" s="73">
        <v>246</v>
      </c>
      <c r="D9" s="73">
        <v>21.4</v>
      </c>
      <c r="E9" s="73">
        <v>20.6</v>
      </c>
      <c r="F9" s="73">
        <v>24.9</v>
      </c>
      <c r="G9" s="73">
        <v>13.8</v>
      </c>
      <c r="H9" s="64"/>
    </row>
    <row r="10" spans="1:8" ht="14.25" x14ac:dyDescent="0.2">
      <c r="A10" s="20" t="s">
        <v>73</v>
      </c>
      <c r="B10" s="73">
        <v>10.1</v>
      </c>
      <c r="C10" s="73">
        <v>194</v>
      </c>
      <c r="D10" s="73">
        <v>21.7</v>
      </c>
      <c r="E10" s="73">
        <v>16.899999999999999</v>
      </c>
      <c r="F10" s="73">
        <v>22</v>
      </c>
      <c r="G10" s="73">
        <v>11.8</v>
      </c>
      <c r="H10" s="64"/>
    </row>
    <row r="11" spans="1:8" ht="14.25" x14ac:dyDescent="0.2">
      <c r="A11" s="20" t="s">
        <v>74</v>
      </c>
      <c r="B11" s="73">
        <v>8.9499999999999993</v>
      </c>
      <c r="C11" s="73">
        <v>227</v>
      </c>
      <c r="D11" s="73">
        <v>19.600000000000001</v>
      </c>
      <c r="E11" s="73">
        <v>15.6</v>
      </c>
      <c r="F11" s="73">
        <v>19.3</v>
      </c>
      <c r="G11" s="73">
        <v>8.9499999999999993</v>
      </c>
      <c r="H11" s="64"/>
    </row>
    <row r="12" spans="1:8" ht="14.25" x14ac:dyDescent="0.2">
      <c r="A12" s="20" t="s">
        <v>77</v>
      </c>
      <c r="B12" s="73">
        <v>9.4700000000000006</v>
      </c>
      <c r="C12" s="73">
        <v>195</v>
      </c>
      <c r="D12" s="73">
        <v>17.399999999999999</v>
      </c>
      <c r="E12" s="73">
        <v>16.600000000000001</v>
      </c>
      <c r="F12" s="73">
        <v>19.7</v>
      </c>
      <c r="G12" s="73">
        <v>8</v>
      </c>
      <c r="H12" s="64"/>
    </row>
    <row r="13" spans="1:8" ht="14.25" x14ac:dyDescent="0.2">
      <c r="A13" s="20" t="s">
        <v>78</v>
      </c>
      <c r="B13" s="73">
        <v>9.33</v>
      </c>
      <c r="C13" s="73">
        <v>142</v>
      </c>
      <c r="D13" s="73">
        <v>17.2</v>
      </c>
      <c r="E13" s="73">
        <v>17.5</v>
      </c>
      <c r="F13" s="73">
        <v>22.9</v>
      </c>
      <c r="G13" s="73">
        <v>9.5299999999999994</v>
      </c>
      <c r="H13" s="64"/>
    </row>
    <row r="14" spans="1:8" ht="14.25" x14ac:dyDescent="0.2">
      <c r="A14" s="20" t="s">
        <v>98</v>
      </c>
      <c r="B14" s="73">
        <v>8.48</v>
      </c>
      <c r="C14" s="73">
        <v>155</v>
      </c>
      <c r="D14" s="73">
        <v>17.399999999999999</v>
      </c>
      <c r="E14" s="73">
        <v>15.8</v>
      </c>
      <c r="F14" s="73">
        <v>21.5</v>
      </c>
      <c r="G14" s="73">
        <v>9.89</v>
      </c>
      <c r="H14" s="64"/>
    </row>
    <row r="15" spans="1:8" ht="14.25" x14ac:dyDescent="0.2">
      <c r="A15" s="20" t="s">
        <v>100</v>
      </c>
      <c r="B15" s="73">
        <v>8.57</v>
      </c>
      <c r="C15" s="73">
        <v>161</v>
      </c>
      <c r="D15" s="73">
        <v>19.5</v>
      </c>
      <c r="E15" s="73">
        <v>14.8</v>
      </c>
      <c r="F15" s="73">
        <v>20.5</v>
      </c>
      <c r="G15" s="73">
        <v>9.15</v>
      </c>
      <c r="H15" s="64"/>
    </row>
    <row r="16" spans="1:8" ht="16.5" x14ac:dyDescent="0.2">
      <c r="A16" s="20" t="s">
        <v>128</v>
      </c>
      <c r="B16" s="73">
        <v>10.8</v>
      </c>
      <c r="C16" s="73">
        <v>194</v>
      </c>
      <c r="D16" s="73">
        <v>21.3</v>
      </c>
      <c r="E16" s="73">
        <v>18.400000000000002</v>
      </c>
      <c r="F16" s="73">
        <v>21</v>
      </c>
      <c r="G16" s="73">
        <v>11.102000000000002</v>
      </c>
      <c r="H16" s="64"/>
    </row>
    <row r="17" spans="1:8" ht="16.5" x14ac:dyDescent="0.2">
      <c r="A17" s="20" t="s">
        <v>129</v>
      </c>
      <c r="B17" s="73">
        <v>12.1</v>
      </c>
      <c r="C17" s="73">
        <v>235</v>
      </c>
      <c r="D17" s="73">
        <v>31</v>
      </c>
      <c r="E17" s="73">
        <v>33</v>
      </c>
      <c r="F17" s="73">
        <v>22</v>
      </c>
      <c r="G17" s="73">
        <v>25</v>
      </c>
      <c r="H17" s="64"/>
    </row>
    <row r="18" spans="1:8" ht="14.25" x14ac:dyDescent="0.2">
      <c r="A18" s="24"/>
      <c r="B18" s="74"/>
      <c r="C18" s="75"/>
      <c r="D18" s="76"/>
      <c r="E18" s="76"/>
      <c r="F18" s="77"/>
      <c r="G18" s="78"/>
      <c r="H18" s="65"/>
    </row>
    <row r="19" spans="1:8" ht="15" x14ac:dyDescent="0.25">
      <c r="A19" s="79" t="s">
        <v>103</v>
      </c>
      <c r="B19" s="73"/>
      <c r="C19" s="73"/>
      <c r="D19" s="73"/>
      <c r="E19" s="73"/>
      <c r="F19" s="73"/>
      <c r="G19" s="73"/>
    </row>
    <row r="20" spans="1:8" ht="14.25" x14ac:dyDescent="0.2">
      <c r="A20" s="24" t="s">
        <v>57</v>
      </c>
      <c r="B20" s="73">
        <v>9.24</v>
      </c>
      <c r="C20" s="73">
        <v>164</v>
      </c>
      <c r="D20" s="73">
        <v>23.7</v>
      </c>
      <c r="E20" s="73">
        <v>16.399999999999999</v>
      </c>
      <c r="F20" s="73">
        <v>20.5</v>
      </c>
      <c r="G20" s="73">
        <v>9.64</v>
      </c>
    </row>
    <row r="21" spans="1:8" ht="14.25" x14ac:dyDescent="0.2">
      <c r="A21" s="24" t="s">
        <v>44</v>
      </c>
      <c r="B21" s="73">
        <v>9.6300000000000008</v>
      </c>
      <c r="C21" s="73">
        <v>189</v>
      </c>
      <c r="D21" s="73">
        <v>19.100000000000001</v>
      </c>
      <c r="E21" s="73">
        <v>16.2</v>
      </c>
      <c r="F21" s="73">
        <v>20.9</v>
      </c>
      <c r="G21" s="73">
        <v>9.76</v>
      </c>
    </row>
    <row r="22" spans="1:8" ht="14.25" x14ac:dyDescent="0.2">
      <c r="A22" s="24" t="s">
        <v>45</v>
      </c>
      <c r="B22" s="73">
        <v>10.3</v>
      </c>
      <c r="C22" s="73">
        <v>199</v>
      </c>
      <c r="D22" s="73">
        <v>18.899999999999999</v>
      </c>
      <c r="E22" s="73">
        <v>18.100000000000001</v>
      </c>
      <c r="F22" s="73">
        <v>21.2</v>
      </c>
      <c r="G22" s="73">
        <v>10.7</v>
      </c>
    </row>
    <row r="23" spans="1:8" ht="14.25" x14ac:dyDescent="0.2">
      <c r="A23" s="24" t="s">
        <v>46</v>
      </c>
      <c r="B23" s="73">
        <v>10.6</v>
      </c>
      <c r="C23" s="73">
        <v>195</v>
      </c>
      <c r="D23" s="73">
        <v>19.2</v>
      </c>
      <c r="E23" s="73">
        <v>17.2</v>
      </c>
      <c r="F23" s="73">
        <v>20.399999999999999</v>
      </c>
      <c r="G23" s="73">
        <v>10.9</v>
      </c>
    </row>
    <row r="24" spans="1:8" ht="14.25" x14ac:dyDescent="0.2">
      <c r="A24" s="24" t="s">
        <v>47</v>
      </c>
      <c r="B24" s="73">
        <v>10.9</v>
      </c>
      <c r="C24" s="73">
        <v>209</v>
      </c>
      <c r="D24" s="73">
        <v>19.5</v>
      </c>
      <c r="E24" s="73">
        <v>18.8</v>
      </c>
      <c r="F24" s="73">
        <v>20.5</v>
      </c>
      <c r="G24" s="73">
        <v>12</v>
      </c>
    </row>
    <row r="25" spans="1:8" ht="14.25" x14ac:dyDescent="0.2">
      <c r="A25" s="24" t="s">
        <v>48</v>
      </c>
      <c r="B25" s="73">
        <v>12.7</v>
      </c>
      <c r="C25" s="73">
        <v>185</v>
      </c>
      <c r="D25" s="73">
        <v>21.4</v>
      </c>
      <c r="E25" s="73">
        <v>20.399999999999999</v>
      </c>
      <c r="F25" s="73">
        <v>20.5</v>
      </c>
      <c r="G25" s="73">
        <v>13.2</v>
      </c>
    </row>
    <row r="26" spans="1:8" ht="14.25" x14ac:dyDescent="0.2">
      <c r="A26" s="24" t="s">
        <v>49</v>
      </c>
      <c r="B26" s="73">
        <v>13.2</v>
      </c>
      <c r="C26" s="73" t="s">
        <v>10</v>
      </c>
      <c r="D26" s="73">
        <v>21.5</v>
      </c>
      <c r="E26" s="73">
        <v>22</v>
      </c>
      <c r="F26" s="73">
        <v>21.2</v>
      </c>
      <c r="G26" s="73">
        <v>15.7</v>
      </c>
    </row>
    <row r="27" spans="1:8" ht="14.25" x14ac:dyDescent="0.2">
      <c r="A27" s="24" t="s">
        <v>50</v>
      </c>
      <c r="B27" s="73">
        <v>13.9</v>
      </c>
      <c r="C27" s="73" t="s">
        <v>10</v>
      </c>
      <c r="D27" s="73">
        <v>23.7</v>
      </c>
      <c r="E27" s="73">
        <v>23.8</v>
      </c>
      <c r="F27" s="73">
        <v>21.4</v>
      </c>
      <c r="G27" s="73">
        <v>18.100000000000001</v>
      </c>
    </row>
    <row r="28" spans="1:8" ht="14.25" x14ac:dyDescent="0.2">
      <c r="A28" s="24" t="s">
        <v>51</v>
      </c>
      <c r="B28" s="73">
        <v>14.8</v>
      </c>
      <c r="C28" s="73" t="s">
        <v>10</v>
      </c>
      <c r="D28" s="73">
        <v>26.4</v>
      </c>
      <c r="E28" s="73">
        <v>26.1</v>
      </c>
      <c r="F28" s="73">
        <v>21.3</v>
      </c>
      <c r="G28" s="73">
        <v>18.3</v>
      </c>
    </row>
    <row r="29" spans="1:8" ht="14.25" x14ac:dyDescent="0.2">
      <c r="A29" s="24" t="s">
        <v>52</v>
      </c>
      <c r="B29" s="73">
        <v>14.5</v>
      </c>
      <c r="C29" s="73" t="s">
        <v>10</v>
      </c>
      <c r="D29" s="73">
        <v>28.4</v>
      </c>
      <c r="E29" s="73">
        <v>26</v>
      </c>
      <c r="F29" s="73">
        <v>21.3</v>
      </c>
      <c r="G29" s="73">
        <v>19.899999999999999</v>
      </c>
    </row>
    <row r="30" spans="1:8" ht="14.25" x14ac:dyDescent="0.2">
      <c r="A30" s="24" t="s">
        <v>54</v>
      </c>
      <c r="B30" s="73">
        <v>14.1</v>
      </c>
      <c r="C30" s="73" t="s">
        <v>10</v>
      </c>
      <c r="D30" s="73">
        <v>28</v>
      </c>
      <c r="E30" s="73">
        <v>27.7</v>
      </c>
      <c r="F30" s="73">
        <v>21.6</v>
      </c>
      <c r="G30" s="73">
        <v>20.100000000000001</v>
      </c>
    </row>
    <row r="31" spans="1:8" ht="14.25" x14ac:dyDescent="0.2">
      <c r="A31" s="24" t="s">
        <v>55</v>
      </c>
      <c r="B31" s="73">
        <v>13.7</v>
      </c>
      <c r="C31" s="73">
        <v>255</v>
      </c>
      <c r="D31" s="73">
        <v>29.4</v>
      </c>
      <c r="E31" s="73">
        <v>30.9</v>
      </c>
      <c r="F31" s="73">
        <v>21.3</v>
      </c>
      <c r="G31" s="73">
        <v>20.2</v>
      </c>
    </row>
    <row r="32" spans="1:8" ht="14.25" x14ac:dyDescent="0.2">
      <c r="A32" s="24"/>
      <c r="B32" s="73"/>
      <c r="C32" s="73"/>
      <c r="D32" s="73"/>
      <c r="E32" s="73"/>
      <c r="F32" s="73"/>
      <c r="G32" s="73"/>
    </row>
    <row r="33" spans="1:7" ht="15" x14ac:dyDescent="0.25">
      <c r="A33" s="79" t="s">
        <v>135</v>
      </c>
      <c r="B33" s="73"/>
      <c r="C33" s="73"/>
      <c r="D33" s="73"/>
      <c r="E33" s="73"/>
      <c r="F33" s="73"/>
      <c r="G33" s="73"/>
    </row>
    <row r="34" spans="1:7" ht="14.25" x14ac:dyDescent="0.2">
      <c r="A34" s="18" t="s">
        <v>57</v>
      </c>
      <c r="B34" s="17">
        <v>12.2</v>
      </c>
      <c r="C34" s="17">
        <v>235</v>
      </c>
      <c r="D34" s="17">
        <v>30.7</v>
      </c>
      <c r="E34" s="17">
        <v>28.7</v>
      </c>
      <c r="F34" s="17">
        <v>22.3</v>
      </c>
      <c r="G34" s="17">
        <v>19.8</v>
      </c>
    </row>
    <row r="35" spans="1:7" ht="16.5" x14ac:dyDescent="0.2">
      <c r="A35" s="20" t="s">
        <v>180</v>
      </c>
      <c r="B35" s="20"/>
      <c r="C35" s="20"/>
      <c r="D35" s="20"/>
      <c r="E35" s="20"/>
      <c r="F35" s="20"/>
      <c r="G35" s="20"/>
    </row>
    <row r="36" spans="1:7" ht="14.25" x14ac:dyDescent="0.2">
      <c r="A36" s="20" t="s">
        <v>89</v>
      </c>
      <c r="B36" s="20"/>
      <c r="C36" s="20"/>
      <c r="D36" s="20"/>
      <c r="E36" s="20"/>
      <c r="F36" s="20"/>
      <c r="G36" s="20"/>
    </row>
    <row r="37" spans="1:7" ht="14.25" x14ac:dyDescent="0.2">
      <c r="A37" s="26" t="s">
        <v>18</v>
      </c>
      <c r="B37" s="52">
        <f ca="1">NOW()</f>
        <v>44510.570713194444</v>
      </c>
      <c r="C37" s="20"/>
      <c r="D37" s="20"/>
      <c r="E37" s="20"/>
      <c r="F37" s="20"/>
      <c r="G37" s="20"/>
    </row>
  </sheetData>
  <phoneticPr fontId="12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J58"/>
  <sheetViews>
    <sheetView showGridLines="0" zoomScale="70" zoomScaleNormal="70" workbookViewId="0"/>
  </sheetViews>
  <sheetFormatPr defaultColWidth="9.140625" defaultRowHeight="12.75" x14ac:dyDescent="0.2"/>
  <cols>
    <col min="1" max="2" width="11.7109375" style="19" customWidth="1"/>
    <col min="3" max="3" width="11.5703125" style="19" customWidth="1"/>
    <col min="4" max="4" width="13.7109375" style="19" customWidth="1"/>
    <col min="5" max="5" width="10.5703125" style="19" customWidth="1"/>
    <col min="6" max="6" width="11.5703125" style="19" bestFit="1" customWidth="1"/>
    <col min="7" max="7" width="10.7109375" style="19" customWidth="1"/>
    <col min="8" max="9" width="10.5703125" style="19" customWidth="1"/>
    <col min="10" max="11" width="9.140625" style="19"/>
    <col min="12" max="12" width="22.28515625" style="19" bestFit="1" customWidth="1"/>
    <col min="13" max="13" width="20.28515625" style="19" bestFit="1" customWidth="1"/>
    <col min="14" max="16384" width="9.140625" style="19"/>
  </cols>
  <sheetData>
    <row r="1" spans="1:9" ht="14.25" x14ac:dyDescent="0.2">
      <c r="A1" s="18" t="s">
        <v>120</v>
      </c>
      <c r="B1" s="18"/>
      <c r="C1" s="18"/>
      <c r="D1" s="18"/>
      <c r="E1" s="18"/>
      <c r="F1" s="18"/>
      <c r="G1" s="18"/>
      <c r="H1" s="18"/>
      <c r="I1" s="20"/>
    </row>
    <row r="2" spans="1:9" ht="15.6" customHeight="1" x14ac:dyDescent="0.2">
      <c r="A2" s="80" t="s">
        <v>11</v>
      </c>
      <c r="B2" s="41" t="s">
        <v>35</v>
      </c>
      <c r="C2" s="41" t="s">
        <v>13</v>
      </c>
      <c r="D2" s="41" t="s">
        <v>64</v>
      </c>
      <c r="E2" s="81" t="s">
        <v>41</v>
      </c>
      <c r="F2" s="81" t="s">
        <v>36</v>
      </c>
      <c r="G2" s="41" t="s">
        <v>40</v>
      </c>
      <c r="H2" s="41" t="s">
        <v>184</v>
      </c>
      <c r="I2" s="82" t="s">
        <v>39</v>
      </c>
    </row>
    <row r="3" spans="1:9" ht="15.6" customHeight="1" x14ac:dyDescent="0.2">
      <c r="A3" s="83" t="s">
        <v>12</v>
      </c>
      <c r="B3" s="29" t="s">
        <v>183</v>
      </c>
      <c r="C3" s="29" t="s">
        <v>90</v>
      </c>
      <c r="D3" s="29" t="s">
        <v>91</v>
      </c>
      <c r="E3" s="29" t="s">
        <v>91</v>
      </c>
      <c r="F3" s="29" t="s">
        <v>92</v>
      </c>
      <c r="G3" s="29" t="s">
        <v>92</v>
      </c>
      <c r="H3" s="29"/>
      <c r="I3" s="29" t="s">
        <v>185</v>
      </c>
    </row>
    <row r="4" spans="1:9" ht="14.25" x14ac:dyDescent="0.2">
      <c r="A4" s="20"/>
      <c r="B4" s="84" t="s">
        <v>111</v>
      </c>
      <c r="C4" s="85"/>
      <c r="D4" s="85"/>
      <c r="E4" s="85"/>
      <c r="F4" s="85"/>
      <c r="G4" s="85"/>
      <c r="H4" s="85"/>
      <c r="I4" s="85"/>
    </row>
    <row r="5" spans="1:9" ht="14.25" x14ac:dyDescent="0.2">
      <c r="A5" s="20"/>
      <c r="B5" s="20"/>
      <c r="C5" s="20"/>
      <c r="D5" s="20"/>
      <c r="E5" s="20"/>
      <c r="F5" s="20"/>
      <c r="G5" s="20"/>
      <c r="H5" s="20"/>
      <c r="I5" s="20"/>
    </row>
    <row r="6" spans="1:9" ht="14.25" x14ac:dyDescent="0.2">
      <c r="A6" s="20" t="s">
        <v>43</v>
      </c>
      <c r="B6" s="73">
        <v>53.2</v>
      </c>
      <c r="C6" s="73">
        <v>54.5</v>
      </c>
      <c r="D6" s="73">
        <v>86.12</v>
      </c>
      <c r="E6" s="73">
        <v>58.68</v>
      </c>
      <c r="F6" s="73">
        <v>77.239999999999995</v>
      </c>
      <c r="G6" s="73">
        <v>60.76</v>
      </c>
      <c r="H6" s="73">
        <v>51.52</v>
      </c>
      <c r="I6" s="73">
        <v>51.34</v>
      </c>
    </row>
    <row r="7" spans="1:9" ht="14.25" x14ac:dyDescent="0.2">
      <c r="A7" s="20" t="s">
        <v>53</v>
      </c>
      <c r="B7" s="73">
        <v>51.9</v>
      </c>
      <c r="C7" s="73">
        <v>53.22</v>
      </c>
      <c r="D7" s="73">
        <v>83.2</v>
      </c>
      <c r="E7" s="73">
        <v>57.19</v>
      </c>
      <c r="F7" s="73">
        <v>100.15</v>
      </c>
      <c r="G7" s="73">
        <v>56.09</v>
      </c>
      <c r="H7" s="73">
        <v>48.11</v>
      </c>
      <c r="I7" s="73">
        <v>50.33</v>
      </c>
    </row>
    <row r="8" spans="1:9" ht="14.25" x14ac:dyDescent="0.2">
      <c r="A8" s="20" t="s">
        <v>65</v>
      </c>
      <c r="B8" s="73">
        <v>47.13</v>
      </c>
      <c r="C8" s="73">
        <v>48.6</v>
      </c>
      <c r="D8" s="73">
        <v>65.87</v>
      </c>
      <c r="E8" s="73">
        <v>56.17</v>
      </c>
      <c r="F8" s="73">
        <v>91.83</v>
      </c>
      <c r="G8" s="73">
        <v>46.66</v>
      </c>
      <c r="H8" s="73">
        <v>51.8</v>
      </c>
      <c r="I8" s="73">
        <v>43.24</v>
      </c>
    </row>
    <row r="9" spans="1:9" ht="14.25" x14ac:dyDescent="0.2">
      <c r="A9" s="20" t="s">
        <v>71</v>
      </c>
      <c r="B9" s="73">
        <v>38.229999999999997</v>
      </c>
      <c r="C9" s="73">
        <v>60.66</v>
      </c>
      <c r="D9" s="73">
        <v>59.12</v>
      </c>
      <c r="E9" s="73">
        <v>43.7</v>
      </c>
      <c r="F9" s="73">
        <v>68.23</v>
      </c>
      <c r="G9" s="73">
        <v>39.43</v>
      </c>
      <c r="H9" s="73">
        <v>43.93</v>
      </c>
      <c r="I9" s="73">
        <v>39.76</v>
      </c>
    </row>
    <row r="10" spans="1:9" ht="14.25" x14ac:dyDescent="0.2">
      <c r="A10" s="20" t="s">
        <v>73</v>
      </c>
      <c r="B10" s="73">
        <v>31.6</v>
      </c>
      <c r="C10" s="73">
        <v>45.74</v>
      </c>
      <c r="D10" s="73">
        <v>66.72</v>
      </c>
      <c r="E10" s="73">
        <v>37.81</v>
      </c>
      <c r="F10" s="73">
        <v>57.96</v>
      </c>
      <c r="G10" s="73">
        <v>37.479999999999997</v>
      </c>
      <c r="H10" s="73">
        <v>33.43</v>
      </c>
      <c r="I10" s="73">
        <v>31.36</v>
      </c>
    </row>
    <row r="11" spans="1:9" ht="14.25" x14ac:dyDescent="0.2">
      <c r="A11" s="20" t="s">
        <v>74</v>
      </c>
      <c r="B11" s="73">
        <v>29.86</v>
      </c>
      <c r="C11" s="73">
        <v>45.87</v>
      </c>
      <c r="D11" s="73">
        <v>57.81</v>
      </c>
      <c r="E11" s="73">
        <v>35.270000000000003</v>
      </c>
      <c r="F11" s="73">
        <v>58.26</v>
      </c>
      <c r="G11" s="73">
        <v>39.25</v>
      </c>
      <c r="H11" s="73">
        <v>32.229999999999997</v>
      </c>
      <c r="I11" s="73">
        <v>30.07</v>
      </c>
    </row>
    <row r="12" spans="1:9" ht="14.25" x14ac:dyDescent="0.2">
      <c r="A12" s="20" t="s">
        <v>77</v>
      </c>
      <c r="B12" s="73">
        <v>32.549999999999997</v>
      </c>
      <c r="C12" s="73">
        <v>40.92</v>
      </c>
      <c r="D12" s="73">
        <v>53.54</v>
      </c>
      <c r="E12" s="73">
        <v>38.729999999999997</v>
      </c>
      <c r="F12" s="73">
        <v>66.73</v>
      </c>
      <c r="G12" s="73">
        <v>37.43</v>
      </c>
      <c r="H12" s="73">
        <v>33.07</v>
      </c>
      <c r="I12" s="73">
        <v>34.75</v>
      </c>
    </row>
    <row r="13" spans="1:9" ht="14.25" x14ac:dyDescent="0.2">
      <c r="A13" s="20" t="s">
        <v>78</v>
      </c>
      <c r="B13" s="73">
        <v>30.04</v>
      </c>
      <c r="C13" s="73">
        <v>31.87</v>
      </c>
      <c r="D13" s="73">
        <v>54.57</v>
      </c>
      <c r="E13" s="73">
        <v>38.270000000000003</v>
      </c>
      <c r="F13" s="73">
        <v>66.72</v>
      </c>
      <c r="G13" s="73">
        <v>30.35</v>
      </c>
      <c r="H13" s="73">
        <v>34.159999999999997</v>
      </c>
      <c r="I13" s="73">
        <v>31.21</v>
      </c>
    </row>
    <row r="14" spans="1:9" ht="14.25" x14ac:dyDescent="0.2">
      <c r="A14" s="20" t="s">
        <v>98</v>
      </c>
      <c r="B14" s="73">
        <v>28.26</v>
      </c>
      <c r="C14" s="73">
        <v>35.14</v>
      </c>
      <c r="D14" s="73">
        <v>53.28</v>
      </c>
      <c r="E14" s="73">
        <v>36.090000000000003</v>
      </c>
      <c r="F14" s="73">
        <v>64.72</v>
      </c>
      <c r="G14" s="73">
        <v>26.93</v>
      </c>
      <c r="H14" s="73">
        <v>31.65</v>
      </c>
      <c r="I14" s="73">
        <v>33.11</v>
      </c>
    </row>
    <row r="15" spans="1:9" ht="14.25" x14ac:dyDescent="0.2">
      <c r="A15" s="20" t="s">
        <v>100</v>
      </c>
      <c r="B15" s="73">
        <v>29.65</v>
      </c>
      <c r="C15" s="73">
        <v>40.18</v>
      </c>
      <c r="D15" s="73">
        <v>65.03</v>
      </c>
      <c r="E15" s="73">
        <v>37.869999999999997</v>
      </c>
      <c r="F15" s="73">
        <v>62</v>
      </c>
      <c r="G15" s="73">
        <v>39.47</v>
      </c>
      <c r="H15" s="73">
        <v>35.75</v>
      </c>
      <c r="I15" s="73">
        <v>38.369999999999997</v>
      </c>
    </row>
    <row r="16" spans="1:9" ht="16.5" x14ac:dyDescent="0.2">
      <c r="A16" s="20" t="s">
        <v>181</v>
      </c>
      <c r="B16" s="73">
        <v>56.87</v>
      </c>
      <c r="C16" s="73">
        <v>80.94</v>
      </c>
      <c r="D16" s="73">
        <v>79.000000000000014</v>
      </c>
      <c r="E16" s="73">
        <v>70.459999999999994</v>
      </c>
      <c r="F16" s="73">
        <v>101.4</v>
      </c>
      <c r="G16" s="73">
        <v>44</v>
      </c>
      <c r="H16" s="73">
        <v>43.5</v>
      </c>
      <c r="I16" s="73">
        <v>39</v>
      </c>
    </row>
    <row r="17" spans="1:10" ht="16.5" x14ac:dyDescent="0.2">
      <c r="A17" s="20" t="s">
        <v>182</v>
      </c>
      <c r="B17" s="73">
        <v>65</v>
      </c>
      <c r="C17" s="73">
        <v>90</v>
      </c>
      <c r="D17" s="73">
        <v>90</v>
      </c>
      <c r="E17" s="73">
        <v>75</v>
      </c>
      <c r="F17" s="73">
        <v>105</v>
      </c>
      <c r="G17" s="73">
        <v>78</v>
      </c>
      <c r="H17" s="73">
        <v>56</v>
      </c>
      <c r="I17" s="73">
        <v>58</v>
      </c>
    </row>
    <row r="18" spans="1:10" ht="14.25" x14ac:dyDescent="0.2">
      <c r="A18" s="20"/>
      <c r="B18" s="39"/>
      <c r="C18" s="75"/>
      <c r="D18" s="86"/>
      <c r="E18" s="86"/>
      <c r="F18" s="86"/>
      <c r="G18" s="86"/>
      <c r="H18" s="20"/>
      <c r="I18" s="20"/>
    </row>
    <row r="19" spans="1:10" ht="15" x14ac:dyDescent="0.25">
      <c r="A19" s="42" t="s">
        <v>103</v>
      </c>
      <c r="B19" s="73"/>
      <c r="C19" s="73"/>
      <c r="D19" s="73"/>
      <c r="E19" s="73"/>
      <c r="F19" s="73"/>
      <c r="G19" s="73"/>
      <c r="H19" s="73"/>
      <c r="I19" s="73"/>
    </row>
    <row r="20" spans="1:10" ht="14.25" x14ac:dyDescent="0.2">
      <c r="A20" s="24" t="s">
        <v>44</v>
      </c>
      <c r="B20" s="73">
        <v>33.909999999999997</v>
      </c>
      <c r="C20" s="73">
        <v>48.35</v>
      </c>
      <c r="D20" s="73">
        <v>57</v>
      </c>
      <c r="E20" s="73">
        <v>44.35</v>
      </c>
      <c r="F20" s="73">
        <v>93</v>
      </c>
      <c r="G20" s="73">
        <v>42.4375</v>
      </c>
      <c r="H20" s="73" t="s">
        <v>10</v>
      </c>
      <c r="I20" s="73">
        <v>34.5</v>
      </c>
    </row>
    <row r="21" spans="1:10" ht="14.25" x14ac:dyDescent="0.2">
      <c r="A21" s="24" t="s">
        <v>45</v>
      </c>
      <c r="B21" s="73">
        <v>37.79</v>
      </c>
      <c r="C21" s="73">
        <v>54.4375</v>
      </c>
      <c r="D21" s="73" t="s">
        <v>10</v>
      </c>
      <c r="E21" s="73">
        <v>49.5</v>
      </c>
      <c r="F21" s="73">
        <v>98.75</v>
      </c>
      <c r="G21" s="73">
        <v>42.524999999999999</v>
      </c>
      <c r="H21" s="73">
        <v>41</v>
      </c>
      <c r="I21" s="73">
        <v>34</v>
      </c>
    </row>
    <row r="22" spans="1:10" ht="14.25" x14ac:dyDescent="0.2">
      <c r="A22" s="24" t="s">
        <v>46</v>
      </c>
      <c r="B22" s="73">
        <v>40.85</v>
      </c>
      <c r="C22" s="73">
        <v>59.2</v>
      </c>
      <c r="D22" s="73" t="s">
        <v>10</v>
      </c>
      <c r="E22" s="73">
        <v>51.65</v>
      </c>
      <c r="F22" s="73">
        <v>100</v>
      </c>
      <c r="G22" s="73">
        <v>41.725000000000001</v>
      </c>
      <c r="H22" s="73" t="s">
        <v>10</v>
      </c>
      <c r="I22" s="73">
        <v>36.25</v>
      </c>
    </row>
    <row r="23" spans="1:10" ht="14.25" x14ac:dyDescent="0.2">
      <c r="A23" s="24" t="s">
        <v>47</v>
      </c>
      <c r="B23" s="73">
        <v>44.31</v>
      </c>
      <c r="C23" s="73">
        <v>63.1875</v>
      </c>
      <c r="D23" s="73" t="s">
        <v>10</v>
      </c>
      <c r="E23" s="73">
        <v>53.3125</v>
      </c>
      <c r="F23" s="73">
        <v>90</v>
      </c>
      <c r="G23" s="73">
        <v>43.337499999999999</v>
      </c>
      <c r="H23" s="73" t="s">
        <v>10</v>
      </c>
      <c r="I23" s="73">
        <v>48.129999999999995</v>
      </c>
    </row>
    <row r="24" spans="1:10" ht="14.25" x14ac:dyDescent="0.2">
      <c r="A24" s="24" t="s">
        <v>48</v>
      </c>
      <c r="B24" s="73">
        <v>48.37</v>
      </c>
      <c r="C24" s="73">
        <v>73.625</v>
      </c>
      <c r="D24" s="73" t="s">
        <v>10</v>
      </c>
      <c r="E24" s="73">
        <v>58.9375</v>
      </c>
      <c r="F24" s="73">
        <v>93</v>
      </c>
      <c r="G24" s="73">
        <v>44.945</v>
      </c>
      <c r="H24" s="73" t="s">
        <v>10</v>
      </c>
      <c r="I24" s="73">
        <v>53.125</v>
      </c>
    </row>
    <row r="25" spans="1:10" ht="14.25" x14ac:dyDescent="0.2">
      <c r="A25" s="24" t="s">
        <v>49</v>
      </c>
      <c r="B25" s="73">
        <v>56</v>
      </c>
      <c r="C25" s="73">
        <v>86.9375</v>
      </c>
      <c r="D25" s="73" t="s">
        <v>10</v>
      </c>
      <c r="E25" s="73">
        <v>71.3125</v>
      </c>
      <c r="F25" s="73">
        <v>105.25</v>
      </c>
      <c r="G25" s="73">
        <v>52.05</v>
      </c>
      <c r="H25" s="73">
        <v>55</v>
      </c>
      <c r="I25" s="73">
        <v>55.943333333333328</v>
      </c>
    </row>
    <row r="26" spans="1:10" ht="14.25" x14ac:dyDescent="0.2">
      <c r="A26" s="24" t="s">
        <v>50</v>
      </c>
      <c r="B26" s="73">
        <v>62.88</v>
      </c>
      <c r="C26" s="73">
        <v>92.65</v>
      </c>
      <c r="D26" s="73">
        <v>83</v>
      </c>
      <c r="E26" s="73">
        <v>79.55</v>
      </c>
      <c r="F26" s="73">
        <v>109.2</v>
      </c>
      <c r="G26" s="73">
        <v>59.8125</v>
      </c>
      <c r="H26" s="73" t="s">
        <v>10</v>
      </c>
      <c r="I26" s="73">
        <v>59.3825</v>
      </c>
    </row>
    <row r="27" spans="1:10" ht="14.25" x14ac:dyDescent="0.2">
      <c r="A27" s="24" t="s">
        <v>51</v>
      </c>
      <c r="B27" s="73">
        <v>74.75</v>
      </c>
      <c r="C27" s="73">
        <v>102.1875</v>
      </c>
      <c r="D27" s="73">
        <v>83</v>
      </c>
      <c r="E27" s="73">
        <v>94.0625</v>
      </c>
      <c r="F27" s="73">
        <v>110</v>
      </c>
      <c r="G27" s="73">
        <v>68.25</v>
      </c>
      <c r="H27" s="73">
        <v>58</v>
      </c>
      <c r="I27" s="73">
        <v>64.724999999999994</v>
      </c>
      <c r="J27" s="90"/>
    </row>
    <row r="28" spans="1:10" ht="14.25" x14ac:dyDescent="0.2">
      <c r="A28" s="24" t="s">
        <v>52</v>
      </c>
      <c r="B28" s="73">
        <v>74.75</v>
      </c>
      <c r="C28" s="73">
        <v>100.6875</v>
      </c>
      <c r="D28" s="73" t="s">
        <v>10</v>
      </c>
      <c r="E28" s="73">
        <v>93.5</v>
      </c>
      <c r="F28" s="73">
        <v>108.1875</v>
      </c>
      <c r="G28" s="73">
        <v>67.599999999999994</v>
      </c>
      <c r="H28" s="73" t="s">
        <v>10</v>
      </c>
      <c r="I28" s="73">
        <v>63.666666666666664</v>
      </c>
    </row>
    <row r="29" spans="1:10" ht="14.25" x14ac:dyDescent="0.2">
      <c r="A29" s="24" t="s">
        <v>54</v>
      </c>
      <c r="B29" s="73">
        <v>72.930000000000007</v>
      </c>
      <c r="C29" s="73">
        <v>99.9</v>
      </c>
      <c r="D29" s="73" t="s">
        <v>10</v>
      </c>
      <c r="E29" s="73">
        <v>92.3</v>
      </c>
      <c r="F29" s="73">
        <v>106</v>
      </c>
      <c r="G29" s="73">
        <v>66.094999999999999</v>
      </c>
      <c r="H29" s="73" t="s">
        <v>10</v>
      </c>
      <c r="I29" s="73">
        <v>66.333333333333329</v>
      </c>
    </row>
    <row r="30" spans="1:10" ht="14.25" x14ac:dyDescent="0.2">
      <c r="A30" s="24" t="s">
        <v>55</v>
      </c>
      <c r="B30" s="73">
        <v>70.010000000000005</v>
      </c>
      <c r="C30" s="73">
        <v>96.5</v>
      </c>
      <c r="D30" s="73" t="s">
        <v>10</v>
      </c>
      <c r="E30" s="73">
        <v>81</v>
      </c>
      <c r="F30" s="73">
        <v>108.75</v>
      </c>
      <c r="G30" s="73">
        <v>64.156000000000006</v>
      </c>
      <c r="H30" s="73">
        <v>72.333333333333329</v>
      </c>
      <c r="I30" s="73">
        <v>72</v>
      </c>
    </row>
    <row r="31" spans="1:10" ht="14.25" x14ac:dyDescent="0.2">
      <c r="A31" s="24" t="s">
        <v>57</v>
      </c>
      <c r="B31" s="73">
        <v>65.930000000000007</v>
      </c>
      <c r="C31" s="73">
        <v>93.625</v>
      </c>
      <c r="D31" s="73" t="s">
        <v>10</v>
      </c>
      <c r="E31" s="73">
        <v>76</v>
      </c>
      <c r="F31" s="73">
        <v>105</v>
      </c>
      <c r="G31" s="73">
        <v>53.184999999999995</v>
      </c>
      <c r="H31" s="73" t="s">
        <v>10</v>
      </c>
      <c r="I31" s="73">
        <v>71.75</v>
      </c>
    </row>
    <row r="32" spans="1:10" ht="14.25" x14ac:dyDescent="0.2">
      <c r="A32" s="24"/>
      <c r="B32" s="73"/>
      <c r="C32" s="73"/>
      <c r="D32" s="73"/>
      <c r="E32" s="73"/>
      <c r="F32" s="73"/>
      <c r="G32" s="73"/>
      <c r="H32" s="73"/>
      <c r="I32" s="73"/>
    </row>
    <row r="33" spans="1:9" ht="15" x14ac:dyDescent="0.25">
      <c r="A33" s="60" t="s">
        <v>135</v>
      </c>
      <c r="B33" s="73"/>
      <c r="C33" s="73"/>
      <c r="D33" s="73"/>
      <c r="E33" s="73"/>
      <c r="F33" s="73"/>
      <c r="G33" s="73"/>
      <c r="H33" s="73"/>
      <c r="I33" s="73"/>
    </row>
    <row r="34" spans="1:9" ht="14.25" x14ac:dyDescent="0.2">
      <c r="A34" s="18" t="s">
        <v>44</v>
      </c>
      <c r="B34" s="17">
        <v>70.42</v>
      </c>
      <c r="C34" s="17">
        <v>98.5</v>
      </c>
      <c r="D34" s="17">
        <v>129</v>
      </c>
      <c r="E34" s="17">
        <v>82.3</v>
      </c>
      <c r="F34" s="17">
        <v>101.5</v>
      </c>
      <c r="G34" s="17">
        <v>57.069999999999993</v>
      </c>
      <c r="H34" s="17" t="s">
        <v>10</v>
      </c>
      <c r="I34" s="17" t="s">
        <v>10</v>
      </c>
    </row>
    <row r="35" spans="1:9" ht="16.5" x14ac:dyDescent="0.2">
      <c r="A35" s="63" t="s">
        <v>187</v>
      </c>
      <c r="B35" s="88"/>
      <c r="C35" s="88"/>
      <c r="D35" s="88"/>
      <c r="E35" s="88"/>
      <c r="F35" s="88"/>
      <c r="G35" s="88"/>
      <c r="H35" s="88"/>
      <c r="I35" s="88"/>
    </row>
    <row r="36" spans="1:9" ht="16.5" x14ac:dyDescent="0.2">
      <c r="A36" s="20" t="s">
        <v>186</v>
      </c>
      <c r="B36" s="88"/>
      <c r="C36" s="88"/>
      <c r="D36" s="88"/>
      <c r="E36" s="88"/>
      <c r="F36" s="88"/>
      <c r="G36" s="88"/>
      <c r="H36" s="88"/>
      <c r="I36" s="88"/>
    </row>
    <row r="37" spans="1:9" ht="14.25" x14ac:dyDescent="0.2">
      <c r="A37" s="20" t="s">
        <v>142</v>
      </c>
      <c r="B37" s="20"/>
      <c r="C37" s="20"/>
      <c r="D37" s="20"/>
      <c r="E37" s="20"/>
      <c r="F37" s="88"/>
      <c r="G37" s="20"/>
      <c r="H37" s="20"/>
      <c r="I37" s="20"/>
    </row>
    <row r="38" spans="1:9" ht="14.25" x14ac:dyDescent="0.2">
      <c r="A38" s="26" t="s">
        <v>18</v>
      </c>
      <c r="B38" s="52">
        <f ca="1">NOW()</f>
        <v>44510.570713194444</v>
      </c>
      <c r="C38" s="20"/>
      <c r="D38" s="20"/>
      <c r="E38" s="20"/>
      <c r="F38" s="20"/>
      <c r="G38" s="20"/>
      <c r="H38" s="20"/>
      <c r="I38" s="20"/>
    </row>
    <row r="39" spans="1:9" ht="15.75" x14ac:dyDescent="0.25">
      <c r="C39" s="89"/>
      <c r="G39" s="89"/>
      <c r="H39" s="89"/>
      <c r="I39" s="89"/>
    </row>
    <row r="40" spans="1:9" ht="15.75" x14ac:dyDescent="0.25">
      <c r="B40" s="90"/>
      <c r="C40" s="89"/>
      <c r="G40" s="89"/>
      <c r="H40" s="89"/>
      <c r="I40" s="89"/>
    </row>
    <row r="41" spans="1:9" ht="15.75" x14ac:dyDescent="0.25">
      <c r="B41" s="90"/>
      <c r="C41" s="133"/>
      <c r="G41" s="89"/>
      <c r="H41" s="89"/>
      <c r="I41" s="89"/>
    </row>
    <row r="42" spans="1:9" ht="15.75" x14ac:dyDescent="0.25">
      <c r="C42" s="89"/>
      <c r="G42" s="89"/>
      <c r="H42" s="89"/>
      <c r="I42" s="89"/>
    </row>
    <row r="43" spans="1:9" ht="15.75" x14ac:dyDescent="0.25">
      <c r="C43" s="89"/>
      <c r="G43" s="89"/>
      <c r="H43" s="89"/>
      <c r="I43" s="89"/>
    </row>
    <row r="44" spans="1:9" ht="15.75" x14ac:dyDescent="0.25">
      <c r="C44" s="89"/>
      <c r="G44" s="89"/>
      <c r="H44" s="89"/>
      <c r="I44" s="89"/>
    </row>
    <row r="45" spans="1:9" ht="15.75" x14ac:dyDescent="0.25">
      <c r="C45" s="89"/>
      <c r="G45" s="89"/>
      <c r="H45" s="89"/>
      <c r="I45" s="89"/>
    </row>
    <row r="46" spans="1:9" ht="15.75" x14ac:dyDescent="0.25">
      <c r="C46" s="89"/>
      <c r="G46" s="89"/>
      <c r="H46" s="89"/>
      <c r="I46" s="89"/>
    </row>
    <row r="47" spans="1:9" ht="15.75" x14ac:dyDescent="0.25">
      <c r="C47" s="89"/>
      <c r="G47" s="89"/>
      <c r="H47" s="89"/>
      <c r="I47" s="89"/>
    </row>
    <row r="48" spans="1:9" ht="15.75" x14ac:dyDescent="0.25">
      <c r="C48" s="89"/>
      <c r="G48" s="89"/>
      <c r="H48" s="89"/>
      <c r="I48" s="89"/>
    </row>
    <row r="49" spans="3:9" ht="15.75" x14ac:dyDescent="0.25">
      <c r="C49" s="89"/>
      <c r="G49" s="89"/>
      <c r="H49" s="89"/>
      <c r="I49" s="89"/>
    </row>
    <row r="50" spans="3:9" ht="15.75" x14ac:dyDescent="0.25">
      <c r="C50" s="89"/>
      <c r="G50" s="89"/>
      <c r="H50" s="89"/>
      <c r="I50" s="89"/>
    </row>
    <row r="51" spans="3:9" ht="15.75" x14ac:dyDescent="0.25">
      <c r="C51" s="89"/>
      <c r="G51" s="89"/>
      <c r="H51" s="89"/>
      <c r="I51" s="89"/>
    </row>
    <row r="52" spans="3:9" ht="15.75" x14ac:dyDescent="0.25">
      <c r="C52" s="89"/>
      <c r="G52" s="89"/>
      <c r="H52" s="89"/>
      <c r="I52" s="89"/>
    </row>
    <row r="53" spans="3:9" ht="15.75" x14ac:dyDescent="0.25">
      <c r="C53" s="89"/>
      <c r="G53" s="89"/>
      <c r="H53" s="89"/>
      <c r="I53" s="89"/>
    </row>
    <row r="54" spans="3:9" ht="15.75" x14ac:dyDescent="0.25">
      <c r="C54" s="89"/>
      <c r="G54" s="89"/>
      <c r="H54" s="89"/>
      <c r="I54" s="89"/>
    </row>
    <row r="55" spans="3:9" ht="15.75" x14ac:dyDescent="0.25">
      <c r="C55" s="89"/>
      <c r="H55" s="89"/>
      <c r="I55" s="89"/>
    </row>
    <row r="56" spans="3:9" ht="15.75" x14ac:dyDescent="0.25">
      <c r="C56" s="89"/>
      <c r="H56" s="89"/>
      <c r="I56" s="89"/>
    </row>
    <row r="57" spans="3:9" ht="15.75" x14ac:dyDescent="0.25">
      <c r="C57" s="89"/>
      <c r="F57" s="90"/>
      <c r="H57" s="89"/>
      <c r="I57" s="89"/>
    </row>
    <row r="58" spans="3:9" ht="15.75" x14ac:dyDescent="0.25">
      <c r="F58" s="90"/>
      <c r="H58" s="89"/>
      <c r="I58" s="89"/>
    </row>
  </sheetData>
  <phoneticPr fontId="12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E50"/>
  <sheetViews>
    <sheetView showGridLines="0" zoomScale="70" zoomScaleNormal="70" workbookViewId="0"/>
  </sheetViews>
  <sheetFormatPr defaultColWidth="9.140625" defaultRowHeight="12.75" x14ac:dyDescent="0.2"/>
  <cols>
    <col min="1" max="1" width="11.7109375" style="19" customWidth="1"/>
    <col min="2" max="7" width="13.7109375" style="19" customWidth="1"/>
    <col min="8" max="8" width="10.140625" style="19" bestFit="1" customWidth="1"/>
    <col min="9" max="9" width="9.140625" style="19"/>
    <col min="10" max="10" width="20.28515625" style="19" bestFit="1" customWidth="1"/>
    <col min="11" max="13" width="9.140625" style="19"/>
    <col min="14" max="14" width="8.85546875" style="19" customWidth="1"/>
    <col min="15" max="15" width="18" style="19" bestFit="1" customWidth="1"/>
    <col min="16" max="16384" width="9.140625" style="19"/>
  </cols>
  <sheetData>
    <row r="1" spans="1:31" ht="14.25" x14ac:dyDescent="0.2">
      <c r="A1" s="18" t="s">
        <v>121</v>
      </c>
      <c r="B1" s="18"/>
      <c r="C1" s="18"/>
      <c r="D1" s="18"/>
      <c r="E1" s="18"/>
      <c r="F1" s="18"/>
      <c r="G1" s="18"/>
    </row>
    <row r="2" spans="1:31" ht="15.6" customHeight="1" x14ac:dyDescent="0.2">
      <c r="A2" s="24" t="s">
        <v>11</v>
      </c>
      <c r="B2" s="41" t="s">
        <v>35</v>
      </c>
      <c r="C2" s="91" t="s">
        <v>13</v>
      </c>
      <c r="D2" s="91" t="s">
        <v>64</v>
      </c>
      <c r="E2" s="91" t="s">
        <v>36</v>
      </c>
      <c r="F2" s="41" t="s">
        <v>37</v>
      </c>
      <c r="G2" s="22" t="s">
        <v>38</v>
      </c>
      <c r="AE2" s="92"/>
    </row>
    <row r="3" spans="1:31" ht="15.6" customHeight="1" x14ac:dyDescent="0.2">
      <c r="A3" s="18" t="s">
        <v>12</v>
      </c>
      <c r="B3" s="29" t="s">
        <v>188</v>
      </c>
      <c r="C3" s="29" t="s">
        <v>93</v>
      </c>
      <c r="D3" s="29" t="s">
        <v>94</v>
      </c>
      <c r="E3" s="29" t="s">
        <v>95</v>
      </c>
      <c r="F3" s="29" t="s">
        <v>96</v>
      </c>
      <c r="G3" s="29" t="s">
        <v>97</v>
      </c>
      <c r="AE3" s="92"/>
    </row>
    <row r="4" spans="1:31" ht="14.25" x14ac:dyDescent="0.2">
      <c r="A4" s="20"/>
      <c r="B4" s="84" t="s">
        <v>112</v>
      </c>
      <c r="C4" s="85"/>
      <c r="D4" s="85"/>
      <c r="E4" s="85"/>
      <c r="F4" s="85"/>
      <c r="G4" s="85"/>
      <c r="AE4" s="92"/>
    </row>
    <row r="5" spans="1:31" ht="14.25" x14ac:dyDescent="0.2">
      <c r="A5" s="20"/>
      <c r="B5" s="20"/>
      <c r="C5" s="20"/>
      <c r="D5" s="20"/>
      <c r="E5" s="20"/>
      <c r="F5" s="20"/>
      <c r="G5" s="20"/>
      <c r="AE5" s="92"/>
    </row>
    <row r="6" spans="1:31" ht="14.25" x14ac:dyDescent="0.2">
      <c r="A6" s="20" t="s">
        <v>43</v>
      </c>
      <c r="B6" s="73">
        <v>345.52</v>
      </c>
      <c r="C6" s="73">
        <v>273.83999999999997</v>
      </c>
      <c r="D6" s="73">
        <v>219.72</v>
      </c>
      <c r="E6" s="93" t="s">
        <v>10</v>
      </c>
      <c r="F6" s="73">
        <v>263.63</v>
      </c>
      <c r="G6" s="73">
        <v>240.65</v>
      </c>
      <c r="AE6" s="92"/>
    </row>
    <row r="7" spans="1:31" ht="14.25" x14ac:dyDescent="0.2">
      <c r="A7" s="20" t="s">
        <v>53</v>
      </c>
      <c r="B7" s="73">
        <v>393.53</v>
      </c>
      <c r="C7" s="73">
        <v>275.13</v>
      </c>
      <c r="D7" s="73">
        <v>246.75</v>
      </c>
      <c r="E7" s="93" t="s">
        <v>10</v>
      </c>
      <c r="F7" s="73">
        <v>307.58999999999997</v>
      </c>
      <c r="G7" s="73">
        <v>265.68</v>
      </c>
      <c r="AE7" s="92"/>
    </row>
    <row r="8" spans="1:31" ht="14.25" x14ac:dyDescent="0.2">
      <c r="A8" s="20" t="s">
        <v>65</v>
      </c>
      <c r="B8" s="73">
        <v>468.11</v>
      </c>
      <c r="C8" s="73">
        <v>331.52</v>
      </c>
      <c r="D8" s="73">
        <v>241.57</v>
      </c>
      <c r="E8" s="93" t="s">
        <v>10</v>
      </c>
      <c r="F8" s="73">
        <v>354.22</v>
      </c>
      <c r="G8" s="73">
        <v>329.31</v>
      </c>
      <c r="AE8" s="92"/>
    </row>
    <row r="9" spans="1:31" ht="14.25" x14ac:dyDescent="0.2">
      <c r="A9" s="20" t="s">
        <v>71</v>
      </c>
      <c r="B9" s="73">
        <v>489.94</v>
      </c>
      <c r="C9" s="73">
        <v>377.71</v>
      </c>
      <c r="D9" s="73">
        <v>238.87</v>
      </c>
      <c r="E9" s="93" t="s">
        <v>10</v>
      </c>
      <c r="F9" s="73">
        <v>359.7</v>
      </c>
      <c r="G9" s="73">
        <v>337.23</v>
      </c>
      <c r="AE9" s="92"/>
    </row>
    <row r="10" spans="1:31" ht="14.25" x14ac:dyDescent="0.2">
      <c r="A10" s="20" t="s">
        <v>73</v>
      </c>
      <c r="B10" s="73">
        <v>368.49</v>
      </c>
      <c r="C10" s="73">
        <v>304.27</v>
      </c>
      <c r="D10" s="73">
        <v>209.97</v>
      </c>
      <c r="E10" s="93" t="s">
        <v>10</v>
      </c>
      <c r="F10" s="73">
        <v>301.2</v>
      </c>
      <c r="G10" s="73">
        <v>256.58</v>
      </c>
      <c r="AE10" s="92"/>
    </row>
    <row r="11" spans="1:31" ht="14.25" x14ac:dyDescent="0.2">
      <c r="A11" s="20" t="s">
        <v>74</v>
      </c>
      <c r="B11" s="73">
        <v>324.56</v>
      </c>
      <c r="C11" s="73">
        <v>261.19</v>
      </c>
      <c r="D11" s="73">
        <v>153.16999999999999</v>
      </c>
      <c r="E11" s="93" t="s">
        <v>10</v>
      </c>
      <c r="F11" s="73">
        <v>262.2</v>
      </c>
      <c r="G11" s="73">
        <v>260.23</v>
      </c>
      <c r="AE11" s="92"/>
    </row>
    <row r="12" spans="1:31" ht="14.25" x14ac:dyDescent="0.2">
      <c r="A12" s="20" t="s">
        <v>77</v>
      </c>
      <c r="B12" s="73">
        <v>316.88</v>
      </c>
      <c r="C12" s="73">
        <v>208.61</v>
      </c>
      <c r="D12" s="73">
        <v>145.1</v>
      </c>
      <c r="E12" s="93" t="s">
        <v>10</v>
      </c>
      <c r="F12" s="73">
        <v>267.94</v>
      </c>
      <c r="G12" s="73">
        <v>282.49</v>
      </c>
      <c r="AE12" s="92"/>
    </row>
    <row r="13" spans="1:31" ht="14.25" x14ac:dyDescent="0.2">
      <c r="A13" s="20" t="s">
        <v>78</v>
      </c>
      <c r="B13" s="73">
        <v>345.02</v>
      </c>
      <c r="C13" s="73">
        <v>260.88</v>
      </c>
      <c r="D13" s="73">
        <v>173.53</v>
      </c>
      <c r="E13" s="93" t="s">
        <v>10</v>
      </c>
      <c r="F13" s="73">
        <v>291.14999999999998</v>
      </c>
      <c r="G13" s="73">
        <v>239.15</v>
      </c>
    </row>
    <row r="14" spans="1:31" ht="14.25" x14ac:dyDescent="0.2">
      <c r="A14" s="20" t="s">
        <v>98</v>
      </c>
      <c r="B14" s="73">
        <v>308.27999999999997</v>
      </c>
      <c r="C14" s="73">
        <v>228.64</v>
      </c>
      <c r="D14" s="87">
        <v>164.16</v>
      </c>
      <c r="E14" s="93" t="s">
        <v>10</v>
      </c>
      <c r="F14" s="73">
        <v>272.38</v>
      </c>
      <c r="G14" s="73">
        <v>225.77</v>
      </c>
    </row>
    <row r="15" spans="1:31" ht="14.25" x14ac:dyDescent="0.2">
      <c r="A15" s="20" t="s">
        <v>100</v>
      </c>
      <c r="B15" s="73">
        <v>299.5</v>
      </c>
      <c r="C15" s="73">
        <v>247.04</v>
      </c>
      <c r="D15" s="87">
        <v>187.7</v>
      </c>
      <c r="E15" s="93" t="s">
        <v>10</v>
      </c>
      <c r="F15" s="73">
        <v>273.99</v>
      </c>
      <c r="G15" s="73">
        <v>245.88</v>
      </c>
    </row>
    <row r="16" spans="1:31" ht="16.5" x14ac:dyDescent="0.2">
      <c r="A16" s="20" t="s">
        <v>189</v>
      </c>
      <c r="B16" s="73">
        <v>392.31</v>
      </c>
      <c r="C16" s="73">
        <v>375.51</v>
      </c>
      <c r="D16" s="87">
        <v>246.22</v>
      </c>
      <c r="E16" s="93" t="s">
        <v>10</v>
      </c>
      <c r="F16" s="73">
        <v>351.87</v>
      </c>
      <c r="G16" s="73">
        <v>288.12</v>
      </c>
    </row>
    <row r="17" spans="1:16" ht="16.5" x14ac:dyDescent="0.2">
      <c r="A17" s="20" t="s">
        <v>190</v>
      </c>
      <c r="B17" s="73">
        <v>325</v>
      </c>
      <c r="C17" s="73">
        <v>300</v>
      </c>
      <c r="D17" s="87">
        <v>180</v>
      </c>
      <c r="E17" s="93" t="s">
        <v>10</v>
      </c>
      <c r="F17" s="73">
        <v>295</v>
      </c>
      <c r="G17" s="73">
        <v>225</v>
      </c>
    </row>
    <row r="18" spans="1:16" ht="15" x14ac:dyDescent="0.2">
      <c r="A18" s="24"/>
      <c r="B18" s="73"/>
      <c r="C18" s="73"/>
      <c r="D18" s="73"/>
      <c r="E18" s="93"/>
      <c r="F18" s="73"/>
      <c r="G18" s="73"/>
      <c r="I18" s="94"/>
      <c r="J18" s="96"/>
      <c r="K18" s="96"/>
      <c r="L18" s="94"/>
      <c r="M18" s="96"/>
      <c r="N18" s="96"/>
      <c r="O18" s="96"/>
      <c r="P18" s="96"/>
    </row>
    <row r="19" spans="1:16" ht="15" x14ac:dyDescent="0.25">
      <c r="A19" s="42" t="s">
        <v>103</v>
      </c>
      <c r="B19" s="73"/>
      <c r="C19" s="73"/>
      <c r="D19" s="73"/>
      <c r="E19" s="93"/>
      <c r="F19" s="73"/>
      <c r="G19" s="73"/>
      <c r="I19" s="95"/>
      <c r="J19" s="96"/>
      <c r="K19" s="96"/>
      <c r="L19" s="94"/>
      <c r="M19" s="94"/>
      <c r="P19" s="96"/>
    </row>
    <row r="20" spans="1:16" ht="15" x14ac:dyDescent="0.2">
      <c r="A20" s="20" t="s">
        <v>44</v>
      </c>
      <c r="B20" s="73">
        <v>367.11</v>
      </c>
      <c r="C20" s="73">
        <v>301.88</v>
      </c>
      <c r="D20" s="73">
        <v>211.25</v>
      </c>
      <c r="E20" s="93" t="s">
        <v>10</v>
      </c>
      <c r="F20" s="73">
        <v>327.24</v>
      </c>
      <c r="G20" s="73">
        <v>239.375</v>
      </c>
      <c r="H20" s="97"/>
      <c r="I20" s="94"/>
      <c r="J20" s="96"/>
      <c r="K20" s="96"/>
      <c r="L20" s="94"/>
      <c r="M20" s="94"/>
      <c r="P20" s="96"/>
    </row>
    <row r="21" spans="1:16" ht="15" x14ac:dyDescent="0.2">
      <c r="A21" s="20" t="s">
        <v>45</v>
      </c>
      <c r="B21" s="73">
        <v>387.83</v>
      </c>
      <c r="C21" s="73">
        <v>365.63</v>
      </c>
      <c r="D21" s="73">
        <v>216.25</v>
      </c>
      <c r="E21" s="93" t="s">
        <v>10</v>
      </c>
      <c r="F21" s="73">
        <v>333.89</v>
      </c>
      <c r="G21" s="73">
        <v>253.75</v>
      </c>
      <c r="H21" s="97"/>
      <c r="I21" s="94"/>
      <c r="J21" s="20"/>
      <c r="K21" s="96"/>
      <c r="L21" s="94"/>
      <c r="M21" s="94"/>
    </row>
    <row r="22" spans="1:16" ht="15" x14ac:dyDescent="0.2">
      <c r="A22" s="20" t="s">
        <v>46</v>
      </c>
      <c r="B22" s="73">
        <v>396.68</v>
      </c>
      <c r="C22" s="73">
        <v>435.83</v>
      </c>
      <c r="D22" s="73">
        <v>252.5</v>
      </c>
      <c r="E22" s="93" t="s">
        <v>10</v>
      </c>
      <c r="F22" s="73">
        <v>338.55</v>
      </c>
      <c r="G22" s="73">
        <v>275</v>
      </c>
      <c r="H22" s="97"/>
      <c r="I22" s="94"/>
      <c r="J22" s="20"/>
      <c r="K22" s="96"/>
      <c r="L22" s="94"/>
    </row>
    <row r="23" spans="1:16" ht="15" x14ac:dyDescent="0.2">
      <c r="A23" s="24" t="s">
        <v>47</v>
      </c>
      <c r="B23" s="73">
        <v>439.24</v>
      </c>
      <c r="C23" s="73">
        <v>443.75</v>
      </c>
      <c r="D23" s="73">
        <v>280.63</v>
      </c>
      <c r="E23" s="93" t="s">
        <v>10</v>
      </c>
      <c r="F23" s="73">
        <v>387.53</v>
      </c>
      <c r="G23" s="73">
        <v>313.125</v>
      </c>
      <c r="I23" s="94"/>
      <c r="J23" s="96"/>
      <c r="K23" s="96"/>
      <c r="L23" s="96"/>
      <c r="M23" s="96"/>
      <c r="N23" s="96"/>
    </row>
    <row r="24" spans="1:16" ht="15" x14ac:dyDescent="0.25">
      <c r="A24" s="24" t="s">
        <v>48</v>
      </c>
      <c r="B24" s="73">
        <v>427.28</v>
      </c>
      <c r="C24" s="73">
        <v>460</v>
      </c>
      <c r="D24" s="73">
        <v>291.88</v>
      </c>
      <c r="E24" s="93" t="s">
        <v>10</v>
      </c>
      <c r="F24" s="73">
        <v>376.07499999999999</v>
      </c>
      <c r="G24" s="73">
        <v>296.25</v>
      </c>
      <c r="I24" s="94"/>
      <c r="J24" s="98"/>
      <c r="K24" s="96"/>
      <c r="L24" s="94"/>
      <c r="M24" s="94"/>
      <c r="O24" s="96"/>
    </row>
    <row r="25" spans="1:16" ht="15" x14ac:dyDescent="0.2">
      <c r="A25" s="24" t="s">
        <v>49</v>
      </c>
      <c r="B25" s="73">
        <v>410.02</v>
      </c>
      <c r="C25" s="73">
        <v>456</v>
      </c>
      <c r="D25" s="73">
        <v>279.5</v>
      </c>
      <c r="E25" s="93" t="s">
        <v>10</v>
      </c>
      <c r="F25" s="73">
        <v>365.14</v>
      </c>
      <c r="G25" s="73">
        <v>322</v>
      </c>
      <c r="I25" s="94"/>
      <c r="J25" s="24"/>
      <c r="K25" s="94"/>
      <c r="L25" s="94"/>
      <c r="M25" s="94"/>
      <c r="O25" s="96"/>
    </row>
    <row r="26" spans="1:16" ht="15" x14ac:dyDescent="0.25">
      <c r="A26" s="24" t="s">
        <v>50</v>
      </c>
      <c r="B26" s="73">
        <v>413.36</v>
      </c>
      <c r="C26" s="73">
        <v>415</v>
      </c>
      <c r="D26" s="73">
        <v>258.125</v>
      </c>
      <c r="E26" s="93" t="s">
        <v>10</v>
      </c>
      <c r="F26" s="73">
        <v>377.57499999999999</v>
      </c>
      <c r="G26" s="73">
        <v>318.75</v>
      </c>
      <c r="I26" s="42"/>
      <c r="J26" s="24"/>
      <c r="K26" s="94"/>
      <c r="L26" s="94"/>
      <c r="M26" s="94"/>
      <c r="O26" s="96"/>
    </row>
    <row r="27" spans="1:16" ht="15" x14ac:dyDescent="0.2">
      <c r="A27" s="24" t="s">
        <v>51</v>
      </c>
      <c r="B27" s="73">
        <v>421.03</v>
      </c>
      <c r="C27" s="73">
        <v>360.625</v>
      </c>
      <c r="D27" s="73">
        <v>265</v>
      </c>
      <c r="E27" s="93" t="s">
        <v>10</v>
      </c>
      <c r="F27" s="73">
        <v>391.45</v>
      </c>
      <c r="G27" s="73">
        <v>335.63</v>
      </c>
      <c r="I27" s="20"/>
      <c r="J27" s="24"/>
      <c r="K27" s="94"/>
      <c r="L27" s="94"/>
      <c r="M27" s="94"/>
      <c r="O27" s="96"/>
    </row>
    <row r="28" spans="1:16" ht="15" x14ac:dyDescent="0.2">
      <c r="A28" s="24" t="s">
        <v>52</v>
      </c>
      <c r="B28" s="73">
        <v>378.18</v>
      </c>
      <c r="C28" s="73">
        <v>337.5</v>
      </c>
      <c r="D28" s="73">
        <v>252.5</v>
      </c>
      <c r="E28" s="93" t="s">
        <v>10</v>
      </c>
      <c r="F28" s="73">
        <v>345.9</v>
      </c>
      <c r="G28" s="73">
        <v>293.5</v>
      </c>
      <c r="I28" s="20"/>
      <c r="J28" s="24"/>
      <c r="K28" s="94"/>
      <c r="L28" s="94"/>
      <c r="M28" s="94"/>
      <c r="O28" s="96"/>
    </row>
    <row r="29" spans="1:16" ht="15" x14ac:dyDescent="0.2">
      <c r="A29" s="24" t="s">
        <v>54</v>
      </c>
      <c r="B29" s="73">
        <v>365.23</v>
      </c>
      <c r="C29" s="73">
        <v>321.875</v>
      </c>
      <c r="D29" s="73">
        <v>206.25</v>
      </c>
      <c r="E29" s="93" t="s">
        <v>10</v>
      </c>
      <c r="F29" s="73">
        <v>326.67499999999995</v>
      </c>
      <c r="G29" s="73">
        <v>262.5</v>
      </c>
      <c r="I29" s="20"/>
      <c r="J29" s="24"/>
      <c r="K29" s="94"/>
      <c r="L29" s="94"/>
      <c r="M29" s="94"/>
      <c r="O29" s="96"/>
    </row>
    <row r="30" spans="1:16" ht="15" x14ac:dyDescent="0.2">
      <c r="A30" s="24" t="s">
        <v>55</v>
      </c>
      <c r="B30" s="73">
        <v>358.21</v>
      </c>
      <c r="C30" s="73">
        <v>303</v>
      </c>
      <c r="D30" s="73">
        <v>219.5</v>
      </c>
      <c r="E30" s="93" t="s">
        <v>10</v>
      </c>
      <c r="F30" s="73">
        <v>329.45</v>
      </c>
      <c r="G30" s="73">
        <v>287.5</v>
      </c>
      <c r="I30" s="20"/>
      <c r="J30" s="24"/>
      <c r="K30" s="94"/>
      <c r="L30" s="94"/>
      <c r="M30" s="94"/>
      <c r="O30" s="96"/>
    </row>
    <row r="31" spans="1:16" ht="15" x14ac:dyDescent="0.2">
      <c r="A31" s="24" t="s">
        <v>57</v>
      </c>
      <c r="B31" s="73">
        <v>343.55</v>
      </c>
      <c r="C31" s="73">
        <v>305</v>
      </c>
      <c r="D31" s="73">
        <v>221.25</v>
      </c>
      <c r="E31" s="93" t="s">
        <v>10</v>
      </c>
      <c r="F31" s="73">
        <v>322.96249999999998</v>
      </c>
      <c r="G31" s="73">
        <v>260</v>
      </c>
      <c r="I31" s="20"/>
      <c r="J31" s="24"/>
      <c r="K31" s="94"/>
      <c r="L31" s="94"/>
      <c r="M31" s="94"/>
      <c r="O31" s="96"/>
    </row>
    <row r="32" spans="1:16" ht="14.25" x14ac:dyDescent="0.2">
      <c r="A32" s="24"/>
      <c r="B32" s="73"/>
      <c r="C32" s="73"/>
      <c r="D32" s="73"/>
      <c r="E32" s="73"/>
      <c r="F32" s="73"/>
      <c r="G32" s="73"/>
      <c r="H32" s="73"/>
      <c r="I32" s="73"/>
    </row>
    <row r="33" spans="1:13" ht="15" x14ac:dyDescent="0.25">
      <c r="A33" s="60" t="s">
        <v>135</v>
      </c>
      <c r="B33" s="73"/>
      <c r="C33" s="73"/>
      <c r="D33" s="73"/>
      <c r="E33" s="73"/>
      <c r="F33" s="73"/>
      <c r="G33" s="73"/>
      <c r="H33" s="73"/>
      <c r="I33" s="73"/>
    </row>
    <row r="34" spans="1:13" ht="14.25" x14ac:dyDescent="0.2">
      <c r="A34" s="18" t="s">
        <v>44</v>
      </c>
      <c r="B34" s="17">
        <v>325.43</v>
      </c>
      <c r="C34" s="17">
        <v>298.75</v>
      </c>
      <c r="D34" s="17">
        <v>222.5</v>
      </c>
      <c r="E34" s="144" t="s">
        <v>10</v>
      </c>
      <c r="F34" s="17">
        <v>322.82499999999999</v>
      </c>
      <c r="G34" s="17">
        <v>265.625</v>
      </c>
      <c r="H34" s="73"/>
      <c r="I34" s="73"/>
    </row>
    <row r="35" spans="1:13" ht="16.5" x14ac:dyDescent="0.2">
      <c r="A35" s="63" t="s">
        <v>197</v>
      </c>
      <c r="B35" s="99"/>
      <c r="C35" s="99"/>
      <c r="D35" s="99"/>
      <c r="E35" s="99"/>
      <c r="F35" s="99"/>
      <c r="G35" s="99"/>
      <c r="I35" s="20"/>
      <c r="J35" s="94"/>
      <c r="K35" s="94"/>
      <c r="L35" s="94"/>
    </row>
    <row r="36" spans="1:13" ht="16.5" x14ac:dyDescent="0.2">
      <c r="A36" s="63" t="s">
        <v>191</v>
      </c>
      <c r="B36" s="100"/>
      <c r="C36" s="100"/>
      <c r="D36" s="100"/>
      <c r="E36" s="100"/>
      <c r="F36" s="100"/>
      <c r="G36" s="100"/>
      <c r="I36" s="20"/>
      <c r="J36" s="73"/>
      <c r="K36" s="94"/>
      <c r="L36" s="94"/>
      <c r="M36" s="94"/>
    </row>
    <row r="37" spans="1:13" ht="14.25" x14ac:dyDescent="0.2">
      <c r="A37" s="20"/>
      <c r="B37" s="100"/>
      <c r="C37" s="100"/>
      <c r="D37" s="100"/>
      <c r="E37" s="100"/>
      <c r="F37" s="100"/>
      <c r="G37" s="100"/>
      <c r="H37" s="64"/>
      <c r="I37" s="24"/>
      <c r="J37" s="73"/>
      <c r="K37" s="94"/>
      <c r="L37" s="94"/>
      <c r="M37" s="94"/>
    </row>
    <row r="38" spans="1:13" ht="14.25" x14ac:dyDescent="0.2">
      <c r="A38" s="20" t="s">
        <v>132</v>
      </c>
      <c r="B38" s="20"/>
      <c r="C38" s="20"/>
      <c r="D38" s="20"/>
      <c r="E38" s="20"/>
      <c r="F38" s="100"/>
      <c r="G38" s="100"/>
      <c r="I38" s="24"/>
      <c r="J38" s="73"/>
      <c r="K38" s="94"/>
      <c r="L38" s="94"/>
      <c r="M38" s="94"/>
    </row>
    <row r="39" spans="1:13" ht="14.25" x14ac:dyDescent="0.2">
      <c r="A39" s="26" t="s">
        <v>18</v>
      </c>
      <c r="B39" s="52">
        <f ca="1">NOW()</f>
        <v>44510.570713194444</v>
      </c>
      <c r="C39" s="20"/>
      <c r="D39" s="20"/>
      <c r="E39" s="20"/>
      <c r="F39" s="100"/>
      <c r="G39" s="100"/>
      <c r="I39" s="24"/>
      <c r="J39" s="73"/>
      <c r="K39" s="101"/>
      <c r="L39" s="101"/>
      <c r="M39" s="101"/>
    </row>
    <row r="40" spans="1:13" ht="14.25" x14ac:dyDescent="0.2">
      <c r="F40" s="100"/>
      <c r="G40" s="100"/>
      <c r="I40" s="24"/>
      <c r="J40" s="73"/>
      <c r="K40" s="101"/>
      <c r="L40" s="101"/>
      <c r="M40" s="101"/>
    </row>
    <row r="41" spans="1:13" ht="14.25" x14ac:dyDescent="0.2">
      <c r="F41" s="100"/>
      <c r="G41" s="100"/>
      <c r="I41" s="24"/>
      <c r="J41" s="73"/>
      <c r="K41" s="94"/>
      <c r="L41" s="94"/>
      <c r="M41" s="94"/>
    </row>
    <row r="42" spans="1:13" x14ac:dyDescent="0.2">
      <c r="I42" s="102"/>
      <c r="J42" s="102"/>
      <c r="K42" s="94"/>
      <c r="L42" s="94"/>
      <c r="M42" s="94"/>
    </row>
    <row r="43" spans="1:13" x14ac:dyDescent="0.2">
      <c r="I43" s="103"/>
      <c r="J43" s="103"/>
      <c r="K43" s="94"/>
      <c r="L43" s="94"/>
      <c r="M43" s="94"/>
    </row>
    <row r="44" spans="1:13" x14ac:dyDescent="0.2">
      <c r="I44" s="103"/>
      <c r="J44" s="103"/>
      <c r="K44" s="94"/>
      <c r="L44" s="94"/>
      <c r="M44" s="94"/>
    </row>
    <row r="45" spans="1:13" x14ac:dyDescent="0.2">
      <c r="I45" s="103"/>
      <c r="J45" s="103"/>
      <c r="K45" s="94"/>
      <c r="L45" s="94"/>
      <c r="M45" s="94"/>
    </row>
    <row r="46" spans="1:13" x14ac:dyDescent="0.2">
      <c r="I46" s="103"/>
      <c r="J46" s="103"/>
      <c r="K46" s="94"/>
      <c r="L46" s="94"/>
      <c r="M46" s="94"/>
    </row>
    <row r="48" spans="1:13" x14ac:dyDescent="0.2">
      <c r="I48" s="104"/>
      <c r="J48" s="104"/>
      <c r="K48" s="104"/>
      <c r="L48" s="104"/>
      <c r="M48" s="104"/>
    </row>
    <row r="49" spans="9:13" x14ac:dyDescent="0.2">
      <c r="I49" s="104"/>
      <c r="J49" s="104"/>
      <c r="K49" s="104"/>
      <c r="L49" s="104"/>
      <c r="M49" s="104"/>
    </row>
    <row r="50" spans="9:13" x14ac:dyDescent="0.2">
      <c r="J50" s="104"/>
    </row>
  </sheetData>
  <phoneticPr fontId="12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E0EE-7AB4-4BA1-B193-42AF2486725D}">
  <dimension ref="A1:P11"/>
  <sheetViews>
    <sheetView zoomScaleNormal="100" workbookViewId="0"/>
  </sheetViews>
  <sheetFormatPr defaultColWidth="8.85546875" defaultRowHeight="15" x14ac:dyDescent="0.25"/>
  <cols>
    <col min="1" max="1" width="10.140625" style="132" bestFit="1" customWidth="1"/>
    <col min="2" max="2" width="11" style="132" customWidth="1"/>
    <col min="3" max="4" width="10.140625" style="131" customWidth="1"/>
    <col min="5" max="16384" width="8.85546875" style="131"/>
  </cols>
  <sheetData>
    <row r="1" spans="1:16" x14ac:dyDescent="0.25">
      <c r="B1" s="146" t="s">
        <v>143</v>
      </c>
      <c r="C1" s="147"/>
      <c r="D1" s="147"/>
    </row>
    <row r="2" spans="1:16" ht="26.25" x14ac:dyDescent="0.25">
      <c r="A2" s="145" t="s">
        <v>178</v>
      </c>
      <c r="B2" s="162" t="s">
        <v>192</v>
      </c>
      <c r="C2" s="130">
        <v>2020</v>
      </c>
      <c r="D2" s="130">
        <v>2021</v>
      </c>
    </row>
    <row r="3" spans="1:16" x14ac:dyDescent="0.25">
      <c r="A3" s="153">
        <v>44451</v>
      </c>
      <c r="B3" s="161">
        <v>0</v>
      </c>
      <c r="C3" s="161">
        <v>0</v>
      </c>
      <c r="D3" s="161">
        <v>0</v>
      </c>
    </row>
    <row r="4" spans="1:16" x14ac:dyDescent="0.25">
      <c r="A4" s="153">
        <v>44458</v>
      </c>
      <c r="B4" s="161">
        <v>6</v>
      </c>
      <c r="C4" s="161">
        <v>5</v>
      </c>
      <c r="D4" s="161">
        <v>6</v>
      </c>
      <c r="P4" s="148"/>
    </row>
    <row r="5" spans="1:16" x14ac:dyDescent="0.25">
      <c r="A5" s="153">
        <v>44465</v>
      </c>
      <c r="B5" s="161">
        <v>13</v>
      </c>
      <c r="C5" s="161">
        <v>18</v>
      </c>
      <c r="D5" s="161">
        <v>16</v>
      </c>
      <c r="P5" s="148"/>
    </row>
    <row r="6" spans="1:16" x14ac:dyDescent="0.25">
      <c r="A6" s="153">
        <v>44472</v>
      </c>
      <c r="B6" s="161">
        <v>26</v>
      </c>
      <c r="C6" s="161">
        <v>35</v>
      </c>
      <c r="D6" s="161">
        <v>34</v>
      </c>
    </row>
    <row r="7" spans="1:16" x14ac:dyDescent="0.25">
      <c r="A7" s="153">
        <v>44479</v>
      </c>
      <c r="B7" s="161">
        <v>40</v>
      </c>
      <c r="C7" s="161">
        <v>58</v>
      </c>
      <c r="D7" s="161">
        <v>49</v>
      </c>
    </row>
    <row r="8" spans="1:16" x14ac:dyDescent="0.25">
      <c r="A8" s="153">
        <v>44486</v>
      </c>
      <c r="B8" s="161">
        <v>55</v>
      </c>
      <c r="C8" s="161">
        <v>73</v>
      </c>
      <c r="D8" s="161">
        <v>60</v>
      </c>
    </row>
    <row r="9" spans="1:16" x14ac:dyDescent="0.25">
      <c r="A9" s="153">
        <v>44493</v>
      </c>
      <c r="B9" s="161">
        <v>70</v>
      </c>
      <c r="C9" s="161">
        <v>82</v>
      </c>
      <c r="D9" s="161">
        <v>73</v>
      </c>
    </row>
    <row r="10" spans="1:16" x14ac:dyDescent="0.25">
      <c r="A10" s="153">
        <v>44500</v>
      </c>
      <c r="B10" s="161">
        <v>81</v>
      </c>
      <c r="C10" s="161">
        <v>86</v>
      </c>
      <c r="D10" s="161">
        <v>79</v>
      </c>
    </row>
    <row r="11" spans="1:16" x14ac:dyDescent="0.25">
      <c r="A11" s="153">
        <v>44507</v>
      </c>
      <c r="B11" s="161">
        <v>88</v>
      </c>
      <c r="C11" s="161">
        <v>91</v>
      </c>
      <c r="D11" s="161">
        <v>87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9711008381A4489560F302ED63725A" ma:contentTypeVersion="11" ma:contentTypeDescription="Create a new document." ma:contentTypeScope="" ma:versionID="887cff17742744b02a1c83dd32c3b354">
  <xsd:schema xmlns:xsd="http://www.w3.org/2001/XMLSchema" xmlns:xs="http://www.w3.org/2001/XMLSchema" xmlns:p="http://schemas.microsoft.com/office/2006/metadata/properties" xmlns:ns3="642c2d5b-b5cd-4c4f-95a0-231891633038" xmlns:ns4="9d29759f-fdc3-4b89-93e8-7a818e788e93" targetNamespace="http://schemas.microsoft.com/office/2006/metadata/properties" ma:root="true" ma:fieldsID="eca4ca4c91a3a67dac508b2f26fcc458" ns3:_="" ns4:_="">
    <xsd:import namespace="642c2d5b-b5cd-4c4f-95a0-231891633038"/>
    <xsd:import namespace="9d29759f-fdc3-4b89-93e8-7a818e788e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2d5b-b5cd-4c4f-95a0-231891633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9759f-fdc3-4b89-93e8-7a818e788e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F9FD27-698A-4259-BC06-6D4A65A05AE8}">
  <ds:schemaRefs>
    <ds:schemaRef ds:uri="http://www.w3.org/XML/1998/namespace"/>
    <ds:schemaRef ds:uri="http://purl.org/dc/terms/"/>
    <ds:schemaRef ds:uri="642c2d5b-b5cd-4c4f-95a0-231891633038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d29759f-fdc3-4b89-93e8-7a818e788e9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D11575-6B8F-46EE-93E0-60356AADF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2d5b-b5cd-4c4f-95a0-231891633038"/>
    <ds:schemaRef ds:uri="9d29759f-fdc3-4b89-93e8-7a818e788e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Ates, Aaron - REE-ERS, Kansas City, MO</cp:lastModifiedBy>
  <cp:lastPrinted>2014-11-10T20:35:48Z</cp:lastPrinted>
  <dcterms:created xsi:type="dcterms:W3CDTF">2001-11-13T16:22:15Z</dcterms:created>
  <dcterms:modified xsi:type="dcterms:W3CDTF">2021-11-10T19:54:13Z</dcterms:modified>
  <cp:category>Oilseeds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0x010100509711008381A4489560F302ED63725A</vt:lpwstr>
  </property>
</Properties>
</file>