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5EB2D19F-0FF1-45C9-A416-31BC4CCE6015}" xr6:coauthVersionLast="45" xr6:coauthVersionMax="45" xr10:uidLastSave="{00000000-0000-0000-0000-000000000000}"/>
  <bookViews>
    <workbookView xWindow="7190" yWindow="850" windowWidth="11990" windowHeight="9350" tabRatio="633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1'!$A$1:$N$48</definedName>
    <definedName name="_xlnm.Print_Area" localSheetId="7">'Table 10'!$A$1:$G$45</definedName>
    <definedName name="_xlnm.Print_Area" localSheetId="2">'Table 2'!$A$1:$J$37</definedName>
    <definedName name="_xlnm.Print_Area" localSheetId="3">'Table 3'!$A$1:$M$52</definedName>
    <definedName name="_xlnm.Print_Area" localSheetId="5">'Table 8'!$A$1:$G$43</definedName>
    <definedName name="_xlnm.Print_Area" localSheetId="6">'Table 9'!$A$1:$I$45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D34" i="2"/>
  <c r="J35" i="9"/>
  <c r="D35" i="9"/>
  <c r="L43" i="1"/>
  <c r="G43" i="1"/>
  <c r="J43" i="1" l="1"/>
  <c r="L35" i="9" l="1"/>
  <c r="J34" i="2"/>
  <c r="C34" i="2"/>
  <c r="M44" i="1" l="1"/>
  <c r="L44" i="1"/>
  <c r="K44" i="1"/>
  <c r="J44" i="1"/>
  <c r="G44" i="1"/>
  <c r="F44" i="1"/>
  <c r="H35" i="2"/>
  <c r="D35" i="2"/>
  <c r="C35" i="2"/>
  <c r="E34" i="2"/>
  <c r="I34" i="2" s="1"/>
  <c r="B34" i="2"/>
  <c r="J36" i="9"/>
  <c r="I36" i="9"/>
  <c r="H36" i="9"/>
  <c r="D36" i="9"/>
  <c r="C36" i="9"/>
  <c r="I34" i="9"/>
  <c r="E35" i="9"/>
  <c r="K35" i="9" s="1"/>
  <c r="G35" i="9" s="1"/>
  <c r="G36" i="9" s="1"/>
  <c r="B35" i="9"/>
  <c r="K36" i="9" l="1"/>
  <c r="G34" i="2"/>
  <c r="G35" i="2" s="1"/>
  <c r="I35" i="2"/>
  <c r="D34" i="9" l="1"/>
  <c r="J34" i="9"/>
  <c r="H33" i="2" l="1"/>
  <c r="D33" i="2"/>
  <c r="L41" i="1"/>
  <c r="G41" i="1"/>
  <c r="J41" i="1" l="1"/>
  <c r="L34" i="9"/>
  <c r="C33" i="2"/>
  <c r="J33" i="2"/>
  <c r="G40" i="1" l="1"/>
  <c r="E42" i="1"/>
  <c r="H32" i="2"/>
  <c r="D32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D29" i="9"/>
  <c r="D28" i="9"/>
  <c r="D27" i="9"/>
  <c r="D23" i="9"/>
  <c r="D22" i="9"/>
  <c r="D21" i="9"/>
  <c r="D20" i="9"/>
  <c r="D19" i="9"/>
  <c r="D18" i="9"/>
  <c r="D17" i="9"/>
  <c r="D16" i="9"/>
  <c r="D15" i="9"/>
  <c r="D14" i="9"/>
  <c r="D13" i="9"/>
  <c r="D12" i="9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G35" i="1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G27" i="1" l="1"/>
  <c r="F34" i="1"/>
  <c r="L40" i="1" l="1"/>
  <c r="J33" i="9" l="1"/>
  <c r="D33" i="9"/>
  <c r="L33" i="9" l="1"/>
  <c r="B34" i="9" s="1"/>
  <c r="E34" i="9" s="1"/>
  <c r="K34" i="9" s="1"/>
  <c r="G34" i="9" s="1"/>
  <c r="J32" i="2"/>
  <c r="B33" i="2" s="1"/>
  <c r="E33" i="2" s="1"/>
  <c r="I33" i="2" s="1"/>
  <c r="C32" i="2"/>
  <c r="J40" i="1"/>
  <c r="G33" i="2" l="1"/>
  <c r="E6" i="1"/>
  <c r="D48" i="3" l="1"/>
  <c r="E48" i="3"/>
  <c r="H48" i="3" s="1"/>
  <c r="N48" i="3" s="1"/>
  <c r="L48" i="3" s="1"/>
  <c r="B35" i="3"/>
  <c r="E35" i="3" s="1"/>
  <c r="I35" i="3" s="1"/>
  <c r="G35" i="3" s="1"/>
  <c r="B22" i="3"/>
  <c r="E22" i="3" s="1"/>
  <c r="I22" i="3" s="1"/>
  <c r="G22" i="3" s="1"/>
  <c r="B9" i="3"/>
  <c r="E9" i="3" s="1"/>
  <c r="J9" i="3" s="1"/>
  <c r="I9" i="3" s="1"/>
  <c r="L39" i="1" l="1"/>
  <c r="L42" i="1" s="1"/>
  <c r="J32" i="9"/>
  <c r="D32" i="9"/>
  <c r="H31" i="2"/>
  <c r="D31" i="2"/>
  <c r="G39" i="1" l="1"/>
  <c r="G42" i="1" s="1"/>
  <c r="H42" i="1" l="1"/>
  <c r="M42" i="1" s="1"/>
  <c r="L32" i="9"/>
  <c r="B33" i="9" s="1"/>
  <c r="E33" i="9" s="1"/>
  <c r="K33" i="9" s="1"/>
  <c r="G33" i="9" s="1"/>
  <c r="I33" i="9" s="1"/>
  <c r="J31" i="2"/>
  <c r="B32" i="2" s="1"/>
  <c r="E32" i="2" s="1"/>
  <c r="I32" i="2" s="1"/>
  <c r="G32" i="2" s="1"/>
  <c r="C31" i="2"/>
  <c r="J39" i="1"/>
  <c r="J42" i="1" s="1"/>
  <c r="K42" i="1" l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30" i="2" l="1"/>
  <c r="B31" i="2" s="1"/>
  <c r="E31" i="2" s="1"/>
  <c r="I31" i="2" s="1"/>
  <c r="G31" i="2" s="1"/>
  <c r="C30" i="2"/>
  <c r="L31" i="9"/>
  <c r="B32" i="9" s="1"/>
  <c r="E32" i="9" s="1"/>
  <c r="K32" i="9" s="1"/>
  <c r="G32" i="9" s="1"/>
  <c r="I32" i="9" s="1"/>
  <c r="J37" i="1"/>
  <c r="L37" i="1" l="1"/>
  <c r="G37" i="1"/>
  <c r="H30" i="2" l="1"/>
  <c r="D30" i="2"/>
  <c r="J31" i="9"/>
  <c r="D31" i="9"/>
  <c r="E38" i="1" l="1"/>
  <c r="J30" i="9" l="1"/>
  <c r="D30" i="9"/>
  <c r="H29" i="2"/>
  <c r="D29" i="2"/>
  <c r="L36" i="1"/>
  <c r="G36" i="1"/>
  <c r="L27" i="9" l="1"/>
  <c r="L22" i="9"/>
  <c r="C26" i="2"/>
  <c r="C21" i="2"/>
  <c r="J32" i="1"/>
  <c r="J26" i="1"/>
  <c r="L30" i="9" l="1"/>
  <c r="B31" i="9" s="1"/>
  <c r="E31" i="9" s="1"/>
  <c r="K31" i="9" s="1"/>
  <c r="G31" i="9" s="1"/>
  <c r="I31" i="9" s="1"/>
  <c r="L29" i="9"/>
  <c r="J29" i="2"/>
  <c r="B30" i="2" s="1"/>
  <c r="E30" i="2" s="1"/>
  <c r="I30" i="2" s="1"/>
  <c r="G30" i="2" s="1"/>
  <c r="C29" i="2"/>
  <c r="J36" i="1"/>
  <c r="B30" i="9" l="1"/>
  <c r="E30" i="9" s="1"/>
  <c r="K30" i="9" s="1"/>
  <c r="G30" i="9" l="1"/>
  <c r="I30" i="9" s="1"/>
  <c r="B52" i="3"/>
  <c r="J29" i="9" l="1"/>
  <c r="L38" i="1"/>
  <c r="G38" i="1"/>
  <c r="H38" i="1" s="1"/>
  <c r="M38" i="1" s="1"/>
  <c r="J35" i="1" l="1"/>
  <c r="J38" i="1" s="1"/>
  <c r="J28" i="2"/>
  <c r="B29" i="2" s="1"/>
  <c r="E29" i="2" s="1"/>
  <c r="I29" i="2" s="1"/>
  <c r="G29" i="2" s="1"/>
  <c r="C28" i="2"/>
  <c r="K38" i="1" l="1"/>
  <c r="J28" i="9" l="1"/>
  <c r="G35" i="6" l="1"/>
  <c r="J27" i="2" l="1"/>
  <c r="B28" i="2" s="1"/>
  <c r="E28" i="2" s="1"/>
  <c r="I28" i="2" s="1"/>
  <c r="G28" i="2" s="1"/>
  <c r="J26" i="2"/>
  <c r="C27" i="2"/>
  <c r="J33" i="1"/>
  <c r="L28" i="9"/>
  <c r="B29" i="9" s="1"/>
  <c r="E29" i="9" s="1"/>
  <c r="K29" i="9" s="1"/>
  <c r="G29" i="9" s="1"/>
  <c r="I29" i="9" s="1"/>
  <c r="B27" i="2"/>
  <c r="E27" i="2" s="1"/>
  <c r="E34" i="1"/>
  <c r="I27" i="2" l="1"/>
  <c r="G27" i="2" s="1"/>
  <c r="J27" i="9"/>
  <c r="B28" i="9" l="1"/>
  <c r="E28" i="9" s="1"/>
  <c r="K28" i="9" s="1"/>
  <c r="G28" i="9" s="1"/>
  <c r="I28" i="9" s="1"/>
  <c r="L23" i="9"/>
  <c r="B11" i="2"/>
  <c r="B12" i="9"/>
  <c r="J23" i="9" l="1"/>
  <c r="L34" i="1"/>
  <c r="G34" i="1"/>
  <c r="H44" i="1" s="1"/>
  <c r="B27" i="9" l="1"/>
  <c r="B23" i="9"/>
  <c r="E23" i="9" s="1"/>
  <c r="J22" i="9"/>
  <c r="J22" i="2"/>
  <c r="B26" i="2" s="1"/>
  <c r="J21" i="2"/>
  <c r="C22" i="2"/>
  <c r="B22" i="2"/>
  <c r="C24" i="9"/>
  <c r="H24" i="9"/>
  <c r="H7" i="9" s="1"/>
  <c r="J31" i="1"/>
  <c r="J34" i="1" s="1"/>
  <c r="F7" i="1"/>
  <c r="D7" i="1" s="1"/>
  <c r="H34" i="1"/>
  <c r="E22" i="2" l="1"/>
  <c r="I22" i="2" s="1"/>
  <c r="G22" i="2" s="1"/>
  <c r="C7" i="9"/>
  <c r="E27" i="9"/>
  <c r="K27" i="9" s="1"/>
  <c r="E36" i="9"/>
  <c r="M34" i="1"/>
  <c r="E26" i="2"/>
  <c r="I26" i="2" s="1"/>
  <c r="E35" i="2"/>
  <c r="G26" i="2"/>
  <c r="J6" i="2"/>
  <c r="B7" i="2" s="1"/>
  <c r="L7" i="9"/>
  <c r="K23" i="9"/>
  <c r="G23" i="9" s="1"/>
  <c r="I23" i="9" s="1"/>
  <c r="B49" i="1"/>
  <c r="K34" i="1" l="1"/>
  <c r="G27" i="9"/>
  <c r="I27" i="9" l="1"/>
  <c r="J20" i="2"/>
  <c r="C20" i="2"/>
  <c r="J25" i="1"/>
  <c r="L21" i="9"/>
  <c r="N6" i="1" l="1"/>
  <c r="E27" i="1" l="1"/>
  <c r="B22" i="9" l="1"/>
  <c r="E22" i="9" s="1"/>
  <c r="K22" i="9" s="1"/>
  <c r="B21" i="2"/>
  <c r="F28" i="1"/>
  <c r="F6" i="1" l="1"/>
  <c r="E21" i="2"/>
  <c r="I21" i="2" s="1"/>
  <c r="G21" i="2" s="1"/>
  <c r="G22" i="9"/>
  <c r="I22" i="9" s="1"/>
  <c r="J21" i="9" l="1"/>
  <c r="L20" i="9"/>
  <c r="B21" i="9" s="1"/>
  <c r="E21" i="9" l="1"/>
  <c r="K21" i="9" s="1"/>
  <c r="G21" i="9" s="1"/>
  <c r="K46" i="3"/>
  <c r="I21" i="9" l="1"/>
  <c r="J20" i="9"/>
  <c r="L27" i="1"/>
  <c r="H27" i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J14" i="9"/>
  <c r="J13" i="9"/>
  <c r="J12" i="9"/>
  <c r="I18" i="2" l="1"/>
  <c r="G18" i="2" s="1"/>
  <c r="C16" i="2"/>
  <c r="J16" i="2"/>
  <c r="B17" i="2" s="1"/>
  <c r="E47" i="3" l="1"/>
  <c r="H47" i="3" s="1"/>
  <c r="N47" i="3" s="1"/>
  <c r="L47" i="3" s="1"/>
  <c r="H46" i="3"/>
  <c r="N46" i="3" s="1"/>
  <c r="L46" i="3" s="1"/>
  <c r="D47" i="3"/>
  <c r="D46" i="3"/>
  <c r="B34" i="3"/>
  <c r="E34" i="3" s="1"/>
  <c r="I34" i="3" s="1"/>
  <c r="G34" i="3" s="1"/>
  <c r="E33" i="3"/>
  <c r="I33" i="3" s="1"/>
  <c r="G33" i="3" s="1"/>
  <c r="B21" i="3"/>
  <c r="E21" i="3" s="1"/>
  <c r="I21" i="3" s="1"/>
  <c r="G21" i="3" s="1"/>
  <c r="E20" i="3"/>
  <c r="I20" i="3" s="1"/>
  <c r="G20" i="3" s="1"/>
  <c r="B8" i="3"/>
  <c r="E8" i="3" s="1"/>
  <c r="J8" i="3" s="1"/>
  <c r="I8" i="3" s="1"/>
  <c r="E7" i="3"/>
  <c r="J7" i="3" s="1"/>
  <c r="I7" i="3" s="1"/>
  <c r="B18" i="9" l="1"/>
  <c r="J17" i="9"/>
  <c r="J18" i="9"/>
  <c r="L23" i="1"/>
  <c r="G23" i="1"/>
  <c r="H23" i="1" s="1"/>
  <c r="M23" i="1" s="1"/>
  <c r="K23" i="1" s="1"/>
  <c r="E17" i="2"/>
  <c r="I17" i="2" s="1"/>
  <c r="G17" i="2" s="1"/>
  <c r="E18" i="9" l="1"/>
  <c r="K18" i="9" s="1"/>
  <c r="G18" i="9" s="1"/>
  <c r="B8" i="9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I18" i="9" l="1"/>
  <c r="J16" i="9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23" i="2"/>
  <c r="D6" i="2" s="1"/>
  <c r="H23" i="2"/>
  <c r="H6" i="2" s="1"/>
  <c r="J15" i="9"/>
  <c r="J24" i="9" s="1"/>
  <c r="J7" i="9" s="1"/>
  <c r="D24" i="9"/>
  <c r="L19" i="1"/>
  <c r="D7" i="9" l="1"/>
  <c r="E7" i="9" s="1"/>
  <c r="K7" i="9" s="1"/>
  <c r="G7" i="9" s="1"/>
  <c r="I7" i="9" s="1"/>
  <c r="E24" i="9"/>
  <c r="J12" i="1"/>
  <c r="G19" i="1" l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l="1"/>
  <c r="C6" i="2" s="1"/>
  <c r="E6" i="2" s="1"/>
  <c r="I6" i="2" s="1"/>
  <c r="G6" i="2" s="1"/>
  <c r="B13" i="9"/>
  <c r="E13" i="9" s="1"/>
  <c r="K13" i="9" s="1"/>
  <c r="G13" i="9" s="1"/>
  <c r="I13" i="9" s="1"/>
  <c r="B12" i="2"/>
  <c r="E12" i="2" s="1"/>
  <c r="I12" i="2" s="1"/>
  <c r="G12" i="2" s="1"/>
  <c r="J15" i="1"/>
  <c r="L15" i="1"/>
  <c r="G15" i="1"/>
  <c r="G28" i="1" s="1"/>
  <c r="H28" i="1" s="1"/>
  <c r="L28" i="1" l="1"/>
  <c r="L6" i="1" s="1"/>
  <c r="J28" i="1"/>
  <c r="J6" i="1" s="1"/>
  <c r="G6" i="1"/>
  <c r="H6" i="1" s="1"/>
  <c r="M6" i="1" s="1"/>
  <c r="E11" i="2"/>
  <c r="H15" i="1"/>
  <c r="B47" i="6"/>
  <c r="B46" i="5"/>
  <c r="B46" i="4"/>
  <c r="B39" i="9"/>
  <c r="B38" i="2"/>
  <c r="A5" i="10"/>
  <c r="K6" i="1" l="1"/>
  <c r="M15" i="1"/>
  <c r="M28" i="1" s="1"/>
  <c r="I11" i="2"/>
  <c r="I23" i="2" s="1"/>
  <c r="E23" i="2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<sst xmlns="http://schemas.openxmlformats.org/spreadsheetml/2006/main" count="573" uniqueCount="191">
  <si>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</si>
  <si>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</si>
  <si>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</si>
  <si>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</si>
  <si>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</si>
  <si>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</si>
  <si>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</si>
  <si>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</si>
  <si>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</si>
  <si>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</si>
  <si>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</si>
  <si>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</si>
  <si>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</si>
  <si>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</si>
  <si>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</si>
  <si>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</si>
  <si>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</si>
  <si>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</si>
  <si>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</si>
  <si>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</si>
  <si>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</si>
  <si>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</si>
  <si>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</si>
  <si>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</si>
  <si>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</si>
  <si>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</si>
  <si>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</si>
  <si>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</si>
  <si>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</si>
  <si>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</si>
  <si>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</si>
  <si>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</si>
  <si>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</si>
  <si>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</si>
  <si>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</si>
  <si>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</si>
  <si>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</si>
  <si>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</si>
  <si>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</si>
  <si>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</si>
  <si>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</si>
  <si>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</si>
  <si>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</si>
  <si>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</si>
  <si>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</si>
  <si>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</si>
  <si>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</si>
  <si>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</si>
  <si>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</si>
  <si>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</si>
  <si>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</si>
  <si>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</si>
  <si>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</si>
  <si>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</si>
  <si>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</si>
  <si>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</si>
  <si>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</si>
  <si>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</si>
  <si>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</si>
  <si>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</si>
  <si>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</si>
  <si>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</si>
  <si>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</si>
  <si>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</si>
  <si>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</si>
  <si>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</si>
  <si>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</si>
  <si>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</si>
  <si>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</si>
  <si>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</si>
  <si>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</si>
  <si>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</si>
  <si>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</si>
  <si>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</si>
  <si>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</si>
  <si>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</si>
  <si>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</si>
  <si>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</si>
  <si>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</si>
  <si>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</si>
  <si>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</si>
  <si>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</si>
  <si>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</si>
  <si>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</si>
  <si>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</si>
  <si>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</si>
  <si>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</si>
  <si>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</si>
  <si>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</si>
  <si>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</si>
  <si>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</si>
  <si>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</si>
  <si>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</si>
  <si>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</si>
  <si>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</si>
  <si>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</si>
  <si>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</si>
  <si>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</si>
  <si>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</si>
  <si>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</si>
  <si>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</si>
  <si>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</si>
  <si>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</si>
  <si>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</si>
  <si>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</si>
  <si>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</si>
  <si>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</si>
  <si>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</si>
  <si>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</si>
  <si>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</si>
  <si>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</si>
  <si>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</si>
  <si>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</si>
  <si>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</si>
  <si>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</si>
  <si>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</si>
  <si>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</si>
  <si>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</si>
  <si>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</si>
  <si>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</si>
  <si>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</si>
  <si>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</si>
  <si>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</si>
  <si>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</si>
  <si>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</si>
  <si>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</si>
  <si>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</si>
  <si>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</si>
  <si>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</si>
  <si>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</si>
  <si>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</si>
  <si>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</si>
  <si>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</si>
  <si>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</si>
  <si>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</si>
  <si>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</si>
  <si>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</si>
  <si>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</si>
  <si>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</si>
  <si>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</si>
  <si>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</si>
  <si>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</si>
  <si>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</si>
  <si>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</si>
  <si>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</si>
  <si>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</si>
  <si>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</si>
  <si>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</si>
  <si>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</si>
  <si>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</si>
  <si>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</si>
  <si>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</si>
  <si>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</si>
  <si>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</si>
  <si>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</si>
  <si>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</si>
  <si>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</si>
  <si>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</si>
  <si>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</si>
  <si>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</si>
  <si>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t>Million metric tons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</si>
  <si>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</si>
  <si>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</si>
  <si>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</si>
  <si>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</si>
  <si>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</si>
  <si>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</si>
  <si>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</si>
  <si>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</si>
  <si>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</si>
  <si>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</si>
  <si>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Brazil</t>
  </si>
  <si>
    <t>U.S.</t>
  </si>
  <si>
    <t>Argentina</t>
  </si>
  <si>
    <t>exports</t>
  </si>
  <si>
    <t>2020/21</t>
  </si>
  <si>
    <t>2019/20 price</t>
  </si>
  <si>
    <t>Soybean oil</t>
  </si>
  <si>
    <t>use for biodiesel</t>
  </si>
  <si>
    <t>soybean yield</t>
  </si>
  <si>
    <t xml:space="preserve">U.S. average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</si>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</sst>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  <numFmt numFmtId="177" formatCode="#,##0.0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1" fontId="13" fillId="0" borderId="0" xfId="1" applyNumberFormat="1" applyFont="1" applyBorder="1" applyAlignment="1">
      <alignment horizontal="left" indent="1"/>
    </xf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left" indent="1"/>
    </xf>
    <xf numFmtId="172" fontId="1" fillId="0" borderId="0" xfId="0" quotePrefix="1" applyNumberFormat="1" applyFont="1"/>
    <xf numFmtId="171" fontId="0" fillId="0" borderId="0" xfId="1" applyNumberFormat="1" applyFont="1"/>
    <xf numFmtId="3" fontId="5" fillId="0" borderId="0" xfId="0" applyNumberFormat="1" applyFont="1"/>
    <xf numFmtId="9" fontId="13" fillId="0" borderId="0" xfId="12" applyFont="1"/>
    <xf numFmtId="177" fontId="5" fillId="0" borderId="0" xfId="0" applyNumberFormat="1" applyFont="1"/>
    <xf numFmtId="171" fontId="5" fillId="0" borderId="0" xfId="0" applyNumberFormat="1" applyFont="1"/>
    <xf numFmtId="164" fontId="1" fillId="0" borderId="0" xfId="1" applyNumberFormat="1" applyFont="1" applyProtection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0000FF"/>
      <color rgb="FF0066FF"/>
      <color rgb="FFFFCF01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Soybean yields poised to mark a record high</a:t>
            </a:r>
          </a:p>
        </c:rich>
      </c:tx>
      <c:layout>
        <c:manualLayout>
          <c:xMode val="edge"/>
          <c:yMode val="edge"/>
          <c:x val="6.6635204253314484E-2"/>
          <c:y val="4.44760126633655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245133420822396"/>
          <c:w val="0.72607747510518172"/>
          <c:h val="0.6557910876144708"/>
        </c:manualLayout>
      </c:layout>
      <c:lineChart>
        <c:grouping val="standard"/>
        <c:varyColors val="0"/>
        <c:ser>
          <c:idx val="0"/>
          <c:order val="0"/>
          <c:tx>
            <c:strRef>
              <c:f>Cover!$B$3</c:f>
              <c:strCache>
                <c:ptCount val="1"/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Cover!$A$4:$A$24</c:f>
              <c:strCache>
                <c:ptCount val="21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  <c:pt idx="8">
                  <c:v>2008/09</c:v>
                </c:pt>
                <c:pt idx="9">
                  <c:v>2009/10</c:v>
                </c:pt>
                <c:pt idx="10">
                  <c:v>2010/11</c:v>
                </c:pt>
                <c:pt idx="11">
                  <c:v>2011/12</c:v>
                </c:pt>
                <c:pt idx="12">
                  <c:v>2012/13</c:v>
                </c:pt>
                <c:pt idx="13">
                  <c:v>2013/14</c:v>
                </c:pt>
                <c:pt idx="14">
                  <c:v>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</c:strCache>
            </c:strRef>
          </c:cat>
          <c:val>
            <c:numRef>
              <c:f>Cover!$B$4:$B$24</c:f>
              <c:numCache>
                <c:formatCode>#,##0.0</c:formatCode>
                <c:ptCount val="21"/>
                <c:pt idx="0">
                  <c:v>38.087089824328807</c:v>
                </c:pt>
                <c:pt idx="1">
                  <c:v>39.61194929770469</c:v>
                </c:pt>
                <c:pt idx="2">
                  <c:v>38.017393823192684</c:v>
                </c:pt>
                <c:pt idx="3">
                  <c:v>33.857345880015451</c:v>
                </c:pt>
                <c:pt idx="4">
                  <c:v>42.237350928905592</c:v>
                </c:pt>
                <c:pt idx="5">
                  <c:v>43.06384471796887</c:v>
                </c:pt>
                <c:pt idx="6">
                  <c:v>42.850406155330958</c:v>
                </c:pt>
                <c:pt idx="7">
                  <c:v>41.734745736289092</c:v>
                </c:pt>
                <c:pt idx="8">
                  <c:v>39.729074329481392</c:v>
                </c:pt>
                <c:pt idx="9">
                  <c:v>44.007371811658722</c:v>
                </c:pt>
                <c:pt idx="10">
                  <c:v>43.483957707871035</c:v>
                </c:pt>
                <c:pt idx="11">
                  <c:v>41.980847430058553</c:v>
                </c:pt>
                <c:pt idx="12">
                  <c:v>39.951197730615675</c:v>
                </c:pt>
                <c:pt idx="13">
                  <c:v>44.036099851770231</c:v>
                </c:pt>
                <c:pt idx="14">
                  <c:v>47.548994685937707</c:v>
                </c:pt>
                <c:pt idx="15">
                  <c:v>48.038694918157127</c:v>
                </c:pt>
                <c:pt idx="16">
                  <c:v>51.949024254588544</c:v>
                </c:pt>
                <c:pt idx="17">
                  <c:v>49.268868240602174</c:v>
                </c:pt>
                <c:pt idx="18">
                  <c:v>50.553120076717583</c:v>
                </c:pt>
                <c:pt idx="19">
                  <c:v>47.394177529319158</c:v>
                </c:pt>
                <c:pt idx="20">
                  <c:v>53.298000481811613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C-4891-A420-3E31FF699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</a:t>
                </a:r>
                <a:r>
                  <a:rPr lang="en-US" sz="800" i="0"/>
                  <a:t>National Agricultural Statistics Service</a:t>
                </a:r>
                <a:r>
                  <a:rPr lang="en-US" sz="800" i="1"/>
                  <a:t>, Crop</a:t>
                </a:r>
                <a:r>
                  <a:rPr lang="en-US" sz="800" i="1" baseline="0"/>
                  <a:t> P</a:t>
                </a:r>
                <a:r>
                  <a:rPr lang="en-US" sz="800" i="1"/>
                  <a:t>roduction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7.764435671049344E-2"/>
              <c:y val="0.9152244631620362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300"/>
        <c:baseTimeUnit val="months"/>
        <c:majorTimeUnit val="months"/>
        <c:minorTimeUnit val="months"/>
      </c:dateAx>
      <c:valAx>
        <c:axId val="-494674736"/>
        <c:scaling>
          <c:orientation val="minMax"/>
          <c:max val="60"/>
          <c:min val="3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Bushels/acre</a:t>
                </a:r>
              </a:p>
            </c:rich>
          </c:tx>
          <c:layout>
            <c:manualLayout>
              <c:xMode val="edge"/>
              <c:yMode val="edge"/>
              <c:x val="6.7312235009085397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Improved use of </a:t>
            </a:r>
            <a:r>
              <a:rPr lang="en-US" sz="1050" b="1" baseline="0"/>
              <a:t>soybean oil for biodiesel aids 2019/20 price recovery</a:t>
            </a:r>
            <a:endParaRPr lang="en-US" sz="1050" b="1"/>
          </a:p>
        </c:rich>
      </c:tx>
      <c:layout>
        <c:manualLayout>
          <c:xMode val="edge"/>
          <c:yMode val="edge"/>
          <c:x val="4.3130930749040987E-2"/>
          <c:y val="4.1039586546527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93240793354439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'Oil Crops Chart Gallery Fig 1'!$C$3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1'!$A$5:$A$16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'Oil Crops Chart Gallery Fig 1'!$C$5:$C$16</c:f>
              <c:numCache>
                <c:formatCode>#,##0.0</c:formatCode>
                <c:ptCount val="12"/>
                <c:pt idx="0">
                  <c:v>698.88</c:v>
                </c:pt>
                <c:pt idx="1">
                  <c:v>703.79</c:v>
                </c:pt>
                <c:pt idx="2">
                  <c:v>767.76</c:v>
                </c:pt>
                <c:pt idx="3">
                  <c:v>622.80999999999995</c:v>
                </c:pt>
                <c:pt idx="4">
                  <c:v>559.57000000000005</c:v>
                </c:pt>
                <c:pt idx="5">
                  <c:v>617.01</c:v>
                </c:pt>
                <c:pt idx="6">
                  <c:v>631.84</c:v>
                </c:pt>
                <c:pt idx="7">
                  <c:v>659.05</c:v>
                </c:pt>
                <c:pt idx="8">
                  <c:v>594.15</c:v>
                </c:pt>
                <c:pt idx="9">
                  <c:v>708.5</c:v>
                </c:pt>
                <c:pt idx="10">
                  <c:v>701.14</c:v>
                </c:pt>
                <c:pt idx="11">
                  <c:v>598.79999999999995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1-4449-BE9C-F4FF33D3FC11}"/>
            </c:ext>
          </c:extLst>
        </c:ser>
        <c:ser>
          <c:idx val="5"/>
          <c:order val="2"/>
          <c:tx>
            <c:strRef>
              <c:f>'Oil Crops Chart Gallery Fig 1'!$D$3</c:f>
              <c:strCache>
                <c:ptCount val="1"/>
                <c:pt idx="0">
                  <c:v>2019/20</c:v>
                </c:pt>
              </c:strCache>
            </c:strRef>
          </c:tx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1'!$A$5:$A$16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'Oil Crops Chart Gallery Fig 1'!$D$5:$D$16</c:f>
              <c:numCache>
                <c:formatCode>#,##0.0</c:formatCode>
                <c:ptCount val="12"/>
                <c:pt idx="0">
                  <c:v>557.52</c:v>
                </c:pt>
                <c:pt idx="1">
                  <c:v>526.53</c:v>
                </c:pt>
                <c:pt idx="2">
                  <c:v>541.04999999999995</c:v>
                </c:pt>
                <c:pt idx="3">
                  <c:v>520.94000000000005</c:v>
                </c:pt>
                <c:pt idx="4">
                  <c:v>574.78</c:v>
                </c:pt>
                <c:pt idx="5">
                  <c:v>656.02</c:v>
                </c:pt>
                <c:pt idx="6">
                  <c:v>671.81</c:v>
                </c:pt>
                <c:pt idx="7">
                  <c:v>777.68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1-4449-BE9C-F4FF33D3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lineChart>
        <c:grouping val="standard"/>
        <c:varyColors val="0"/>
        <c:ser>
          <c:idx val="2"/>
          <c:order val="0"/>
          <c:tx>
            <c:strRef>
              <c:f>'Oil Crops Chart Gallery Fig 1'!$B$3</c:f>
              <c:strCache>
                <c:ptCount val="1"/>
                <c:pt idx="0">
                  <c:v>2019/20 price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'Oil Crops Chart Gallery Fig 1'!$A$5:$A$16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'Oil Crops Chart Gallery Fig 1'!$B$5:$B$16</c:f>
              <c:numCache>
                <c:formatCode>#,##0.0</c:formatCode>
                <c:ptCount val="12"/>
                <c:pt idx="0">
                  <c:v>30.14</c:v>
                </c:pt>
                <c:pt idx="1">
                  <c:v>30.62</c:v>
                </c:pt>
                <c:pt idx="2">
                  <c:v>32.270000000000003</c:v>
                </c:pt>
                <c:pt idx="3">
                  <c:v>33.04</c:v>
                </c:pt>
                <c:pt idx="4">
                  <c:v>30.26</c:v>
                </c:pt>
                <c:pt idx="5">
                  <c:v>27.04</c:v>
                </c:pt>
                <c:pt idx="6">
                  <c:v>25.69</c:v>
                </c:pt>
                <c:pt idx="7">
                  <c:v>25.27</c:v>
                </c:pt>
                <c:pt idx="8">
                  <c:v>26.61</c:v>
                </c:pt>
                <c:pt idx="9">
                  <c:v>28.71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1-4449-BE9C-F4FF33D3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79584"/>
        <c:axId val="1166212080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</a:t>
                </a:r>
                <a:r>
                  <a:rPr lang="en-US" sz="800" i="0"/>
                  <a:t>Agricultural Marketing Service</a:t>
                </a:r>
                <a:r>
                  <a:rPr lang="en-US" sz="800" i="1"/>
                  <a:t>, Central Illinois Soybean Processor report, </a:t>
                </a:r>
                <a:r>
                  <a:rPr lang="en-US" sz="800" i="0"/>
                  <a:t>and</a:t>
                </a:r>
                <a:r>
                  <a:rPr lang="en-US" sz="800" i="0" baseline="0"/>
                  <a:t> </a:t>
                </a:r>
                <a:r>
                  <a:rPr lang="en-US" sz="800" i="0"/>
                  <a:t>Department of Energy, Energy Information</a:t>
                </a:r>
                <a:r>
                  <a:rPr lang="en-US" sz="800" i="0" baseline="0"/>
                  <a:t> Administration</a:t>
                </a:r>
                <a:r>
                  <a:rPr lang="en-US" sz="800" b="0" i="0" u="none" strike="noStrike" baseline="0">
                    <a:effectLst/>
                  </a:rPr>
                  <a:t>, </a:t>
                </a:r>
                <a:r>
                  <a:rPr lang="en-US" sz="800" b="0" i="1" u="none" strike="noStrike" baseline="0">
                    <a:effectLst/>
                  </a:rPr>
                  <a:t>Biodiesel Bulletin.</a:t>
                </a:r>
              </a:p>
            </c:rich>
          </c:tx>
          <c:layout>
            <c:manualLayout>
              <c:xMode val="edge"/>
              <c:yMode val="edge"/>
              <c:x val="7.764435671049344E-2"/>
              <c:y val="0.9152244631620362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4.5944713641564036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"/>
        <c:minorUnit val="50"/>
      </c:valAx>
      <c:valAx>
        <c:axId val="1166212080"/>
        <c:scaling>
          <c:orientation val="minMax"/>
          <c:min val="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Cents/pound</a:t>
                </a:r>
              </a:p>
            </c:rich>
          </c:tx>
          <c:layout>
            <c:manualLayout>
              <c:xMode val="edge"/>
              <c:yMode val="edge"/>
              <c:x val="0.75688337034793729"/>
              <c:y val="0.1247024920853965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178279584"/>
        <c:crosses val="max"/>
        <c:crossBetween val="between"/>
      </c:valAx>
      <c:catAx>
        <c:axId val="1178279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621208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0.67775254054781608"/>
          <c:y val="0.19376843358497714"/>
          <c:w val="0.16232165690827105"/>
          <c:h val="0.156483751386746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Swelling crops, currency depreciation</a:t>
            </a:r>
            <a:r>
              <a:rPr lang="en-US" sz="1050" baseline="0"/>
              <a:t> spur </a:t>
            </a:r>
            <a:r>
              <a:rPr lang="en-US" sz="1050"/>
              <a:t>Brazilian soybean exports past main rivals</a:t>
            </a:r>
          </a:p>
        </c:rich>
      </c:tx>
      <c:layout>
        <c:manualLayout>
          <c:xMode val="edge"/>
          <c:yMode val="edge"/>
          <c:x val="4.0092873006258828E-2"/>
          <c:y val="4.8283053372315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99757722592374E-2"/>
          <c:y val="0.19445886655522021"/>
          <c:w val="0.74789475912285153"/>
          <c:h val="0.66161589696209167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Chart Gallery Fig 2'!$B$1</c:f>
              <c:strCache>
                <c:ptCount val="1"/>
                <c:pt idx="0">
                  <c:v>Brazil</c:v>
                </c:pt>
              </c:strCache>
            </c:strRef>
          </c:tx>
          <c:spPr>
            <a:ln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2'!$B$4:$B$14</c:f>
              <c:numCache>
                <c:formatCode>#,##0.0</c:formatCode>
                <c:ptCount val="11"/>
                <c:pt idx="0">
                  <c:v>29.951000000000001</c:v>
                </c:pt>
                <c:pt idx="1">
                  <c:v>36.256999999999998</c:v>
                </c:pt>
                <c:pt idx="2">
                  <c:v>41.904000000000003</c:v>
                </c:pt>
                <c:pt idx="3">
                  <c:v>46.829000000000001</c:v>
                </c:pt>
                <c:pt idx="4">
                  <c:v>50.612000000000002</c:v>
                </c:pt>
                <c:pt idx="5" formatCode="0.0">
                  <c:v>54.383000000000003</c:v>
                </c:pt>
                <c:pt idx="6" formatCode="0.0">
                  <c:v>63.137</c:v>
                </c:pt>
                <c:pt idx="7" formatCode="0.0">
                  <c:v>76.135999999999996</c:v>
                </c:pt>
                <c:pt idx="8" formatCode="0.0">
                  <c:v>74.593999999999994</c:v>
                </c:pt>
                <c:pt idx="9" formatCode="0.0">
                  <c:v>93.5</c:v>
                </c:pt>
                <c:pt idx="10" formatCode="0.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5-4B58-AAEE-B189C07D7A5A}"/>
            </c:ext>
          </c:extLst>
        </c:ser>
        <c:ser>
          <c:idx val="2"/>
          <c:order val="1"/>
          <c:tx>
            <c:strRef>
              <c:f>'Oil Crops Chart Gallery Fig 2'!$C$1</c:f>
              <c:strCache>
                <c:ptCount val="1"/>
                <c:pt idx="0">
                  <c:v>U.S.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2'!$C$4:$C$14</c:f>
              <c:numCache>
                <c:formatCode>#,##0.0</c:formatCode>
                <c:ptCount val="11"/>
                <c:pt idx="0">
                  <c:v>40.959000000000003</c:v>
                </c:pt>
                <c:pt idx="1">
                  <c:v>37.186</c:v>
                </c:pt>
                <c:pt idx="2">
                  <c:v>36.128999999999998</c:v>
                </c:pt>
                <c:pt idx="3">
                  <c:v>44.594000000000001</c:v>
                </c:pt>
                <c:pt idx="4">
                  <c:v>50.136000000000003</c:v>
                </c:pt>
                <c:pt idx="5" formatCode="0.0">
                  <c:v>52.869</c:v>
                </c:pt>
                <c:pt idx="6" formatCode="0.0">
                  <c:v>58.963999999999999</c:v>
                </c:pt>
                <c:pt idx="7" formatCode="0.0">
                  <c:v>58.070999999999998</c:v>
                </c:pt>
                <c:pt idx="8" formatCode="0.0">
                  <c:v>47.676000000000002</c:v>
                </c:pt>
                <c:pt idx="9" formatCode="0.0">
                  <c:v>44.905999999999999</c:v>
                </c:pt>
                <c:pt idx="10" formatCode="0.0">
                  <c:v>57.832999999999998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5-4B58-AAEE-B189C07D7A5A}"/>
            </c:ext>
          </c:extLst>
        </c:ser>
        <c:ser>
          <c:idx val="3"/>
          <c:order val="2"/>
          <c:tx>
            <c:strRef>
              <c:f>'Oil Crops Chart Gallery Fig 2'!$D$1</c:f>
              <c:strCache>
                <c:ptCount val="1"/>
                <c:pt idx="0">
                  <c:v>Argentina</c:v>
                </c:pt>
              </c:strCache>
            </c:strRef>
          </c:tx>
          <c:spPr>
            <a:ln>
              <a:solidFill>
                <a:srgbClr val="0000FF"/>
              </a:solidFill>
              <a:prstDash val="dash"/>
            </a:ln>
          </c:spPr>
          <c:marker>
            <c:symbol val="none"/>
          </c:marker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2'!$D$4:$D$14</c:f>
              <c:numCache>
                <c:formatCode>#,##0.0</c:formatCode>
                <c:ptCount val="11"/>
                <c:pt idx="0">
                  <c:v>9.2059999999999995</c:v>
                </c:pt>
                <c:pt idx="1">
                  <c:v>7.3680000000000003</c:v>
                </c:pt>
                <c:pt idx="2">
                  <c:v>7.7380000000000004</c:v>
                </c:pt>
                <c:pt idx="3">
                  <c:v>7.8419999999999996</c:v>
                </c:pt>
                <c:pt idx="4">
                  <c:v>10.574999999999999</c:v>
                </c:pt>
                <c:pt idx="5" formatCode="0.0">
                  <c:v>9.9220000000000006</c:v>
                </c:pt>
                <c:pt idx="6" formatCode="0.0">
                  <c:v>7.0250000000000004</c:v>
                </c:pt>
                <c:pt idx="7" formatCode="0.0">
                  <c:v>2.1320000000000001</c:v>
                </c:pt>
                <c:pt idx="8" formatCode="0.0">
                  <c:v>9.1039999999999992</c:v>
                </c:pt>
                <c:pt idx="9" formatCode="0.0">
                  <c:v>9.5</c:v>
                </c:pt>
                <c:pt idx="10" formatCode="0.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5-4B58-AAEE-B189C07D7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92190080"/>
        <c:axId val="-492204224"/>
      </c:lineChart>
      <c:catAx>
        <c:axId val="-4921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USDA,</a:t>
                </a:r>
                <a:r>
                  <a:rPr lang="en-US" baseline="0"/>
                  <a:t> Foreign Agricultural Service, </a:t>
                </a:r>
                <a:r>
                  <a:rPr lang="en-US" i="1" baseline="0"/>
                  <a:t>Oilseeds: World Markets and T</a:t>
                </a:r>
                <a:r>
                  <a:rPr lang="en-US" i="1"/>
                  <a:t>rade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204224"/>
        <c:crosses val="autoZero"/>
        <c:auto val="0"/>
        <c:lblAlgn val="ctr"/>
        <c:lblOffset val="100"/>
        <c:noMultiLvlLbl val="0"/>
      </c:catAx>
      <c:valAx>
        <c:axId val="-492204224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2188909078672857E-2"/>
              <c:y val="0.133128806520297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190080"/>
        <c:crosses val="autoZero"/>
        <c:crossBetween val="between"/>
        <c:majorUnit val="2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601537788545663"/>
          <c:y val="0.19473011454988637"/>
          <c:w val="0.17011777373982095"/>
          <c:h val="0.124571241826096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</xdr:row>
      <xdr:rowOff>50800</xdr:rowOff>
    </xdr:from>
    <xdr:to>
      <xdr:col>11</xdr:col>
      <xdr:colOff>152400</xdr:colOff>
      <xdr:row>20</xdr:row>
      <xdr:rowOff>44450</xdr:rowOff>
    </xdr:to>
    <xdr:graphicFrame macro="">
      <xdr:nvGraphicFramePr>
        <xdr:cNvPr id="2" name="Chart 4" descr="Soybean yields poised to mark a record high&#10;&#10;A chart of annual U.S. average soybean yields.">
          <a:extLst>
            <a:ext uri="{FF2B5EF4-FFF2-40B4-BE49-F238E27FC236}">
              <a16:creationId xmlns:a16="http://schemas.microsoft.com/office/drawing/2014/main" id="{77FC577B-CB1A-4437-8E54-3EEB8CD66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139699</xdr:colOff>
      <xdr:row>1</xdr:row>
      <xdr:rowOff>3175</xdr:rowOff>
    </xdr:from>
    <xdr:to>
      <xdr:col>4</xdr:col>
      <xdr:colOff>104774</xdr:colOff>
      <xdr:row>2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01BC90-D8F3-4141-AC35-1B9DA95DCF1C}"/>
            </a:ext>
          </a:extLst>
        </xdr:cNvPr>
        <xdr:cNvSpPr txBox="1"/>
      </xdr:nvSpPr>
      <xdr:spPr>
        <a:xfrm>
          <a:off x="2825749" y="16192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406400</xdr:colOff>
      <xdr:row>1</xdr:row>
      <xdr:rowOff>38100</xdr:rowOff>
    </xdr:from>
    <xdr:to>
      <xdr:col>13</xdr:col>
      <xdr:colOff>304800</xdr:colOff>
      <xdr:row>20</xdr:row>
      <xdr:rowOff>31750</xdr:rowOff>
    </xdr:to>
    <xdr:graphicFrame macro="">
      <xdr:nvGraphicFramePr>
        <xdr:cNvPr id="2" name="Chart 4" descr="Improved use of soybean oil for biodiesel aids 2019/20 price recovery.&#10;&#10;A chart of monthly U,S, soybean oil use for biodiesel for the last 2 marketing years and 2019/20 prices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609599</xdr:colOff>
      <xdr:row>1</xdr:row>
      <xdr:rowOff>15875</xdr:rowOff>
    </xdr:from>
    <xdr:to>
      <xdr:col>5</xdr:col>
      <xdr:colOff>574674</xdr:colOff>
      <xdr:row>2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241799" y="17462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103911</xdr:colOff>
      <xdr:row>0</xdr:row>
      <xdr:rowOff>37521</xdr:rowOff>
    </xdr:from>
    <xdr:to>
      <xdr:col>13</xdr:col>
      <xdr:colOff>390238</xdr:colOff>
      <xdr:row>20</xdr:row>
      <xdr:rowOff>133348</xdr:rowOff>
    </xdr:to>
    <xdr:graphicFrame macro="">
      <xdr:nvGraphicFramePr>
        <xdr:cNvPr id="3" name="Chart 4" descr="Swelling crops, currency depreciation lead Brazilian soybean exports past main rivals&#10;&#10;A chart of annual soybean exports from Brazil, the United States, and Argentina.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291527</xdr:colOff>
      <xdr:row>0</xdr:row>
      <xdr:rowOff>54838</xdr:rowOff>
    </xdr:from>
    <xdr:to>
      <xdr:col>6</xdr:col>
      <xdr:colOff>164528</xdr:colOff>
      <xdr:row>1</xdr:row>
      <xdr:rowOff>57727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478072" y="54838"/>
          <a:ext cx="611911" cy="181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2" sqref="A2"/>
    </sheetView>
  </sheetViews>
  <sheetFormatPr defaultColWidth="9.7265625" defaultRowHeight="12.5" x14ac:dyDescent="0.25"/>
  <cols>
    <col min="1" max="1" width="64.7265625" style="30" customWidth="1"/>
    <col min="2" max="16384" width="9.7265625" style="22"/>
  </cols>
  <sheetData>
    <row r="1" spans="1:3" ht="44.25" customHeight="1" x14ac:dyDescent="0.25">
      <c r="A1" s="21"/>
    </row>
    <row r="2" spans="1:3" ht="18" x14ac:dyDescent="0.4">
      <c r="A2" s="23" t="s">
        <v>110</v>
      </c>
    </row>
    <row r="3" spans="1:3" s="25" customFormat="1" ht="10" x14ac:dyDescent="0.2">
      <c r="A3" s="24"/>
    </row>
    <row r="4" spans="1:3" ht="13" x14ac:dyDescent="0.3">
      <c r="A4" s="26" t="s">
        <v>111</v>
      </c>
    </row>
    <row r="5" spans="1:3" ht="13" x14ac:dyDescent="0.3">
      <c r="A5" s="34">
        <f ca="1">TODAY()</f>
        <v>44057</v>
      </c>
      <c r="B5" s="27"/>
    </row>
    <row r="6" spans="1:3" s="25" customFormat="1" x14ac:dyDescent="0.25">
      <c r="A6" s="24"/>
      <c r="B6" s="27"/>
      <c r="C6" s="28"/>
    </row>
    <row r="7" spans="1:3" ht="13" x14ac:dyDescent="0.3">
      <c r="A7" s="33" t="s">
        <v>148</v>
      </c>
      <c r="B7" s="29"/>
      <c r="C7" s="25"/>
    </row>
    <row r="8" spans="1:3" ht="13" x14ac:dyDescent="0.3">
      <c r="A8" s="33" t="s">
        <v>149</v>
      </c>
      <c r="B8" s="31"/>
    </row>
    <row r="9" spans="1:3" ht="13" x14ac:dyDescent="0.3">
      <c r="A9" s="33" t="s">
        <v>150</v>
      </c>
      <c r="B9" s="31"/>
    </row>
    <row r="10" spans="1:3" ht="13" x14ac:dyDescent="0.3">
      <c r="A10" s="33" t="s">
        <v>151</v>
      </c>
      <c r="B10" s="31"/>
    </row>
    <row r="11" spans="1:3" ht="13" x14ac:dyDescent="0.3">
      <c r="A11" s="33" t="s">
        <v>152</v>
      </c>
      <c r="B11" s="31"/>
    </row>
    <row r="12" spans="1:3" ht="13" x14ac:dyDescent="0.3">
      <c r="A12" s="33" t="s">
        <v>153</v>
      </c>
      <c r="B12" s="31"/>
    </row>
    <row r="13" spans="1:3" ht="13" x14ac:dyDescent="0.3">
      <c r="A13" s="33" t="s">
        <v>154</v>
      </c>
      <c r="B13" s="31"/>
    </row>
    <row r="14" spans="1:3" ht="13" x14ac:dyDescent="0.3">
      <c r="A14" s="33" t="s">
        <v>45</v>
      </c>
      <c r="B14" s="31"/>
    </row>
    <row r="15" spans="1:3" ht="13" x14ac:dyDescent="0.3">
      <c r="A15" s="33" t="s">
        <v>18</v>
      </c>
      <c r="B15" s="31"/>
    </row>
    <row r="16" spans="1:3" ht="13" x14ac:dyDescent="0.3">
      <c r="A16" s="33" t="s">
        <v>37</v>
      </c>
      <c r="B16" s="31"/>
    </row>
    <row r="17" spans="1:2" ht="13" x14ac:dyDescent="0.3">
      <c r="A17" s="32" t="s">
        <v>165</v>
      </c>
      <c r="B17" s="31"/>
    </row>
    <row r="18" spans="1:2" x14ac:dyDescent="0.25">
      <c r="A18" s="32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3"/>
  <sheetViews>
    <sheetView workbookViewId="0">
      <selection activeCell="A3" sqref="A3"/>
    </sheetView>
  </sheetViews>
  <sheetFormatPr defaultRowHeight="12.5" x14ac:dyDescent="0.25"/>
  <cols>
    <col min="1" max="1" width="19.81640625" style="150" customWidth="1"/>
    <col min="2" max="6" width="10.7265625" style="155" customWidth="1"/>
    <col min="7" max="7" width="10.7265625" style="1" customWidth="1"/>
    <col min="9" max="9" width="10.7265625" style="16" bestFit="1" customWidth="1"/>
  </cols>
  <sheetData>
    <row r="1" spans="1:15" x14ac:dyDescent="0.25">
      <c r="A1" s="135" t="s">
        <v>177</v>
      </c>
      <c r="B1" s="135"/>
      <c r="C1" s="135"/>
      <c r="D1" s="135"/>
      <c r="E1" s="135"/>
      <c r="H1" s="135"/>
      <c r="I1" s="122"/>
      <c r="L1" s="10"/>
      <c r="M1" s="19"/>
    </row>
    <row r="2" spans="1:15" ht="14" x14ac:dyDescent="0.3">
      <c r="A2" s="135" t="s">
        <v>178</v>
      </c>
      <c r="B2" s="135"/>
      <c r="C2" s="135"/>
      <c r="D2" s="135"/>
      <c r="E2" s="135"/>
      <c r="F2" s="135"/>
      <c r="G2" s="135"/>
      <c r="I2" s="36"/>
    </row>
    <row r="3" spans="1:15" ht="14" x14ac:dyDescent="0.3">
      <c r="B3" s="36" t="s">
        <v>176</v>
      </c>
      <c r="C3" s="36" t="s">
        <v>142</v>
      </c>
      <c r="D3" s="36" t="s">
        <v>147</v>
      </c>
      <c r="E3" s="36"/>
      <c r="F3" s="36"/>
      <c r="G3" s="36"/>
      <c r="H3" s="135"/>
      <c r="I3"/>
    </row>
    <row r="4" spans="1:15" ht="15.5" x14ac:dyDescent="0.35">
      <c r="A4" s="14"/>
      <c r="B4" s="167" t="s">
        <v>67</v>
      </c>
      <c r="C4" s="167" t="s">
        <v>99</v>
      </c>
      <c r="D4" s="135"/>
      <c r="E4" s="135"/>
      <c r="H4" s="144"/>
      <c r="I4" s="129"/>
      <c r="L4" s="131"/>
      <c r="M4" s="132"/>
    </row>
    <row r="5" spans="1:15" ht="15.5" x14ac:dyDescent="0.35">
      <c r="A5" s="39" t="s">
        <v>50</v>
      </c>
      <c r="B5" s="166">
        <v>30.14</v>
      </c>
      <c r="C5" s="166">
        <v>698.88</v>
      </c>
      <c r="D5" s="166">
        <v>557.52</v>
      </c>
      <c r="H5" s="144"/>
      <c r="I5" s="129"/>
      <c r="L5" s="131"/>
      <c r="M5" s="132"/>
    </row>
    <row r="6" spans="1:15" ht="15.5" x14ac:dyDescent="0.35">
      <c r="A6" s="39" t="s">
        <v>51</v>
      </c>
      <c r="B6" s="166">
        <v>30.62</v>
      </c>
      <c r="C6" s="166">
        <v>703.79</v>
      </c>
      <c r="D6" s="166">
        <v>526.53</v>
      </c>
      <c r="H6" s="144"/>
      <c r="I6" s="129"/>
      <c r="L6" s="131"/>
      <c r="M6" s="132"/>
    </row>
    <row r="7" spans="1:15" ht="15.5" x14ac:dyDescent="0.35">
      <c r="A7" s="39" t="s">
        <v>52</v>
      </c>
      <c r="B7" s="166">
        <v>32.270000000000003</v>
      </c>
      <c r="C7" s="166">
        <v>767.76</v>
      </c>
      <c r="D7" s="166">
        <v>541.04999999999995</v>
      </c>
      <c r="H7" s="144"/>
      <c r="I7" s="129"/>
      <c r="L7" s="131"/>
      <c r="M7" s="132"/>
    </row>
    <row r="8" spans="1:15" ht="15.5" x14ac:dyDescent="0.35">
      <c r="A8" s="39" t="s">
        <v>53</v>
      </c>
      <c r="B8" s="166">
        <v>33.04</v>
      </c>
      <c r="C8" s="166">
        <v>622.80999999999995</v>
      </c>
      <c r="D8" s="166">
        <v>520.94000000000005</v>
      </c>
      <c r="H8" s="144"/>
      <c r="I8" s="129"/>
      <c r="L8" s="131"/>
      <c r="M8" s="132"/>
    </row>
    <row r="9" spans="1:15" ht="15.5" x14ac:dyDescent="0.35">
      <c r="A9" s="39" t="s">
        <v>54</v>
      </c>
      <c r="B9" s="166">
        <v>30.26</v>
      </c>
      <c r="C9" s="166">
        <v>559.57000000000005</v>
      </c>
      <c r="D9" s="166">
        <v>574.78</v>
      </c>
      <c r="E9" s="165"/>
      <c r="H9" s="144"/>
      <c r="I9" s="129"/>
      <c r="K9" s="132"/>
      <c r="L9" s="131"/>
      <c r="M9" s="132"/>
    </row>
    <row r="10" spans="1:15" ht="15.5" x14ac:dyDescent="0.35">
      <c r="A10" s="39" t="s">
        <v>55</v>
      </c>
      <c r="B10" s="166">
        <v>27.04</v>
      </c>
      <c r="C10" s="166">
        <v>617.01</v>
      </c>
      <c r="D10" s="166">
        <v>656.02</v>
      </c>
      <c r="E10" s="165"/>
      <c r="H10" s="144"/>
      <c r="I10" s="129"/>
      <c r="K10" s="132"/>
      <c r="L10" s="131"/>
      <c r="M10" s="132"/>
    </row>
    <row r="11" spans="1:15" ht="15.5" x14ac:dyDescent="0.35">
      <c r="A11" s="39" t="s">
        <v>56</v>
      </c>
      <c r="B11" s="166">
        <v>25.69</v>
      </c>
      <c r="C11" s="166">
        <v>631.84</v>
      </c>
      <c r="D11" s="166">
        <v>671.81</v>
      </c>
      <c r="E11" s="165"/>
      <c r="H11" s="144"/>
      <c r="I11" s="129"/>
      <c r="K11" s="132"/>
      <c r="L11" s="131"/>
    </row>
    <row r="12" spans="1:15" ht="15.5" x14ac:dyDescent="0.35">
      <c r="A12" s="39" t="s">
        <v>57</v>
      </c>
      <c r="B12" s="166">
        <v>25.27</v>
      </c>
      <c r="C12" s="166">
        <v>659.05</v>
      </c>
      <c r="D12" s="166">
        <v>777.68</v>
      </c>
      <c r="E12" s="165"/>
      <c r="H12" s="144"/>
      <c r="I12" s="129"/>
      <c r="K12" s="132"/>
      <c r="L12" s="131"/>
    </row>
    <row r="13" spans="1:15" ht="15.5" x14ac:dyDescent="0.35">
      <c r="A13" s="39" t="s">
        <v>58</v>
      </c>
      <c r="B13" s="166">
        <v>26.61</v>
      </c>
      <c r="C13" s="166">
        <v>594.15</v>
      </c>
      <c r="D13" s="166"/>
      <c r="E13" s="165"/>
      <c r="H13" s="144"/>
      <c r="I13" s="129"/>
      <c r="K13" s="132"/>
      <c r="L13" s="131"/>
    </row>
    <row r="14" spans="1:15" ht="15.5" x14ac:dyDescent="0.35">
      <c r="A14" s="39" t="s">
        <v>60</v>
      </c>
      <c r="B14" s="166">
        <v>28.71</v>
      </c>
      <c r="C14" s="166">
        <v>708.5</v>
      </c>
      <c r="D14" s="166"/>
      <c r="E14" s="165"/>
      <c r="H14" s="144"/>
      <c r="I14" s="129"/>
      <c r="K14" s="132"/>
      <c r="L14" s="131"/>
    </row>
    <row r="15" spans="1:15" ht="15.5" x14ac:dyDescent="0.35">
      <c r="A15" s="39" t="s">
        <v>61</v>
      </c>
      <c r="B15" s="166"/>
      <c r="C15" s="166">
        <v>701.14</v>
      </c>
      <c r="D15" s="166"/>
      <c r="E15" s="165"/>
      <c r="H15" s="144"/>
      <c r="I15" s="132"/>
      <c r="K15" s="132"/>
    </row>
    <row r="16" spans="1:15" ht="15.5" x14ac:dyDescent="0.35">
      <c r="A16" s="39" t="s">
        <v>63</v>
      </c>
      <c r="B16" s="166"/>
      <c r="C16" s="166">
        <v>598.79999999999995</v>
      </c>
      <c r="D16" s="166"/>
      <c r="E16" s="165"/>
      <c r="H16" s="130"/>
      <c r="I16" s="132"/>
      <c r="M16" s="129"/>
      <c r="N16" s="129"/>
      <c r="O16" s="129"/>
    </row>
    <row r="17" spans="1:14" ht="15.5" x14ac:dyDescent="0.35">
      <c r="A17" s="14"/>
      <c r="B17" s="163"/>
      <c r="C17" s="163"/>
      <c r="D17" s="163"/>
      <c r="E17" s="163"/>
      <c r="F17" s="163"/>
      <c r="G17" s="163"/>
      <c r="H17" s="130"/>
      <c r="I17" s="132"/>
      <c r="M17" s="13"/>
      <c r="N17" s="13"/>
    </row>
    <row r="18" spans="1:14" ht="15.5" x14ac:dyDescent="0.35">
      <c r="A18" s="14"/>
      <c r="B18" s="163"/>
      <c r="C18" s="163"/>
      <c r="D18" s="163"/>
      <c r="E18" s="163"/>
      <c r="F18" s="163"/>
      <c r="G18" s="163"/>
      <c r="H18" s="130"/>
      <c r="I18" s="132"/>
      <c r="K18" s="131"/>
      <c r="L18" s="131"/>
      <c r="M18" s="13"/>
      <c r="N18" s="13"/>
    </row>
    <row r="19" spans="1:14" ht="15.5" x14ac:dyDescent="0.35">
      <c r="A19" s="14"/>
      <c r="B19" s="163"/>
      <c r="C19" s="163"/>
      <c r="D19" s="163"/>
      <c r="E19" s="163"/>
      <c r="F19" s="163"/>
      <c r="G19" s="163"/>
      <c r="H19" s="130"/>
      <c r="I19" s="132"/>
      <c r="K19" s="9"/>
      <c r="L19" s="131"/>
      <c r="M19" s="13"/>
      <c r="N19" s="13"/>
    </row>
    <row r="20" spans="1:14" ht="15.5" x14ac:dyDescent="0.35">
      <c r="A20" s="36"/>
      <c r="B20" s="163"/>
      <c r="C20" s="163"/>
      <c r="D20" s="163"/>
      <c r="E20" s="163"/>
      <c r="F20" s="163"/>
      <c r="G20" s="163"/>
      <c r="H20" s="130"/>
      <c r="I20" s="132"/>
      <c r="K20" s="9"/>
      <c r="L20" s="131"/>
      <c r="M20" s="13"/>
      <c r="N20" s="13"/>
    </row>
    <row r="21" spans="1:14" ht="15.5" x14ac:dyDescent="0.35">
      <c r="A21" s="36"/>
      <c r="B21" s="163"/>
      <c r="C21" s="163"/>
      <c r="D21" s="163"/>
      <c r="E21" s="163"/>
      <c r="F21" s="163"/>
      <c r="G21" s="163"/>
      <c r="H21" s="130"/>
      <c r="I21" s="132"/>
      <c r="K21" s="9"/>
      <c r="L21" s="131"/>
      <c r="M21" s="13"/>
      <c r="N21" s="13"/>
    </row>
    <row r="22" spans="1:14" ht="15.5" x14ac:dyDescent="0.35">
      <c r="B22" s="163"/>
      <c r="C22" s="163"/>
      <c r="D22" s="163"/>
      <c r="E22" s="163"/>
      <c r="F22" s="163"/>
      <c r="G22" s="163"/>
      <c r="H22" s="130"/>
      <c r="I22" s="132"/>
      <c r="K22" s="9"/>
      <c r="L22" s="131"/>
      <c r="M22" s="13"/>
      <c r="N22" s="13"/>
    </row>
    <row r="23" spans="1:14" ht="15.5" x14ac:dyDescent="0.35">
      <c r="A23" s="153"/>
      <c r="B23" s="163"/>
      <c r="C23" s="163"/>
      <c r="D23" s="163"/>
      <c r="E23" s="163"/>
      <c r="F23" s="163"/>
      <c r="G23" s="163"/>
      <c r="H23" s="130"/>
      <c r="I23" s="9"/>
      <c r="K23" s="9"/>
      <c r="L23" s="131"/>
      <c r="M23" s="13"/>
      <c r="N23" s="13"/>
    </row>
    <row r="24" spans="1:14" ht="15.5" x14ac:dyDescent="0.35">
      <c r="A24" s="153"/>
      <c r="B24" s="163"/>
      <c r="C24" s="163"/>
      <c r="D24" s="163"/>
      <c r="E24" s="163"/>
      <c r="F24" s="163"/>
      <c r="G24" s="163"/>
      <c r="H24" s="130"/>
      <c r="I24" s="9"/>
      <c r="K24" s="9"/>
      <c r="L24" s="131"/>
      <c r="M24" s="13"/>
      <c r="N24" s="13"/>
    </row>
    <row r="25" spans="1:14" ht="15.5" x14ac:dyDescent="0.35">
      <c r="A25" s="153"/>
      <c r="B25" s="163"/>
      <c r="C25" s="163"/>
      <c r="D25" s="163"/>
      <c r="E25" s="163"/>
      <c r="F25" s="163"/>
      <c r="G25" s="163"/>
      <c r="H25" s="130"/>
      <c r="I25" s="9"/>
      <c r="K25" s="9"/>
      <c r="L25" s="131"/>
      <c r="M25" s="13"/>
      <c r="N25" s="13"/>
    </row>
    <row r="26" spans="1:14" ht="15.5" x14ac:dyDescent="0.35">
      <c r="A26" s="153"/>
      <c r="B26" s="163"/>
      <c r="C26" s="163"/>
      <c r="D26" s="163"/>
      <c r="E26" s="163"/>
      <c r="F26" s="163"/>
      <c r="G26" s="163"/>
      <c r="H26" s="130"/>
      <c r="I26" s="9"/>
      <c r="K26" s="9"/>
      <c r="L26" s="131"/>
      <c r="M26" s="13"/>
      <c r="N26" s="13"/>
    </row>
    <row r="27" spans="1:14" ht="15.5" x14ac:dyDescent="0.35">
      <c r="A27" s="153"/>
      <c r="B27" s="163"/>
      <c r="C27" s="163"/>
      <c r="D27" s="163"/>
      <c r="E27" s="163"/>
      <c r="F27" s="163"/>
      <c r="G27" s="163"/>
      <c r="H27" s="130"/>
      <c r="I27" s="9"/>
      <c r="K27" s="9"/>
      <c r="L27" s="131"/>
      <c r="M27" s="13"/>
      <c r="N27" s="13"/>
    </row>
    <row r="28" spans="1:14" ht="15.5" x14ac:dyDescent="0.35">
      <c r="A28" s="153"/>
      <c r="B28" s="163"/>
      <c r="C28" s="163"/>
      <c r="D28" s="163"/>
      <c r="E28" s="163"/>
      <c r="F28" s="163"/>
      <c r="G28" s="163"/>
      <c r="H28" s="130"/>
      <c r="I28" s="9"/>
      <c r="K28" s="9"/>
      <c r="L28" s="131"/>
      <c r="M28" s="13"/>
      <c r="N28" s="13"/>
    </row>
    <row r="29" spans="1:14" ht="15.5" x14ac:dyDescent="0.35">
      <c r="A29" s="153"/>
      <c r="B29" s="163"/>
      <c r="C29" s="163"/>
      <c r="D29" s="163"/>
      <c r="E29" s="163"/>
      <c r="F29" s="163"/>
      <c r="G29" s="163"/>
      <c r="H29" s="130"/>
      <c r="I29" s="9"/>
      <c r="K29" s="9"/>
      <c r="L29" s="131"/>
    </row>
    <row r="30" spans="1:14" x14ac:dyDescent="0.25">
      <c r="A30" s="153"/>
      <c r="G30" s="148"/>
      <c r="H30" s="9"/>
      <c r="I30" s="9"/>
      <c r="K30" s="9"/>
      <c r="L30" s="131"/>
    </row>
    <row r="31" spans="1:14" x14ac:dyDescent="0.25">
      <c r="A31" s="153"/>
      <c r="G31" s="148"/>
      <c r="H31" s="131"/>
      <c r="I31" s="131"/>
      <c r="K31" s="131"/>
      <c r="L31" s="131"/>
    </row>
    <row r="32" spans="1:14" x14ac:dyDescent="0.25">
      <c r="A32" s="153"/>
      <c r="G32" s="148"/>
      <c r="H32" s="131"/>
      <c r="I32" s="131"/>
      <c r="K32" s="131"/>
      <c r="L32" s="131"/>
    </row>
    <row r="33" spans="1:12" x14ac:dyDescent="0.25">
      <c r="A33" s="153"/>
      <c r="G33" s="148"/>
      <c r="H33" s="131"/>
      <c r="I33" s="131"/>
      <c r="K33" s="131"/>
      <c r="L33" s="131"/>
    </row>
    <row r="34" spans="1:12" x14ac:dyDescent="0.25">
      <c r="A34" s="153"/>
      <c r="G34" s="148"/>
      <c r="H34" s="13"/>
      <c r="I34" s="13"/>
      <c r="K34" s="13"/>
    </row>
    <row r="35" spans="1:12" x14ac:dyDescent="0.25">
      <c r="A35" s="153"/>
      <c r="G35" s="148"/>
      <c r="H35" s="13"/>
      <c r="I35" s="13"/>
      <c r="K35" s="13"/>
    </row>
    <row r="36" spans="1:12" x14ac:dyDescent="0.25">
      <c r="A36" s="153"/>
      <c r="G36" s="148"/>
      <c r="H36" s="13"/>
      <c r="I36" s="13"/>
      <c r="K36" s="13"/>
    </row>
    <row r="37" spans="1:12" x14ac:dyDescent="0.25">
      <c r="A37" s="153"/>
      <c r="G37" s="148"/>
      <c r="H37" s="13"/>
      <c r="I37" s="13"/>
      <c r="K37" s="13"/>
    </row>
    <row r="38" spans="1:12" x14ac:dyDescent="0.25">
      <c r="A38" s="153"/>
      <c r="G38" s="148"/>
      <c r="H38" s="13"/>
      <c r="I38" s="13"/>
      <c r="K38" s="13"/>
    </row>
    <row r="39" spans="1:12" x14ac:dyDescent="0.25">
      <c r="A39" s="153"/>
      <c r="G39" s="148"/>
      <c r="H39" s="13"/>
      <c r="I39" s="13"/>
      <c r="K39" s="13"/>
    </row>
    <row r="40" spans="1:12" x14ac:dyDescent="0.25">
      <c r="A40" s="153"/>
      <c r="G40" s="148"/>
      <c r="H40" s="13"/>
      <c r="I40" s="13"/>
      <c r="K40" s="13"/>
    </row>
    <row r="41" spans="1:12" x14ac:dyDescent="0.25">
      <c r="A41" s="153"/>
      <c r="G41" s="148"/>
      <c r="H41" s="13"/>
      <c r="I41" s="13"/>
      <c r="K41" s="13"/>
    </row>
    <row r="42" spans="1:12" x14ac:dyDescent="0.25">
      <c r="A42" s="153"/>
      <c r="G42" s="148"/>
      <c r="H42" s="13"/>
      <c r="I42" s="13"/>
      <c r="K42" s="13"/>
    </row>
    <row r="43" spans="1:12" x14ac:dyDescent="0.25">
      <c r="A43" s="153"/>
      <c r="G43" s="148"/>
      <c r="H43" s="13"/>
      <c r="I43" s="13"/>
      <c r="K43" s="13"/>
    </row>
    <row r="44" spans="1:12" x14ac:dyDescent="0.25">
      <c r="A44" s="153"/>
      <c r="G44" s="120"/>
      <c r="I44" s="120"/>
    </row>
    <row r="45" spans="1:12" x14ac:dyDescent="0.25">
      <c r="A45" s="153"/>
      <c r="G45" s="120"/>
      <c r="I45" s="120"/>
    </row>
    <row r="46" spans="1:12" x14ac:dyDescent="0.25">
      <c r="A46" s="153"/>
      <c r="G46" s="120"/>
      <c r="I46" s="120"/>
    </row>
    <row r="47" spans="1:12" x14ac:dyDescent="0.25">
      <c r="A47" s="153"/>
      <c r="G47" s="120"/>
      <c r="I47" s="120"/>
    </row>
    <row r="48" spans="1:12" x14ac:dyDescent="0.25">
      <c r="A48" s="153"/>
      <c r="G48" s="120"/>
      <c r="I48" s="120"/>
    </row>
    <row r="49" spans="1:9" x14ac:dyDescent="0.25">
      <c r="A49" s="153"/>
      <c r="G49" s="120"/>
      <c r="I49" s="120"/>
    </row>
    <row r="50" spans="1:9" x14ac:dyDescent="0.25">
      <c r="A50" s="153"/>
      <c r="G50" s="120"/>
      <c r="I50" s="120"/>
    </row>
    <row r="51" spans="1:9" x14ac:dyDescent="0.25">
      <c r="A51" s="154"/>
      <c r="G51" s="120"/>
      <c r="I51" s="120"/>
    </row>
    <row r="52" spans="1:9" x14ac:dyDescent="0.25">
      <c r="A52" s="154"/>
      <c r="G52" s="120"/>
      <c r="I52" s="120"/>
    </row>
    <row r="53" spans="1:9" x14ac:dyDescent="0.25">
      <c r="A53" s="154"/>
      <c r="G53" s="120"/>
      <c r="I53" s="120"/>
    </row>
    <row r="54" spans="1:9" x14ac:dyDescent="0.25">
      <c r="A54" s="154"/>
      <c r="G54" s="120"/>
      <c r="I54" s="120"/>
    </row>
    <row r="55" spans="1:9" x14ac:dyDescent="0.25">
      <c r="A55" s="154"/>
      <c r="G55" s="120"/>
      <c r="I55" s="120"/>
    </row>
    <row r="56" spans="1:9" x14ac:dyDescent="0.25">
      <c r="A56" s="154"/>
      <c r="G56" s="120"/>
      <c r="I56" s="120"/>
    </row>
    <row r="57" spans="1:9" x14ac:dyDescent="0.25">
      <c r="A57" s="154"/>
      <c r="G57" s="120"/>
      <c r="I57" s="120"/>
    </row>
    <row r="58" spans="1:9" x14ac:dyDescent="0.25">
      <c r="A58" s="154"/>
      <c r="G58" s="120"/>
      <c r="I58" s="120"/>
    </row>
    <row r="59" spans="1:9" x14ac:dyDescent="0.25">
      <c r="A59" s="154"/>
      <c r="G59" s="120"/>
      <c r="I59" s="120"/>
    </row>
    <row r="60" spans="1:9" x14ac:dyDescent="0.25">
      <c r="A60" s="154"/>
      <c r="G60" s="120"/>
      <c r="I60" s="120"/>
    </row>
    <row r="61" spans="1:9" x14ac:dyDescent="0.25">
      <c r="A61" s="154"/>
      <c r="G61" s="120"/>
      <c r="I61" s="120"/>
    </row>
    <row r="62" spans="1:9" x14ac:dyDescent="0.25">
      <c r="A62" s="154"/>
      <c r="G62" s="120"/>
      <c r="I62" s="120"/>
    </row>
    <row r="63" spans="1:9" x14ac:dyDescent="0.25">
      <c r="A63" s="154"/>
      <c r="G63" s="120"/>
      <c r="I63" s="120"/>
    </row>
    <row r="64" spans="1:9" x14ac:dyDescent="0.25">
      <c r="A64" s="154"/>
      <c r="G64" s="120"/>
      <c r="I64" s="120"/>
    </row>
    <row r="65" spans="1:9" x14ac:dyDescent="0.25">
      <c r="A65" s="154"/>
      <c r="G65" s="120"/>
      <c r="I65" s="120"/>
    </row>
    <row r="66" spans="1:9" x14ac:dyDescent="0.25">
      <c r="A66" s="154"/>
      <c r="G66" s="120"/>
      <c r="I66" s="120"/>
    </row>
    <row r="67" spans="1:9" x14ac:dyDescent="0.25">
      <c r="A67" s="154"/>
      <c r="G67" s="120"/>
      <c r="I67" s="120"/>
    </row>
    <row r="68" spans="1:9" x14ac:dyDescent="0.25">
      <c r="A68" s="154"/>
      <c r="G68" s="120"/>
      <c r="I68" s="120"/>
    </row>
    <row r="69" spans="1:9" x14ac:dyDescent="0.25">
      <c r="A69" s="154"/>
      <c r="G69" s="120"/>
      <c r="I69" s="120"/>
    </row>
    <row r="70" spans="1:9" x14ac:dyDescent="0.25">
      <c r="A70" s="154"/>
      <c r="G70" s="120"/>
      <c r="I70" s="120"/>
    </row>
    <row r="71" spans="1:9" x14ac:dyDescent="0.25">
      <c r="A71" s="154"/>
      <c r="G71" s="120"/>
      <c r="I71" s="120"/>
    </row>
    <row r="72" spans="1:9" x14ac:dyDescent="0.25">
      <c r="A72" s="154"/>
      <c r="G72" s="120"/>
      <c r="I72" s="120"/>
    </row>
    <row r="73" spans="1:9" x14ac:dyDescent="0.25">
      <c r="A73" s="154"/>
      <c r="G73" s="120"/>
      <c r="I73" s="120"/>
    </row>
    <row r="74" spans="1:9" x14ac:dyDescent="0.25">
      <c r="A74" s="154"/>
      <c r="G74" s="120"/>
      <c r="I74" s="120"/>
    </row>
    <row r="75" spans="1:9" x14ac:dyDescent="0.25">
      <c r="A75" s="154"/>
      <c r="G75" s="120"/>
      <c r="I75" s="120"/>
    </row>
    <row r="76" spans="1:9" x14ac:dyDescent="0.25">
      <c r="A76" s="154"/>
      <c r="G76" s="120"/>
      <c r="I76" s="120"/>
    </row>
    <row r="77" spans="1:9" x14ac:dyDescent="0.25">
      <c r="A77" s="154"/>
      <c r="G77" s="120"/>
      <c r="I77" s="120"/>
    </row>
    <row r="78" spans="1:9" x14ac:dyDescent="0.25">
      <c r="A78" s="154"/>
      <c r="G78" s="120"/>
      <c r="I78" s="120"/>
    </row>
    <row r="79" spans="1:9" x14ac:dyDescent="0.25">
      <c r="A79" s="154"/>
      <c r="G79" s="120"/>
      <c r="I79" s="120"/>
    </row>
    <row r="80" spans="1:9" x14ac:dyDescent="0.25">
      <c r="A80" s="154"/>
      <c r="G80" s="120"/>
      <c r="I80" s="120"/>
    </row>
    <row r="81" spans="1:9" x14ac:dyDescent="0.25">
      <c r="A81" s="154"/>
      <c r="G81" s="120"/>
      <c r="I81" s="120"/>
    </row>
    <row r="82" spans="1:9" x14ac:dyDescent="0.25">
      <c r="A82" s="154"/>
      <c r="G82" s="120"/>
      <c r="I82" s="120"/>
    </row>
    <row r="83" spans="1:9" x14ac:dyDescent="0.25">
      <c r="A83" s="154"/>
      <c r="G83" s="120"/>
      <c r="I83" s="120"/>
    </row>
    <row r="84" spans="1:9" x14ac:dyDescent="0.25">
      <c r="A84" s="154"/>
      <c r="G84" s="120"/>
      <c r="I84" s="120"/>
    </row>
    <row r="85" spans="1:9" x14ac:dyDescent="0.25">
      <c r="A85" s="154"/>
      <c r="G85" s="120"/>
      <c r="I85" s="120"/>
    </row>
    <row r="86" spans="1:9" x14ac:dyDescent="0.25">
      <c r="A86" s="154"/>
      <c r="G86" s="120"/>
      <c r="I86" s="120"/>
    </row>
    <row r="87" spans="1:9" x14ac:dyDescent="0.25">
      <c r="A87" s="154"/>
      <c r="G87" s="120"/>
      <c r="I87" s="120"/>
    </row>
    <row r="88" spans="1:9" x14ac:dyDescent="0.25">
      <c r="A88" s="154"/>
      <c r="G88" s="120"/>
      <c r="I88" s="120"/>
    </row>
    <row r="89" spans="1:9" x14ac:dyDescent="0.25">
      <c r="A89" s="154"/>
      <c r="G89" s="120"/>
      <c r="I89" s="120"/>
    </row>
    <row r="90" spans="1:9" x14ac:dyDescent="0.25">
      <c r="A90" s="154"/>
      <c r="G90" s="120"/>
      <c r="I90" s="120"/>
    </row>
    <row r="91" spans="1:9" x14ac:dyDescent="0.25">
      <c r="A91" s="154"/>
      <c r="G91" s="120"/>
      <c r="I91" s="120"/>
    </row>
    <row r="92" spans="1:9" x14ac:dyDescent="0.25">
      <c r="A92" s="154"/>
      <c r="G92" s="120"/>
      <c r="I92" s="120"/>
    </row>
    <row r="93" spans="1:9" x14ac:dyDescent="0.25">
      <c r="A93" s="154"/>
      <c r="G93" s="120"/>
      <c r="I93" s="120"/>
    </row>
    <row r="94" spans="1:9" x14ac:dyDescent="0.25">
      <c r="A94" s="154"/>
      <c r="G94" s="120"/>
      <c r="I94" s="120"/>
    </row>
    <row r="95" spans="1:9" x14ac:dyDescent="0.25">
      <c r="A95" s="154"/>
      <c r="G95" s="120"/>
      <c r="I95" s="120"/>
    </row>
    <row r="96" spans="1:9" x14ac:dyDescent="0.25">
      <c r="A96" s="154"/>
      <c r="G96" s="120"/>
      <c r="I96" s="120"/>
    </row>
    <row r="97" spans="1:9" x14ac:dyDescent="0.25">
      <c r="A97" s="154"/>
      <c r="G97" s="120"/>
      <c r="I97" s="120"/>
    </row>
    <row r="98" spans="1:9" x14ac:dyDescent="0.25">
      <c r="A98" s="154"/>
      <c r="G98" s="120"/>
      <c r="I98" s="120"/>
    </row>
    <row r="99" spans="1:9" x14ac:dyDescent="0.25">
      <c r="A99" s="154"/>
      <c r="G99" s="120"/>
      <c r="I99" s="120"/>
    </row>
    <row r="100" spans="1:9" x14ac:dyDescent="0.25">
      <c r="A100" s="154"/>
      <c r="G100" s="120"/>
      <c r="I100" s="120"/>
    </row>
    <row r="101" spans="1:9" x14ac:dyDescent="0.25">
      <c r="A101" s="154"/>
      <c r="G101" s="120"/>
      <c r="I101" s="120"/>
    </row>
    <row r="102" spans="1:9" x14ac:dyDescent="0.25">
      <c r="A102" s="154"/>
      <c r="G102" s="120"/>
      <c r="I102" s="120"/>
    </row>
    <row r="103" spans="1:9" x14ac:dyDescent="0.25">
      <c r="A103" s="154"/>
      <c r="G103" s="120"/>
      <c r="I103" s="120"/>
    </row>
    <row r="104" spans="1:9" x14ac:dyDescent="0.25">
      <c r="A104" s="154"/>
      <c r="G104" s="120"/>
      <c r="I104" s="120"/>
    </row>
    <row r="105" spans="1:9" x14ac:dyDescent="0.25">
      <c r="A105" s="154"/>
      <c r="G105" s="120"/>
      <c r="I105" s="120"/>
    </row>
    <row r="106" spans="1:9" x14ac:dyDescent="0.25">
      <c r="A106" s="154"/>
      <c r="G106" s="120"/>
      <c r="I106" s="120"/>
    </row>
    <row r="107" spans="1:9" x14ac:dyDescent="0.25">
      <c r="A107" s="154"/>
      <c r="G107" s="120"/>
      <c r="I107" s="120"/>
    </row>
    <row r="108" spans="1:9" x14ac:dyDescent="0.25">
      <c r="A108" s="154"/>
      <c r="G108" s="120"/>
      <c r="I108" s="120"/>
    </row>
    <row r="109" spans="1:9" x14ac:dyDescent="0.25">
      <c r="A109" s="154"/>
      <c r="G109" s="120"/>
      <c r="I109" s="120"/>
    </row>
    <row r="110" spans="1:9" x14ac:dyDescent="0.25">
      <c r="A110" s="154"/>
      <c r="G110" s="120"/>
      <c r="I110" s="120"/>
    </row>
    <row r="111" spans="1:9" x14ac:dyDescent="0.25">
      <c r="A111" s="154"/>
      <c r="G111" s="120"/>
      <c r="I111" s="120"/>
    </row>
    <row r="112" spans="1:9" x14ac:dyDescent="0.25">
      <c r="A112" s="154"/>
      <c r="G112" s="120"/>
      <c r="I112" s="120"/>
    </row>
    <row r="113" spans="1:9" x14ac:dyDescent="0.25">
      <c r="A113" s="154"/>
      <c r="G113" s="120"/>
      <c r="I113" s="120"/>
    </row>
    <row r="114" spans="1:9" x14ac:dyDescent="0.25">
      <c r="A114" s="154"/>
      <c r="G114" s="120"/>
      <c r="I114" s="120"/>
    </row>
    <row r="115" spans="1:9" x14ac:dyDescent="0.25">
      <c r="A115" s="154"/>
      <c r="G115" s="120"/>
      <c r="I115" s="120"/>
    </row>
    <row r="116" spans="1:9" x14ac:dyDescent="0.25">
      <c r="A116" s="154"/>
      <c r="G116" s="120"/>
      <c r="I116" s="120"/>
    </row>
    <row r="117" spans="1:9" x14ac:dyDescent="0.25">
      <c r="A117" s="154"/>
      <c r="G117" s="120"/>
      <c r="I117" s="120"/>
    </row>
    <row r="118" spans="1:9" x14ac:dyDescent="0.25">
      <c r="A118" s="154"/>
      <c r="G118" s="120"/>
      <c r="I118" s="120"/>
    </row>
    <row r="119" spans="1:9" x14ac:dyDescent="0.25">
      <c r="A119" s="154"/>
      <c r="G119" s="120"/>
      <c r="I119" s="120"/>
    </row>
    <row r="120" spans="1:9" x14ac:dyDescent="0.25">
      <c r="A120" s="154"/>
      <c r="G120" s="120"/>
      <c r="I120" s="120"/>
    </row>
    <row r="121" spans="1:9" x14ac:dyDescent="0.25">
      <c r="A121" s="154"/>
      <c r="G121" s="120"/>
      <c r="I121" s="120"/>
    </row>
    <row r="122" spans="1:9" x14ac:dyDescent="0.25">
      <c r="A122" s="154"/>
      <c r="G122" s="120"/>
      <c r="I122" s="120"/>
    </row>
    <row r="123" spans="1:9" x14ac:dyDescent="0.25">
      <c r="A123" s="154"/>
      <c r="G123" s="120"/>
      <c r="I123" s="120"/>
    </row>
    <row r="124" spans="1:9" x14ac:dyDescent="0.25">
      <c r="A124" s="154"/>
      <c r="G124" s="120"/>
      <c r="I124" s="120"/>
    </row>
    <row r="125" spans="1:9" x14ac:dyDescent="0.25">
      <c r="A125" s="154"/>
      <c r="G125" s="120"/>
      <c r="I125" s="120"/>
    </row>
    <row r="126" spans="1:9" x14ac:dyDescent="0.25">
      <c r="A126" s="154"/>
      <c r="G126" s="120"/>
      <c r="I126" s="120"/>
    </row>
    <row r="127" spans="1:9" x14ac:dyDescent="0.25">
      <c r="A127" s="154"/>
      <c r="G127" s="120"/>
      <c r="I127" s="120"/>
    </row>
    <row r="128" spans="1:9" x14ac:dyDescent="0.25">
      <c r="A128" s="154"/>
      <c r="G128" s="120"/>
      <c r="I128" s="120"/>
    </row>
    <row r="129" spans="1:9" x14ac:dyDescent="0.25">
      <c r="A129" s="154"/>
      <c r="G129" s="120"/>
      <c r="I129" s="120"/>
    </row>
    <row r="130" spans="1:9" x14ac:dyDescent="0.25">
      <c r="A130" s="154"/>
      <c r="G130" s="120"/>
      <c r="I130" s="120"/>
    </row>
    <row r="131" spans="1:9" x14ac:dyDescent="0.25">
      <c r="A131" s="154"/>
      <c r="G131" s="120"/>
    </row>
    <row r="132" spans="1:9" x14ac:dyDescent="0.25">
      <c r="A132" s="154"/>
      <c r="G132" s="120"/>
      <c r="I132" s="120"/>
    </row>
    <row r="133" spans="1:9" x14ac:dyDescent="0.25">
      <c r="A133" s="154"/>
      <c r="G133" s="120"/>
      <c r="I133" s="120"/>
    </row>
    <row r="134" spans="1:9" x14ac:dyDescent="0.25">
      <c r="A134" s="154"/>
      <c r="G134" s="120"/>
      <c r="I134" s="120"/>
    </row>
    <row r="135" spans="1:9" x14ac:dyDescent="0.25">
      <c r="A135" s="154"/>
      <c r="G135" s="120"/>
      <c r="I135" s="120"/>
    </row>
    <row r="136" spans="1:9" x14ac:dyDescent="0.25">
      <c r="A136" s="154"/>
      <c r="G136" s="120"/>
      <c r="I136" s="120"/>
    </row>
    <row r="137" spans="1:9" x14ac:dyDescent="0.25">
      <c r="A137" s="154"/>
      <c r="G137" s="120"/>
      <c r="I137" s="120"/>
    </row>
    <row r="138" spans="1:9" x14ac:dyDescent="0.25">
      <c r="A138" s="154"/>
      <c r="G138" s="120"/>
      <c r="I138" s="120"/>
    </row>
    <row r="139" spans="1:9" x14ac:dyDescent="0.25">
      <c r="A139" s="154"/>
      <c r="G139" s="120"/>
      <c r="I139" s="120"/>
    </row>
    <row r="140" spans="1:9" x14ac:dyDescent="0.25">
      <c r="A140" s="154"/>
      <c r="G140" s="120"/>
      <c r="I140" s="120"/>
    </row>
    <row r="141" spans="1:9" x14ac:dyDescent="0.25">
      <c r="A141" s="154"/>
      <c r="G141" s="120"/>
      <c r="I141" s="120"/>
    </row>
    <row r="142" spans="1:9" x14ac:dyDescent="0.25">
      <c r="A142" s="154"/>
      <c r="G142" s="120"/>
      <c r="I142" s="120"/>
    </row>
    <row r="143" spans="1:9" x14ac:dyDescent="0.25">
      <c r="A143" s="154"/>
      <c r="G143" s="120"/>
      <c r="I143" s="120"/>
    </row>
    <row r="144" spans="1:9" x14ac:dyDescent="0.25">
      <c r="A144" s="154"/>
      <c r="G144" s="120"/>
      <c r="I144" s="120"/>
    </row>
    <row r="145" spans="1:9" x14ac:dyDescent="0.25">
      <c r="A145" s="154"/>
      <c r="G145" s="120"/>
      <c r="I145" s="120"/>
    </row>
    <row r="146" spans="1:9" x14ac:dyDescent="0.25">
      <c r="A146" s="154"/>
      <c r="G146" s="120"/>
      <c r="I146" s="120"/>
    </row>
    <row r="147" spans="1:9" x14ac:dyDescent="0.25">
      <c r="A147" s="154"/>
      <c r="G147" s="120"/>
      <c r="I147" s="120"/>
    </row>
    <row r="148" spans="1:9" x14ac:dyDescent="0.25">
      <c r="A148" s="154"/>
      <c r="G148" s="120"/>
      <c r="I148" s="120"/>
    </row>
    <row r="149" spans="1:9" x14ac:dyDescent="0.25">
      <c r="A149" s="154"/>
      <c r="G149" s="120"/>
      <c r="I149" s="120"/>
    </row>
    <row r="150" spans="1:9" x14ac:dyDescent="0.25">
      <c r="A150" s="154"/>
      <c r="G150" s="120"/>
      <c r="I150" s="120"/>
    </row>
    <row r="151" spans="1:9" x14ac:dyDescent="0.25">
      <c r="A151" s="154"/>
      <c r="G151" s="120"/>
      <c r="I151" s="120"/>
    </row>
    <row r="152" spans="1:9" x14ac:dyDescent="0.25">
      <c r="A152" s="154"/>
      <c r="G152" s="120"/>
      <c r="I152" s="120"/>
    </row>
    <row r="153" spans="1:9" x14ac:dyDescent="0.25">
      <c r="A153" s="154"/>
      <c r="G153" s="120"/>
      <c r="I153" s="120"/>
    </row>
    <row r="154" spans="1:9" x14ac:dyDescent="0.25">
      <c r="A154" s="154"/>
      <c r="G154" s="120"/>
      <c r="I154" s="120"/>
    </row>
    <row r="155" spans="1:9" x14ac:dyDescent="0.25">
      <c r="A155" s="154"/>
      <c r="G155" s="120"/>
      <c r="I155" s="120"/>
    </row>
    <row r="156" spans="1:9" x14ac:dyDescent="0.25">
      <c r="A156" s="154"/>
      <c r="G156" s="120"/>
      <c r="I156" s="120"/>
    </row>
    <row r="157" spans="1:9" x14ac:dyDescent="0.25">
      <c r="A157" s="154"/>
      <c r="G157" s="120"/>
      <c r="I157" s="120"/>
    </row>
    <row r="158" spans="1:9" x14ac:dyDescent="0.25">
      <c r="A158" s="154"/>
      <c r="G158" s="120"/>
    </row>
    <row r="159" spans="1:9" x14ac:dyDescent="0.25">
      <c r="A159" s="154"/>
      <c r="G159" s="120"/>
      <c r="I159" s="120"/>
    </row>
    <row r="160" spans="1:9" x14ac:dyDescent="0.25">
      <c r="A160" s="154"/>
      <c r="G160" s="120"/>
      <c r="I160" s="120"/>
    </row>
    <row r="161" spans="1:9" x14ac:dyDescent="0.25">
      <c r="A161" s="154"/>
      <c r="G161" s="120"/>
      <c r="I161" s="120"/>
    </row>
    <row r="162" spans="1:9" x14ac:dyDescent="0.25">
      <c r="A162" s="154"/>
      <c r="G162" s="120"/>
      <c r="I162" s="120"/>
    </row>
    <row r="163" spans="1:9" x14ac:dyDescent="0.25">
      <c r="A163" s="154"/>
      <c r="G163" s="120"/>
      <c r="I163" s="120"/>
    </row>
    <row r="164" spans="1:9" x14ac:dyDescent="0.25">
      <c r="A164" s="154"/>
      <c r="G164" s="120"/>
      <c r="I164" s="120"/>
    </row>
    <row r="165" spans="1:9" x14ac:dyDescent="0.25">
      <c r="A165" s="154"/>
      <c r="G165" s="120"/>
      <c r="I165" s="120"/>
    </row>
    <row r="166" spans="1:9" x14ac:dyDescent="0.25">
      <c r="A166" s="154"/>
      <c r="G166" s="120"/>
      <c r="I166" s="120"/>
    </row>
    <row r="167" spans="1:9" x14ac:dyDescent="0.25">
      <c r="A167" s="154"/>
      <c r="G167" s="120"/>
      <c r="I167" s="120"/>
    </row>
    <row r="168" spans="1:9" x14ac:dyDescent="0.25">
      <c r="A168" s="154"/>
      <c r="G168" s="120"/>
    </row>
    <row r="169" spans="1:9" x14ac:dyDescent="0.25">
      <c r="A169" s="154"/>
      <c r="G169" s="120"/>
      <c r="I169" s="120"/>
    </row>
    <row r="170" spans="1:9" x14ac:dyDescent="0.25">
      <c r="A170" s="154"/>
      <c r="G170" s="120"/>
      <c r="I170" s="120"/>
    </row>
    <row r="171" spans="1:9" x14ac:dyDescent="0.25">
      <c r="A171" s="154"/>
      <c r="G171" s="120"/>
      <c r="I171" s="120"/>
    </row>
    <row r="172" spans="1:9" x14ac:dyDescent="0.25">
      <c r="A172" s="154"/>
      <c r="G172" s="120"/>
      <c r="I172" s="120"/>
    </row>
    <row r="173" spans="1:9" x14ac:dyDescent="0.25">
      <c r="A173" s="154"/>
      <c r="G173" s="120"/>
      <c r="I173" s="120"/>
    </row>
    <row r="174" spans="1:9" x14ac:dyDescent="0.25">
      <c r="A174" s="154"/>
      <c r="G174" s="120"/>
      <c r="I174" s="120"/>
    </row>
    <row r="175" spans="1:9" x14ac:dyDescent="0.25">
      <c r="A175" s="154"/>
      <c r="G175" s="120"/>
      <c r="I175" s="120"/>
    </row>
    <row r="176" spans="1:9" x14ac:dyDescent="0.25">
      <c r="A176" s="154"/>
      <c r="G176" s="120"/>
      <c r="I176" s="120"/>
    </row>
    <row r="177" spans="1:9" x14ac:dyDescent="0.25">
      <c r="A177" s="154"/>
      <c r="G177" s="120"/>
      <c r="I177" s="120"/>
    </row>
    <row r="178" spans="1:9" x14ac:dyDescent="0.25">
      <c r="A178" s="154"/>
      <c r="G178" s="120"/>
      <c r="I178" s="120"/>
    </row>
    <row r="179" spans="1:9" x14ac:dyDescent="0.25">
      <c r="A179" s="154"/>
      <c r="G179" s="120"/>
      <c r="I179" s="120"/>
    </row>
    <row r="180" spans="1:9" x14ac:dyDescent="0.25">
      <c r="A180" s="154"/>
      <c r="G180" s="120"/>
      <c r="I180" s="120"/>
    </row>
    <row r="181" spans="1:9" x14ac:dyDescent="0.25">
      <c r="A181" s="154"/>
      <c r="G181" s="120"/>
      <c r="I181" s="120"/>
    </row>
    <row r="182" spans="1:9" x14ac:dyDescent="0.25">
      <c r="A182" s="154"/>
      <c r="G182" s="120"/>
      <c r="I182" s="120"/>
    </row>
    <row r="183" spans="1:9" x14ac:dyDescent="0.25">
      <c r="A183" s="154"/>
      <c r="G183" s="120"/>
      <c r="I183" s="120"/>
    </row>
    <row r="184" spans="1:9" x14ac:dyDescent="0.25">
      <c r="A184" s="154"/>
      <c r="G184" s="120"/>
      <c r="I184" s="120"/>
    </row>
    <row r="185" spans="1:9" x14ac:dyDescent="0.25">
      <c r="A185" s="154"/>
      <c r="G185" s="120"/>
      <c r="I185" s="120"/>
    </row>
    <row r="186" spans="1:9" x14ac:dyDescent="0.25">
      <c r="A186" s="154"/>
      <c r="G186" s="120"/>
      <c r="I186" s="120"/>
    </row>
    <row r="187" spans="1:9" x14ac:dyDescent="0.25">
      <c r="A187" s="154"/>
      <c r="G187" s="120"/>
      <c r="I187" s="120"/>
    </row>
    <row r="188" spans="1:9" x14ac:dyDescent="0.25">
      <c r="A188" s="154"/>
      <c r="G188" s="120"/>
      <c r="I188" s="120"/>
    </row>
    <row r="189" spans="1:9" x14ac:dyDescent="0.25">
      <c r="A189" s="154"/>
      <c r="G189" s="120"/>
      <c r="I189" s="120"/>
    </row>
    <row r="190" spans="1:9" x14ac:dyDescent="0.25">
      <c r="A190" s="154"/>
      <c r="G190" s="120"/>
      <c r="I190" s="120"/>
    </row>
    <row r="191" spans="1:9" x14ac:dyDescent="0.25">
      <c r="A191" s="154"/>
      <c r="G191" s="120"/>
      <c r="I191" s="120"/>
    </row>
    <row r="192" spans="1:9" x14ac:dyDescent="0.25">
      <c r="A192" s="154"/>
      <c r="G192" s="120"/>
      <c r="I192" s="120"/>
    </row>
    <row r="193" spans="1:9" x14ac:dyDescent="0.25">
      <c r="A193" s="154"/>
      <c r="G193" s="120"/>
      <c r="I193" s="120"/>
    </row>
    <row r="194" spans="1:9" x14ac:dyDescent="0.25">
      <c r="A194" s="154"/>
      <c r="G194" s="120"/>
      <c r="I194" s="120"/>
    </row>
    <row r="195" spans="1:9" x14ac:dyDescent="0.25">
      <c r="A195" s="154"/>
      <c r="G195" s="120"/>
      <c r="I195" s="120"/>
    </row>
    <row r="196" spans="1:9" x14ac:dyDescent="0.25">
      <c r="A196" s="154"/>
      <c r="G196" s="120"/>
      <c r="I196" s="120"/>
    </row>
    <row r="197" spans="1:9" x14ac:dyDescent="0.25">
      <c r="A197" s="154"/>
      <c r="G197" s="120"/>
      <c r="I197" s="120"/>
    </row>
    <row r="198" spans="1:9" x14ac:dyDescent="0.25">
      <c r="A198" s="154"/>
      <c r="G198" s="120"/>
      <c r="I198" s="120"/>
    </row>
    <row r="199" spans="1:9" x14ac:dyDescent="0.25">
      <c r="A199" s="154"/>
      <c r="G199" s="120"/>
      <c r="I199" s="120"/>
    </row>
    <row r="200" spans="1:9" x14ac:dyDescent="0.25">
      <c r="A200" s="154"/>
      <c r="G200" s="120"/>
      <c r="I200" s="120"/>
    </row>
    <row r="201" spans="1:9" x14ac:dyDescent="0.25">
      <c r="A201" s="154"/>
      <c r="G201" s="120"/>
      <c r="I201" s="120"/>
    </row>
    <row r="202" spans="1:9" x14ac:dyDescent="0.25">
      <c r="A202" s="154"/>
      <c r="G202" s="120"/>
      <c r="I202" s="120"/>
    </row>
    <row r="203" spans="1:9" x14ac:dyDescent="0.25">
      <c r="A203" s="154"/>
      <c r="G203" s="120"/>
      <c r="I203" s="120"/>
    </row>
    <row r="204" spans="1:9" x14ac:dyDescent="0.25">
      <c r="A204" s="154"/>
      <c r="G204" s="120"/>
      <c r="I204" s="120"/>
    </row>
    <row r="205" spans="1:9" x14ac:dyDescent="0.25">
      <c r="A205" s="154"/>
      <c r="G205" s="120"/>
      <c r="I205" s="120"/>
    </row>
    <row r="206" spans="1:9" x14ac:dyDescent="0.25">
      <c r="A206" s="154"/>
      <c r="G206" s="120"/>
      <c r="I206" s="120"/>
    </row>
    <row r="207" spans="1:9" x14ac:dyDescent="0.25">
      <c r="A207" s="154"/>
      <c r="G207" s="120"/>
      <c r="I207" s="120"/>
    </row>
    <row r="208" spans="1:9" x14ac:dyDescent="0.25">
      <c r="A208" s="154"/>
      <c r="G208" s="120"/>
      <c r="I208" s="120"/>
    </row>
    <row r="209" spans="1:9" x14ac:dyDescent="0.25">
      <c r="A209" s="154"/>
      <c r="G209" s="120"/>
      <c r="I209" s="120"/>
    </row>
    <row r="210" spans="1:9" x14ac:dyDescent="0.25">
      <c r="A210" s="154"/>
      <c r="G210" s="120"/>
      <c r="I210" s="120"/>
    </row>
    <row r="211" spans="1:9" x14ac:dyDescent="0.25">
      <c r="A211" s="154"/>
      <c r="G211" s="120"/>
      <c r="I211" s="120"/>
    </row>
    <row r="212" spans="1:9" x14ac:dyDescent="0.25">
      <c r="A212" s="154"/>
      <c r="G212" s="120"/>
      <c r="I212" s="120"/>
    </row>
    <row r="213" spans="1:9" x14ac:dyDescent="0.25">
      <c r="A213" s="154"/>
      <c r="G213" s="120"/>
      <c r="I213" s="120"/>
    </row>
    <row r="214" spans="1:9" x14ac:dyDescent="0.25">
      <c r="A214" s="154"/>
      <c r="G214" s="120"/>
      <c r="I214" s="120"/>
    </row>
    <row r="215" spans="1:9" x14ac:dyDescent="0.25">
      <c r="A215" s="154"/>
      <c r="G215" s="120"/>
    </row>
    <row r="216" spans="1:9" x14ac:dyDescent="0.25">
      <c r="A216" s="154"/>
      <c r="G216" s="120"/>
    </row>
    <row r="217" spans="1:9" x14ac:dyDescent="0.25">
      <c r="A217" s="154"/>
      <c r="G217" s="120"/>
    </row>
    <row r="218" spans="1:9" x14ac:dyDescent="0.25">
      <c r="A218" s="154"/>
      <c r="G218" s="120"/>
    </row>
    <row r="219" spans="1:9" x14ac:dyDescent="0.25">
      <c r="A219" s="154"/>
      <c r="G219" s="149"/>
    </row>
    <row r="220" spans="1:9" x14ac:dyDescent="0.25">
      <c r="A220" s="154"/>
      <c r="G220" s="149"/>
    </row>
    <row r="221" spans="1:9" x14ac:dyDescent="0.25">
      <c r="A221" s="154"/>
      <c r="G221" s="149"/>
    </row>
    <row r="222" spans="1:9" x14ac:dyDescent="0.25">
      <c r="A222" s="154"/>
      <c r="G222" s="149"/>
    </row>
    <row r="223" spans="1:9" x14ac:dyDescent="0.25">
      <c r="A223" s="154"/>
      <c r="G223" s="149"/>
    </row>
    <row r="224" spans="1:9" x14ac:dyDescent="0.25">
      <c r="A224" s="154"/>
      <c r="G224" s="149"/>
    </row>
    <row r="225" spans="1:7" x14ac:dyDescent="0.25">
      <c r="A225" s="154"/>
      <c r="G225" s="149"/>
    </row>
    <row r="226" spans="1:7" x14ac:dyDescent="0.25">
      <c r="A226" s="154"/>
      <c r="G226" s="149"/>
    </row>
    <row r="227" spans="1:7" x14ac:dyDescent="0.25">
      <c r="A227" s="154"/>
      <c r="G227" s="149"/>
    </row>
    <row r="228" spans="1:7" x14ac:dyDescent="0.25">
      <c r="A228" s="154"/>
      <c r="G228" s="149"/>
    </row>
    <row r="229" spans="1:7" x14ac:dyDescent="0.25">
      <c r="A229" s="154"/>
      <c r="G229" s="149"/>
    </row>
    <row r="230" spans="1:7" x14ac:dyDescent="0.25">
      <c r="A230" s="154"/>
      <c r="G230" s="149"/>
    </row>
    <row r="231" spans="1:7" x14ac:dyDescent="0.25">
      <c r="A231" s="154"/>
      <c r="G231" s="149"/>
    </row>
    <row r="232" spans="1:7" x14ac:dyDescent="0.25">
      <c r="A232" s="154"/>
      <c r="G232" s="149"/>
    </row>
    <row r="233" spans="1:7" x14ac:dyDescent="0.25">
      <c r="A233" s="154"/>
      <c r="G233" s="149"/>
    </row>
    <row r="234" spans="1:7" x14ac:dyDescent="0.25">
      <c r="A234" s="154"/>
      <c r="G234" s="149"/>
    </row>
    <row r="235" spans="1:7" x14ac:dyDescent="0.25">
      <c r="A235" s="154"/>
      <c r="G235" s="149"/>
    </row>
    <row r="236" spans="1:7" x14ac:dyDescent="0.25">
      <c r="A236" s="154"/>
      <c r="G236" s="149"/>
    </row>
    <row r="237" spans="1:7" x14ac:dyDescent="0.25">
      <c r="A237" s="154"/>
      <c r="G237" s="149"/>
    </row>
    <row r="238" spans="1:7" x14ac:dyDescent="0.25">
      <c r="A238" s="154"/>
      <c r="G238" s="149"/>
    </row>
    <row r="239" spans="1:7" x14ac:dyDescent="0.25">
      <c r="A239" s="154"/>
      <c r="G239" s="149"/>
    </row>
    <row r="240" spans="1:7" x14ac:dyDescent="0.25">
      <c r="A240" s="154"/>
      <c r="G240" s="149"/>
    </row>
    <row r="241" spans="1:7" x14ac:dyDescent="0.25">
      <c r="A241" s="154"/>
      <c r="G241" s="149"/>
    </row>
    <row r="242" spans="1:7" x14ac:dyDescent="0.25">
      <c r="A242" s="154"/>
      <c r="G242" s="149"/>
    </row>
    <row r="243" spans="1:7" x14ac:dyDescent="0.25">
      <c r="A243" s="154"/>
      <c r="G243" s="149"/>
    </row>
    <row r="244" spans="1:7" x14ac:dyDescent="0.25">
      <c r="A244" s="154"/>
      <c r="G244" s="149"/>
    </row>
    <row r="245" spans="1:7" x14ac:dyDescent="0.25">
      <c r="A245" s="154"/>
      <c r="G245" s="149"/>
    </row>
    <row r="246" spans="1:7" x14ac:dyDescent="0.25">
      <c r="A246" s="154"/>
      <c r="G246" s="149"/>
    </row>
    <row r="247" spans="1:7" x14ac:dyDescent="0.25">
      <c r="A247" s="154"/>
      <c r="G247" s="149"/>
    </row>
    <row r="248" spans="1:7" x14ac:dyDescent="0.25">
      <c r="A248" s="154"/>
      <c r="G248" s="149"/>
    </row>
    <row r="249" spans="1:7" x14ac:dyDescent="0.25">
      <c r="A249" s="154"/>
      <c r="G249" s="149"/>
    </row>
    <row r="250" spans="1:7" x14ac:dyDescent="0.25">
      <c r="A250" s="154"/>
      <c r="G250" s="149"/>
    </row>
    <row r="251" spans="1:7" x14ac:dyDescent="0.25">
      <c r="A251" s="154"/>
      <c r="G251" s="149"/>
    </row>
    <row r="252" spans="1:7" x14ac:dyDescent="0.25">
      <c r="A252" s="154"/>
      <c r="G252" s="149"/>
    </row>
    <row r="253" spans="1:7" x14ac:dyDescent="0.25">
      <c r="A253" s="154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29"/>
  <sheetViews>
    <sheetView zoomScale="110" zoomScaleNormal="110" workbookViewId="0"/>
  </sheetViews>
  <sheetFormatPr defaultRowHeight="12.5" x14ac:dyDescent="0.25"/>
  <cols>
    <col min="1" max="1" width="10.54296875" customWidth="1"/>
    <col min="2" max="5" width="8.7265625" customWidth="1"/>
    <col min="6" max="11" width="10.54296875" customWidth="1"/>
  </cols>
  <sheetData>
    <row r="1" spans="1:8" ht="14" x14ac:dyDescent="0.3">
      <c r="A1" s="135" t="s">
        <v>38</v>
      </c>
      <c r="B1" s="36" t="s">
        <v>171</v>
      </c>
      <c r="C1" s="36" t="s">
        <v>172</v>
      </c>
      <c r="D1" s="36" t="s">
        <v>173</v>
      </c>
      <c r="E1" s="36"/>
      <c r="F1" s="135"/>
      <c r="H1" s="13"/>
    </row>
    <row r="2" spans="1:8" ht="14" x14ac:dyDescent="0.3">
      <c r="A2" s="161" t="s">
        <v>174</v>
      </c>
      <c r="B2" s="36"/>
      <c r="C2" s="36"/>
      <c r="D2" s="36"/>
      <c r="E2" s="36"/>
      <c r="F2" s="147"/>
      <c r="H2" s="13"/>
    </row>
    <row r="3" spans="1:8" x14ac:dyDescent="0.25">
      <c r="B3" s="135"/>
      <c r="C3" s="135" t="s">
        <v>160</v>
      </c>
      <c r="D3" s="135"/>
      <c r="F3" s="125"/>
      <c r="H3" s="13"/>
    </row>
    <row r="4" spans="1:8" ht="14" x14ac:dyDescent="0.3">
      <c r="A4" s="36" t="s">
        <v>48</v>
      </c>
      <c r="B4" s="157">
        <v>29.951000000000001</v>
      </c>
      <c r="C4" s="157">
        <v>40.959000000000003</v>
      </c>
      <c r="D4" s="157">
        <v>9.2059999999999995</v>
      </c>
      <c r="E4" s="162"/>
      <c r="F4" s="125"/>
    </row>
    <row r="5" spans="1:8" ht="14" x14ac:dyDescent="0.3">
      <c r="A5" s="36" t="s">
        <v>59</v>
      </c>
      <c r="B5" s="157">
        <v>36.256999999999998</v>
      </c>
      <c r="C5" s="157">
        <v>37.186</v>
      </c>
      <c r="D5" s="157">
        <v>7.3680000000000003</v>
      </c>
      <c r="E5" s="162"/>
      <c r="F5" s="125"/>
    </row>
    <row r="6" spans="1:8" ht="14" x14ac:dyDescent="0.3">
      <c r="A6" s="36" t="s">
        <v>81</v>
      </c>
      <c r="B6" s="157">
        <v>41.904000000000003</v>
      </c>
      <c r="C6" s="157">
        <v>36.128999999999998</v>
      </c>
      <c r="D6" s="157">
        <v>7.7380000000000004</v>
      </c>
      <c r="E6" s="162"/>
      <c r="F6" s="125"/>
    </row>
    <row r="7" spans="1:8" ht="14" x14ac:dyDescent="0.3">
      <c r="A7" s="36" t="s">
        <v>88</v>
      </c>
      <c r="B7" s="157">
        <v>46.829000000000001</v>
      </c>
      <c r="C7" s="157">
        <v>44.594000000000001</v>
      </c>
      <c r="D7" s="157">
        <v>7.8419999999999996</v>
      </c>
      <c r="E7" s="162"/>
      <c r="F7" s="125"/>
    </row>
    <row r="8" spans="1:8" ht="14" x14ac:dyDescent="0.3">
      <c r="A8" s="36" t="s">
        <v>91</v>
      </c>
      <c r="B8" s="157">
        <v>50.612000000000002</v>
      </c>
      <c r="C8" s="162">
        <v>50.136000000000003</v>
      </c>
      <c r="D8" s="162">
        <v>10.574999999999999</v>
      </c>
      <c r="E8" s="162"/>
      <c r="F8" s="125"/>
    </row>
    <row r="9" spans="1:8" ht="14" x14ac:dyDescent="0.3">
      <c r="A9" s="36" t="s">
        <v>92</v>
      </c>
      <c r="B9" s="125">
        <v>54.383000000000003</v>
      </c>
      <c r="C9" s="125">
        <v>52.869</v>
      </c>
      <c r="D9" s="125">
        <v>9.9220000000000006</v>
      </c>
      <c r="E9" s="162"/>
      <c r="F9" s="125"/>
    </row>
    <row r="10" spans="1:8" ht="14" x14ac:dyDescent="0.3">
      <c r="A10" s="36" t="s">
        <v>107</v>
      </c>
      <c r="B10" s="125">
        <v>63.137</v>
      </c>
      <c r="C10" s="125">
        <v>58.963999999999999</v>
      </c>
      <c r="D10" s="125">
        <v>7.0250000000000004</v>
      </c>
      <c r="E10" s="162"/>
      <c r="F10" s="125"/>
    </row>
    <row r="11" spans="1:8" ht="14" x14ac:dyDescent="0.3">
      <c r="A11" s="36" t="s">
        <v>109</v>
      </c>
      <c r="B11" s="125">
        <v>76.135999999999996</v>
      </c>
      <c r="C11" s="125">
        <v>58.070999999999998</v>
      </c>
      <c r="D11" s="125">
        <v>2.1320000000000001</v>
      </c>
      <c r="E11" s="125"/>
      <c r="F11" s="125"/>
    </row>
    <row r="12" spans="1:8" ht="14" x14ac:dyDescent="0.3">
      <c r="A12" s="36" t="s">
        <v>142</v>
      </c>
      <c r="B12" s="125">
        <v>74.593999999999994</v>
      </c>
      <c r="C12" s="125">
        <v>47.676000000000002</v>
      </c>
      <c r="D12" s="125">
        <v>9.1039999999999992</v>
      </c>
      <c r="E12" s="125"/>
      <c r="F12" s="125"/>
    </row>
    <row r="13" spans="1:8" ht="14" x14ac:dyDescent="0.3">
      <c r="A13" s="36" t="s">
        <v>147</v>
      </c>
      <c r="B13" s="125">
        <v>93.5</v>
      </c>
      <c r="C13" s="125">
        <v>44.905999999999999</v>
      </c>
      <c r="D13" s="125">
        <v>9.5</v>
      </c>
      <c r="E13" s="125"/>
      <c r="F13" s="125"/>
    </row>
    <row r="14" spans="1:8" ht="14" x14ac:dyDescent="0.3">
      <c r="A14" s="36" t="s">
        <v>175</v>
      </c>
      <c r="B14" s="125">
        <v>84</v>
      </c>
      <c r="C14" s="125">
        <v>57.832999999999998</v>
      </c>
      <c r="D14" s="125">
        <v>7.5</v>
      </c>
      <c r="E14" s="125"/>
      <c r="F14" s="125"/>
    </row>
    <row r="15" spans="1:8" ht="14" x14ac:dyDescent="0.3">
      <c r="A15" s="39"/>
      <c r="B15" s="125"/>
      <c r="C15" s="125"/>
      <c r="D15" s="125"/>
      <c r="E15" s="125"/>
      <c r="F15" s="125"/>
    </row>
    <row r="16" spans="1:8" x14ac:dyDescent="0.25">
      <c r="A16" s="18"/>
      <c r="B16" s="151"/>
      <c r="C16" s="125"/>
      <c r="D16" s="125"/>
    </row>
    <row r="17" spans="1:5" x14ac:dyDescent="0.25">
      <c r="A17" s="18"/>
      <c r="B17" s="125"/>
      <c r="C17" s="125"/>
      <c r="D17" s="125"/>
      <c r="E17" s="125"/>
    </row>
    <row r="18" spans="1:5" ht="14" x14ac:dyDescent="0.3">
      <c r="A18" s="133"/>
      <c r="B18" s="125"/>
      <c r="C18" s="125"/>
      <c r="D18" s="125"/>
      <c r="E18" s="125"/>
    </row>
    <row r="19" spans="1:5" ht="14" x14ac:dyDescent="0.3">
      <c r="A19" s="133"/>
      <c r="B19" s="125"/>
      <c r="C19" s="125"/>
      <c r="D19" s="125"/>
      <c r="E19" s="125"/>
    </row>
    <row r="20" spans="1:5" ht="14" x14ac:dyDescent="0.3">
      <c r="A20" s="133"/>
      <c r="B20" s="125"/>
      <c r="C20" s="125"/>
      <c r="D20" s="125"/>
      <c r="E20" s="125"/>
    </row>
    <row r="21" spans="1:5" ht="14" x14ac:dyDescent="0.3">
      <c r="A21" s="133"/>
      <c r="B21" s="125"/>
      <c r="C21" s="125"/>
      <c r="D21" s="125"/>
      <c r="E21" s="125"/>
    </row>
    <row r="22" spans="1:5" ht="14" x14ac:dyDescent="0.3">
      <c r="A22" s="133"/>
      <c r="B22" s="125"/>
      <c r="C22" s="125"/>
      <c r="D22" s="125"/>
      <c r="E22" s="125"/>
    </row>
    <row r="23" spans="1:5" ht="14" x14ac:dyDescent="0.3">
      <c r="A23" s="133"/>
      <c r="B23" s="125"/>
      <c r="C23" s="125"/>
      <c r="D23" s="125"/>
      <c r="E23" s="125"/>
    </row>
    <row r="24" spans="1:5" ht="14" x14ac:dyDescent="0.3">
      <c r="A24" s="133"/>
      <c r="B24" s="125"/>
      <c r="C24" s="125"/>
      <c r="D24" s="125"/>
      <c r="E24" s="125"/>
    </row>
    <row r="25" spans="1:5" ht="14" x14ac:dyDescent="0.3">
      <c r="A25" s="133"/>
      <c r="B25" s="125"/>
      <c r="C25" s="125"/>
      <c r="D25" s="125"/>
      <c r="E25" s="125"/>
    </row>
    <row r="26" spans="1:5" ht="14" x14ac:dyDescent="0.3">
      <c r="A26" s="133"/>
      <c r="B26" s="125"/>
      <c r="C26" s="125"/>
      <c r="D26" s="125"/>
      <c r="E26" s="125"/>
    </row>
    <row r="27" spans="1:5" ht="14" x14ac:dyDescent="0.3">
      <c r="A27" s="133"/>
      <c r="B27" s="125"/>
      <c r="C27" s="125"/>
      <c r="D27" s="125"/>
      <c r="E27" s="125"/>
    </row>
    <row r="28" spans="1:5" ht="14" x14ac:dyDescent="0.3">
      <c r="A28" s="133"/>
      <c r="B28" s="125"/>
      <c r="C28" s="125"/>
      <c r="D28" s="125"/>
      <c r="E28" s="125"/>
    </row>
    <row r="29" spans="1:5" ht="14" x14ac:dyDescent="0.3">
      <c r="A29" s="133"/>
      <c r="B29" s="124"/>
      <c r="C29" s="124"/>
      <c r="D29" s="124"/>
    </row>
    <row r="30" spans="1:5" ht="14" x14ac:dyDescent="0.3">
      <c r="A30" s="133"/>
      <c r="B30" s="124"/>
      <c r="C30" s="124"/>
      <c r="D30" s="124"/>
    </row>
    <row r="31" spans="1:5" ht="14" x14ac:dyDescent="0.3">
      <c r="A31" s="133"/>
      <c r="B31" s="124"/>
      <c r="C31" s="124"/>
      <c r="D31" s="124"/>
    </row>
    <row r="32" spans="1:5" ht="14" x14ac:dyDescent="0.3">
      <c r="A32" s="133"/>
      <c r="B32" s="124"/>
      <c r="C32" s="124"/>
      <c r="D32" s="124"/>
    </row>
    <row r="33" spans="1:4" ht="14" x14ac:dyDescent="0.3">
      <c r="A33" s="133"/>
      <c r="B33" s="124"/>
      <c r="C33" s="124"/>
      <c r="D33" s="124"/>
    </row>
    <row r="34" spans="1:4" ht="14" x14ac:dyDescent="0.3">
      <c r="A34" s="133"/>
      <c r="B34" s="124"/>
      <c r="C34" s="124"/>
      <c r="D34" s="124"/>
    </row>
    <row r="35" spans="1:4" ht="14" x14ac:dyDescent="0.3">
      <c r="A35" s="133"/>
      <c r="B35" s="124"/>
      <c r="C35" s="124"/>
      <c r="D35" s="124"/>
    </row>
    <row r="36" spans="1:4" ht="14" x14ac:dyDescent="0.3">
      <c r="A36" s="133"/>
      <c r="B36" s="124"/>
      <c r="C36" s="124"/>
      <c r="D36" s="124"/>
    </row>
    <row r="37" spans="1:4" ht="14" x14ac:dyDescent="0.3">
      <c r="A37" s="133"/>
      <c r="B37" s="124"/>
      <c r="C37" s="124"/>
      <c r="D37" s="124"/>
    </row>
    <row r="38" spans="1:4" ht="14" x14ac:dyDescent="0.3">
      <c r="A38" s="133"/>
      <c r="B38" s="124"/>
      <c r="C38" s="124"/>
      <c r="D38" s="124"/>
    </row>
    <row r="39" spans="1:4" ht="14" x14ac:dyDescent="0.3">
      <c r="A39" s="133"/>
      <c r="B39" s="124"/>
      <c r="C39" s="124"/>
      <c r="D39" s="124"/>
    </row>
    <row r="40" spans="1:4" ht="14" x14ac:dyDescent="0.3">
      <c r="A40" s="133"/>
      <c r="B40" s="124"/>
      <c r="C40" s="124"/>
      <c r="D40" s="124"/>
    </row>
    <row r="41" spans="1:4" ht="14" x14ac:dyDescent="0.3">
      <c r="A41" s="133"/>
      <c r="B41" s="124"/>
      <c r="C41" s="124"/>
      <c r="D41" s="124"/>
    </row>
    <row r="42" spans="1:4" ht="14" x14ac:dyDescent="0.3">
      <c r="A42" s="133"/>
      <c r="B42" s="124"/>
      <c r="C42" s="124"/>
      <c r="D42" s="124"/>
    </row>
    <row r="43" spans="1:4" ht="14" x14ac:dyDescent="0.3">
      <c r="A43" s="133"/>
      <c r="B43" s="124"/>
      <c r="C43" s="124"/>
      <c r="D43" s="124"/>
    </row>
    <row r="44" spans="1:4" ht="14" x14ac:dyDescent="0.3">
      <c r="A44" s="133"/>
      <c r="B44" s="124"/>
      <c r="C44" s="124"/>
      <c r="D44" s="124"/>
    </row>
    <row r="45" spans="1:4" ht="14" x14ac:dyDescent="0.3">
      <c r="A45" s="133"/>
      <c r="B45" s="124"/>
      <c r="C45" s="124"/>
      <c r="D45" s="124"/>
    </row>
    <row r="46" spans="1:4" ht="14" x14ac:dyDescent="0.3">
      <c r="A46" s="133"/>
      <c r="B46" s="124"/>
      <c r="C46" s="124"/>
      <c r="D46" s="124"/>
    </row>
    <row r="47" spans="1:4" ht="14" x14ac:dyDescent="0.3">
      <c r="A47" s="133"/>
      <c r="B47" s="124"/>
      <c r="C47" s="124"/>
      <c r="D47" s="124"/>
    </row>
    <row r="48" spans="1:4" ht="14" x14ac:dyDescent="0.3">
      <c r="A48" s="133"/>
      <c r="B48" s="124"/>
      <c r="C48" s="124"/>
      <c r="D48" s="124"/>
    </row>
    <row r="49" spans="1:4" ht="14" x14ac:dyDescent="0.3">
      <c r="A49" s="133"/>
      <c r="B49" s="124"/>
      <c r="C49" s="124"/>
      <c r="D49" s="124"/>
    </row>
    <row r="50" spans="1:4" ht="14" x14ac:dyDescent="0.3">
      <c r="A50" s="133"/>
      <c r="B50" s="124"/>
      <c r="C50" s="124"/>
      <c r="D50" s="124"/>
    </row>
    <row r="51" spans="1:4" ht="14" x14ac:dyDescent="0.3">
      <c r="A51" s="133"/>
      <c r="B51" s="124"/>
      <c r="C51" s="124"/>
      <c r="D51" s="124"/>
    </row>
    <row r="52" spans="1:4" ht="14" x14ac:dyDescent="0.3">
      <c r="A52" s="133"/>
      <c r="B52" s="124"/>
      <c r="C52" s="124"/>
      <c r="D52" s="124"/>
    </row>
    <row r="53" spans="1:4" ht="14" x14ac:dyDescent="0.3">
      <c r="A53" s="133"/>
      <c r="B53" s="124"/>
      <c r="C53" s="124"/>
      <c r="D53" s="124"/>
    </row>
    <row r="54" spans="1:4" ht="14" x14ac:dyDescent="0.3">
      <c r="A54" s="133"/>
      <c r="B54" s="124"/>
      <c r="C54" s="124"/>
      <c r="D54" s="124"/>
    </row>
    <row r="55" spans="1:4" ht="14" x14ac:dyDescent="0.3">
      <c r="A55" s="133"/>
      <c r="B55" s="124"/>
      <c r="C55" s="124"/>
      <c r="D55" s="124"/>
    </row>
    <row r="56" spans="1:4" ht="14" x14ac:dyDescent="0.3">
      <c r="A56" s="133"/>
      <c r="B56" s="124"/>
      <c r="C56" s="124"/>
      <c r="D56" s="124"/>
    </row>
    <row r="57" spans="1:4" ht="14" x14ac:dyDescent="0.3">
      <c r="A57" s="133"/>
      <c r="B57" s="124"/>
      <c r="C57" s="124"/>
      <c r="D57" s="124"/>
    </row>
    <row r="58" spans="1:4" ht="14" x14ac:dyDescent="0.3">
      <c r="A58" s="133"/>
      <c r="B58" s="124"/>
      <c r="C58" s="124"/>
      <c r="D58" s="124"/>
    </row>
    <row r="59" spans="1:4" ht="14" x14ac:dyDescent="0.3">
      <c r="A59" s="133"/>
      <c r="B59" s="124"/>
      <c r="C59" s="124"/>
      <c r="D59" s="124"/>
    </row>
    <row r="60" spans="1:4" ht="14" x14ac:dyDescent="0.3">
      <c r="A60" s="133"/>
      <c r="B60" s="124"/>
      <c r="C60" s="124"/>
      <c r="D60" s="124"/>
    </row>
    <row r="61" spans="1:4" ht="14" x14ac:dyDescent="0.3">
      <c r="A61" s="133"/>
      <c r="B61" s="124"/>
      <c r="C61" s="124"/>
      <c r="D61" s="124"/>
    </row>
    <row r="62" spans="1:4" ht="14" x14ac:dyDescent="0.3">
      <c r="A62" s="133"/>
      <c r="B62" s="124"/>
      <c r="C62" s="124"/>
      <c r="D62" s="124"/>
    </row>
    <row r="63" spans="1:4" ht="14" x14ac:dyDescent="0.3">
      <c r="A63" s="133"/>
      <c r="B63" s="124"/>
      <c r="C63" s="124"/>
      <c r="D63" s="124"/>
    </row>
    <row r="64" spans="1:4" ht="14" x14ac:dyDescent="0.3">
      <c r="A64" s="133"/>
      <c r="B64" s="124"/>
      <c r="C64" s="124"/>
      <c r="D64" s="124"/>
    </row>
    <row r="65" spans="1:4" ht="14" x14ac:dyDescent="0.3">
      <c r="A65" s="133"/>
      <c r="B65" s="124"/>
      <c r="C65" s="124"/>
      <c r="D65" s="124"/>
    </row>
    <row r="66" spans="1:4" ht="14" x14ac:dyDescent="0.3">
      <c r="A66" s="133"/>
      <c r="B66" s="124"/>
      <c r="C66" s="124"/>
      <c r="D66" s="124"/>
    </row>
    <row r="67" spans="1:4" ht="14" x14ac:dyDescent="0.3">
      <c r="A67" s="133"/>
      <c r="B67" s="124"/>
      <c r="C67" s="124"/>
      <c r="D67" s="124"/>
    </row>
    <row r="68" spans="1:4" ht="14" x14ac:dyDescent="0.3">
      <c r="A68" s="133"/>
      <c r="B68" s="124"/>
      <c r="C68" s="124"/>
      <c r="D68" s="124"/>
    </row>
    <row r="69" spans="1:4" ht="14" x14ac:dyDescent="0.3">
      <c r="A69" s="133"/>
      <c r="B69" s="124"/>
      <c r="C69" s="124"/>
      <c r="D69" s="124"/>
    </row>
    <row r="70" spans="1:4" ht="14" x14ac:dyDescent="0.3">
      <c r="A70" s="133"/>
      <c r="B70" s="124"/>
      <c r="C70" s="124"/>
      <c r="D70" s="124"/>
    </row>
    <row r="71" spans="1:4" ht="14" x14ac:dyDescent="0.3">
      <c r="A71" s="133"/>
      <c r="B71" s="124"/>
      <c r="C71" s="124"/>
      <c r="D71" s="124"/>
    </row>
    <row r="72" spans="1:4" ht="14" x14ac:dyDescent="0.3">
      <c r="A72" s="133"/>
      <c r="B72" s="124"/>
      <c r="C72" s="124"/>
      <c r="D72" s="124"/>
    </row>
    <row r="73" spans="1:4" ht="14" x14ac:dyDescent="0.3">
      <c r="A73" s="133"/>
      <c r="B73" s="124"/>
      <c r="C73" s="124"/>
      <c r="D73" s="124"/>
    </row>
    <row r="74" spans="1:4" ht="14" x14ac:dyDescent="0.3">
      <c r="A74" s="133"/>
      <c r="B74" s="124"/>
      <c r="C74" s="124"/>
      <c r="D74" s="124"/>
    </row>
    <row r="75" spans="1:4" ht="14" x14ac:dyDescent="0.3">
      <c r="A75" s="133"/>
      <c r="B75" s="124"/>
      <c r="C75" s="124"/>
      <c r="D75" s="124"/>
    </row>
    <row r="76" spans="1:4" ht="14" x14ac:dyDescent="0.3">
      <c r="A76" s="133"/>
      <c r="B76" s="124"/>
      <c r="C76" s="124"/>
      <c r="D76" s="124"/>
    </row>
    <row r="77" spans="1:4" ht="14" x14ac:dyDescent="0.3">
      <c r="A77" s="133"/>
      <c r="B77" s="124"/>
      <c r="C77" s="124"/>
      <c r="D77" s="124"/>
    </row>
    <row r="78" spans="1:4" ht="14" x14ac:dyDescent="0.3">
      <c r="A78" s="133"/>
      <c r="B78" s="124"/>
      <c r="C78" s="124"/>
      <c r="D78" s="124"/>
    </row>
    <row r="79" spans="1:4" ht="14" x14ac:dyDescent="0.3">
      <c r="A79" s="133"/>
      <c r="B79" s="124"/>
      <c r="C79" s="124"/>
      <c r="D79" s="124"/>
    </row>
    <row r="80" spans="1:4" ht="14" x14ac:dyDescent="0.3">
      <c r="A80" s="133"/>
      <c r="B80" s="124"/>
      <c r="C80" s="124"/>
      <c r="D80" s="124"/>
    </row>
    <row r="81" spans="1:4" ht="14" x14ac:dyDescent="0.3">
      <c r="A81" s="133"/>
      <c r="B81" s="124"/>
      <c r="C81" s="124"/>
      <c r="D81" s="124"/>
    </row>
    <row r="82" spans="1:4" ht="14" x14ac:dyDescent="0.3">
      <c r="A82" s="133"/>
      <c r="B82" s="124"/>
      <c r="C82" s="124"/>
      <c r="D82" s="124"/>
    </row>
    <row r="83" spans="1:4" ht="14" x14ac:dyDescent="0.3">
      <c r="A83" s="133"/>
      <c r="B83" s="124"/>
      <c r="C83" s="124"/>
      <c r="D83" s="124"/>
    </row>
    <row r="84" spans="1:4" ht="14" x14ac:dyDescent="0.3">
      <c r="A84" s="133"/>
      <c r="B84" s="124"/>
      <c r="C84" s="124"/>
      <c r="D84" s="124"/>
    </row>
    <row r="85" spans="1:4" ht="14" x14ac:dyDescent="0.3">
      <c r="A85" s="133"/>
      <c r="B85" s="124"/>
      <c r="C85" s="124"/>
      <c r="D85" s="124"/>
    </row>
    <row r="86" spans="1:4" ht="14" x14ac:dyDescent="0.3">
      <c r="A86" s="133"/>
      <c r="B86" s="124"/>
      <c r="C86" s="124"/>
      <c r="D86" s="124"/>
    </row>
    <row r="87" spans="1:4" ht="14" x14ac:dyDescent="0.3">
      <c r="A87" s="133"/>
      <c r="B87" s="124"/>
      <c r="C87" s="124"/>
      <c r="D87" s="124"/>
    </row>
    <row r="88" spans="1:4" ht="14" x14ac:dyDescent="0.3">
      <c r="A88" s="133"/>
      <c r="B88" s="124"/>
      <c r="C88" s="124"/>
      <c r="D88" s="124"/>
    </row>
    <row r="89" spans="1:4" ht="14" x14ac:dyDescent="0.3">
      <c r="A89" s="133"/>
      <c r="B89" s="124"/>
      <c r="C89" s="124"/>
      <c r="D89" s="124"/>
    </row>
    <row r="90" spans="1:4" ht="14" x14ac:dyDescent="0.3">
      <c r="A90" s="133"/>
      <c r="B90" s="124"/>
      <c r="C90" s="124"/>
      <c r="D90" s="124"/>
    </row>
    <row r="91" spans="1:4" ht="14" x14ac:dyDescent="0.3">
      <c r="A91" s="133"/>
      <c r="B91" s="124"/>
      <c r="C91" s="124"/>
      <c r="D91" s="124"/>
    </row>
    <row r="92" spans="1:4" ht="14" x14ac:dyDescent="0.3">
      <c r="A92" s="133"/>
      <c r="B92" s="124"/>
      <c r="C92" s="124"/>
      <c r="D92" s="124"/>
    </row>
    <row r="93" spans="1:4" ht="14" x14ac:dyDescent="0.3">
      <c r="A93" s="133"/>
      <c r="B93" s="124"/>
      <c r="C93" s="124"/>
      <c r="D93" s="124"/>
    </row>
    <row r="94" spans="1:4" ht="14" x14ac:dyDescent="0.3">
      <c r="A94" s="133"/>
      <c r="B94" s="124"/>
      <c r="C94" s="124"/>
      <c r="D94" s="124"/>
    </row>
    <row r="95" spans="1:4" ht="14" x14ac:dyDescent="0.3">
      <c r="A95" s="133"/>
      <c r="B95" s="124"/>
      <c r="C95" s="124"/>
      <c r="D95" s="124"/>
    </row>
    <row r="96" spans="1:4" ht="14" x14ac:dyDescent="0.3">
      <c r="A96" s="133"/>
      <c r="B96" s="124"/>
      <c r="C96" s="124"/>
      <c r="D96" s="124"/>
    </row>
    <row r="97" spans="1:4" ht="14" x14ac:dyDescent="0.3">
      <c r="A97" s="133"/>
      <c r="B97" s="124"/>
      <c r="C97" s="124"/>
      <c r="D97" s="124"/>
    </row>
    <row r="98" spans="1:4" ht="14" x14ac:dyDescent="0.3">
      <c r="A98" s="133"/>
      <c r="B98" s="124"/>
      <c r="C98" s="124"/>
      <c r="D98" s="124"/>
    </row>
    <row r="99" spans="1:4" ht="14" x14ac:dyDescent="0.3">
      <c r="A99" s="133"/>
      <c r="B99" s="124"/>
      <c r="C99" s="124"/>
      <c r="D99" s="124"/>
    </row>
    <row r="100" spans="1:4" ht="14" x14ac:dyDescent="0.3">
      <c r="A100" s="133"/>
      <c r="B100" s="124"/>
      <c r="C100" s="124"/>
      <c r="D100" s="124"/>
    </row>
    <row r="101" spans="1:4" ht="14" x14ac:dyDescent="0.3">
      <c r="A101" s="133"/>
      <c r="B101" s="124"/>
      <c r="C101" s="124"/>
      <c r="D101" s="124"/>
    </row>
    <row r="102" spans="1:4" ht="14" x14ac:dyDescent="0.3">
      <c r="A102" s="133"/>
      <c r="B102" s="124"/>
      <c r="C102" s="124"/>
      <c r="D102" s="124"/>
    </row>
    <row r="103" spans="1:4" ht="14" x14ac:dyDescent="0.3">
      <c r="A103" s="133"/>
      <c r="B103" s="124"/>
      <c r="C103" s="124"/>
      <c r="D103" s="124"/>
    </row>
    <row r="104" spans="1:4" ht="14" x14ac:dyDescent="0.3">
      <c r="A104" s="133"/>
      <c r="B104" s="124"/>
      <c r="C104" s="124"/>
      <c r="D104" s="124"/>
    </row>
    <row r="105" spans="1:4" ht="14" x14ac:dyDescent="0.3">
      <c r="A105" s="133"/>
      <c r="B105" s="124"/>
      <c r="C105" s="124"/>
      <c r="D105" s="124"/>
    </row>
    <row r="106" spans="1:4" ht="14" x14ac:dyDescent="0.3">
      <c r="A106" s="133"/>
      <c r="B106" s="124"/>
      <c r="C106" s="124"/>
      <c r="D106" s="124"/>
    </row>
    <row r="107" spans="1:4" ht="14" x14ac:dyDescent="0.3">
      <c r="A107" s="133"/>
      <c r="B107" s="124"/>
      <c r="C107" s="124"/>
      <c r="D107" s="124"/>
    </row>
    <row r="108" spans="1:4" ht="14" x14ac:dyDescent="0.3">
      <c r="A108" s="133"/>
      <c r="B108" s="124"/>
      <c r="C108" s="124"/>
      <c r="D108" s="124"/>
    </row>
    <row r="109" spans="1:4" ht="14" x14ac:dyDescent="0.3">
      <c r="A109" s="133"/>
      <c r="B109" s="124"/>
      <c r="C109" s="124"/>
      <c r="D109" s="124"/>
    </row>
    <row r="110" spans="1:4" x14ac:dyDescent="0.25">
      <c r="A110" s="123"/>
      <c r="B110" s="124"/>
      <c r="C110" s="124"/>
      <c r="D110" s="124"/>
    </row>
    <row r="111" spans="1:4" x14ac:dyDescent="0.25">
      <c r="A111" s="123"/>
      <c r="B111" s="124"/>
      <c r="C111" s="124"/>
      <c r="D111" s="124"/>
    </row>
    <row r="112" spans="1:4" x14ac:dyDescent="0.25">
      <c r="A112" s="123"/>
      <c r="B112" s="124"/>
      <c r="C112" s="124"/>
      <c r="D112" s="124"/>
    </row>
    <row r="113" spans="1:4" x14ac:dyDescent="0.25">
      <c r="A113" s="123"/>
      <c r="B113" s="124"/>
      <c r="C113" s="124"/>
      <c r="D113" s="124"/>
    </row>
    <row r="114" spans="1:4" x14ac:dyDescent="0.25">
      <c r="A114" s="123"/>
      <c r="B114" s="124"/>
      <c r="C114" s="124"/>
      <c r="D114" s="124"/>
    </row>
    <row r="115" spans="1:4" x14ac:dyDescent="0.25">
      <c r="A115" s="123"/>
      <c r="B115" s="124"/>
      <c r="C115" s="124"/>
      <c r="D115" s="124"/>
    </row>
    <row r="116" spans="1:4" x14ac:dyDescent="0.25">
      <c r="A116" s="123"/>
      <c r="B116" s="124"/>
      <c r="C116" s="124"/>
      <c r="D116" s="124"/>
    </row>
    <row r="117" spans="1:4" x14ac:dyDescent="0.25">
      <c r="A117" s="123"/>
      <c r="B117" s="124"/>
      <c r="C117" s="124"/>
      <c r="D117" s="124"/>
    </row>
    <row r="118" spans="1:4" x14ac:dyDescent="0.25">
      <c r="A118" s="123"/>
      <c r="B118" s="124"/>
      <c r="C118" s="124"/>
      <c r="D118" s="124"/>
    </row>
    <row r="119" spans="1:4" x14ac:dyDescent="0.25">
      <c r="A119" s="123"/>
      <c r="B119" s="124"/>
      <c r="C119" s="124"/>
      <c r="D119" s="124"/>
    </row>
    <row r="120" spans="1:4" x14ac:dyDescent="0.25">
      <c r="A120" s="123"/>
      <c r="B120" s="124"/>
      <c r="C120" s="124"/>
      <c r="D120" s="124"/>
    </row>
    <row r="121" spans="1:4" x14ac:dyDescent="0.25">
      <c r="A121" s="123"/>
      <c r="B121" s="124"/>
      <c r="C121" s="124"/>
      <c r="D121" s="124"/>
    </row>
    <row r="122" spans="1:4" x14ac:dyDescent="0.25">
      <c r="A122" s="123"/>
      <c r="B122" s="124"/>
      <c r="C122" s="124"/>
      <c r="D122" s="124"/>
    </row>
    <row r="123" spans="1:4" x14ac:dyDescent="0.25">
      <c r="A123" s="123"/>
      <c r="B123" s="124"/>
      <c r="C123" s="124"/>
      <c r="D123" s="124"/>
    </row>
    <row r="124" spans="1:4" x14ac:dyDescent="0.25">
      <c r="A124" s="123"/>
      <c r="B124" s="124"/>
      <c r="C124" s="124"/>
      <c r="D124" s="124"/>
    </row>
    <row r="125" spans="1:4" x14ac:dyDescent="0.25">
      <c r="A125" s="123"/>
      <c r="B125" s="124"/>
      <c r="C125" s="124"/>
      <c r="D125" s="124"/>
    </row>
    <row r="126" spans="1:4" x14ac:dyDescent="0.25">
      <c r="A126" s="123"/>
      <c r="B126" s="124"/>
      <c r="C126" s="124"/>
      <c r="D126" s="124"/>
    </row>
    <row r="127" spans="1:4" x14ac:dyDescent="0.25">
      <c r="A127" s="123"/>
      <c r="B127" s="124"/>
      <c r="C127" s="124"/>
      <c r="D127" s="124"/>
    </row>
    <row r="128" spans="1:4" x14ac:dyDescent="0.25">
      <c r="A128" s="123"/>
      <c r="B128" s="124"/>
      <c r="C128" s="124"/>
      <c r="D128" s="124"/>
    </row>
    <row r="129" spans="1:4" x14ac:dyDescent="0.25">
      <c r="A129" s="123"/>
      <c r="B129" s="124"/>
      <c r="C129" s="124"/>
      <c r="D129" s="124"/>
    </row>
    <row r="130" spans="1:4" x14ac:dyDescent="0.25">
      <c r="A130" s="123"/>
      <c r="B130" s="124"/>
      <c r="C130" s="124"/>
      <c r="D130" s="124"/>
    </row>
    <row r="131" spans="1:4" x14ac:dyDescent="0.25">
      <c r="A131" s="123"/>
      <c r="B131" s="124"/>
      <c r="C131" s="124"/>
      <c r="D131" s="124"/>
    </row>
    <row r="132" spans="1:4" x14ac:dyDescent="0.25">
      <c r="A132" s="123"/>
      <c r="B132" s="124"/>
      <c r="C132" s="124"/>
      <c r="D132" s="124"/>
    </row>
    <row r="133" spans="1:4" x14ac:dyDescent="0.25">
      <c r="A133" s="123"/>
      <c r="B133" s="124"/>
      <c r="C133" s="124"/>
      <c r="D133" s="124"/>
    </row>
    <row r="134" spans="1:4" x14ac:dyDescent="0.25">
      <c r="A134" s="123"/>
      <c r="B134" s="124"/>
      <c r="C134" s="124"/>
      <c r="D134" s="124"/>
    </row>
    <row r="135" spans="1:4" x14ac:dyDescent="0.25">
      <c r="A135" s="123"/>
      <c r="B135" s="124"/>
      <c r="C135" s="124"/>
      <c r="D135" s="124"/>
    </row>
    <row r="136" spans="1:4" x14ac:dyDescent="0.25">
      <c r="A136" s="123"/>
      <c r="B136" s="124"/>
      <c r="C136" s="124"/>
      <c r="D136" s="124"/>
    </row>
    <row r="137" spans="1:4" x14ac:dyDescent="0.25">
      <c r="A137" s="123"/>
      <c r="B137" s="124"/>
      <c r="C137" s="124"/>
      <c r="D137" s="124"/>
    </row>
    <row r="138" spans="1:4" x14ac:dyDescent="0.25">
      <c r="A138" s="123"/>
      <c r="B138" s="124"/>
      <c r="C138" s="124"/>
      <c r="D138" s="124"/>
    </row>
    <row r="139" spans="1:4" x14ac:dyDescent="0.25">
      <c r="A139" s="123"/>
      <c r="B139" s="124"/>
      <c r="C139" s="124"/>
      <c r="D139" s="124"/>
    </row>
    <row r="140" spans="1:4" x14ac:dyDescent="0.25">
      <c r="A140" s="123"/>
      <c r="B140" s="124"/>
      <c r="C140" s="124"/>
      <c r="D140" s="124"/>
    </row>
    <row r="141" spans="1:4" x14ac:dyDescent="0.25">
      <c r="A141" s="123"/>
      <c r="B141" s="124"/>
      <c r="C141" s="124"/>
      <c r="D141" s="124"/>
    </row>
    <row r="142" spans="1:4" x14ac:dyDescent="0.25">
      <c r="A142" s="123"/>
      <c r="B142" s="124"/>
      <c r="C142" s="124"/>
      <c r="D142" s="124"/>
    </row>
    <row r="143" spans="1:4" x14ac:dyDescent="0.25">
      <c r="A143" s="123"/>
      <c r="B143" s="124"/>
      <c r="C143" s="124"/>
      <c r="D143" s="124"/>
    </row>
    <row r="144" spans="1:4" x14ac:dyDescent="0.25">
      <c r="A144" s="123"/>
      <c r="B144" s="124"/>
      <c r="C144" s="124"/>
      <c r="D144" s="124"/>
    </row>
    <row r="145" spans="1:4" x14ac:dyDescent="0.25">
      <c r="A145" s="123"/>
      <c r="B145" s="124"/>
      <c r="C145" s="124"/>
      <c r="D145" s="124"/>
    </row>
    <row r="146" spans="1:4" x14ac:dyDescent="0.25">
      <c r="A146" s="123"/>
      <c r="B146" s="124"/>
      <c r="C146" s="124"/>
      <c r="D146" s="124"/>
    </row>
    <row r="147" spans="1:4" x14ac:dyDescent="0.25">
      <c r="A147" s="123"/>
      <c r="B147" s="124"/>
      <c r="C147" s="124"/>
      <c r="D147" s="124"/>
    </row>
    <row r="148" spans="1:4" x14ac:dyDescent="0.25">
      <c r="A148" s="123"/>
      <c r="B148" s="124"/>
      <c r="C148" s="124"/>
      <c r="D148" s="124"/>
    </row>
    <row r="149" spans="1:4" x14ac:dyDescent="0.25">
      <c r="A149" s="123"/>
      <c r="B149" s="124"/>
      <c r="C149" s="124"/>
      <c r="D149" s="124"/>
    </row>
    <row r="150" spans="1:4" x14ac:dyDescent="0.25">
      <c r="A150" s="123"/>
      <c r="B150" s="124"/>
      <c r="C150" s="124"/>
      <c r="D150" s="124"/>
    </row>
    <row r="151" spans="1:4" x14ac:dyDescent="0.25">
      <c r="A151" s="123"/>
      <c r="B151" s="124"/>
      <c r="C151" s="124"/>
      <c r="D151" s="124"/>
    </row>
    <row r="152" spans="1:4" x14ac:dyDescent="0.25">
      <c r="A152" s="123"/>
      <c r="B152" s="124"/>
      <c r="C152" s="124"/>
      <c r="D152" s="124"/>
    </row>
    <row r="153" spans="1:4" x14ac:dyDescent="0.25">
      <c r="A153" s="123"/>
      <c r="B153" s="124"/>
      <c r="C153" s="124"/>
      <c r="D153" s="124"/>
    </row>
    <row r="154" spans="1:4" x14ac:dyDescent="0.25">
      <c r="A154" s="123"/>
      <c r="B154" s="124"/>
      <c r="C154" s="124"/>
      <c r="D154" s="124"/>
    </row>
    <row r="155" spans="1:4" x14ac:dyDescent="0.25">
      <c r="A155" s="123"/>
      <c r="B155" s="124"/>
      <c r="C155" s="124"/>
      <c r="D155" s="124"/>
    </row>
    <row r="156" spans="1:4" x14ac:dyDescent="0.25">
      <c r="A156" s="123"/>
      <c r="B156" s="124"/>
      <c r="C156" s="124"/>
      <c r="D156" s="124"/>
    </row>
    <row r="157" spans="1:4" x14ac:dyDescent="0.25">
      <c r="A157" s="123"/>
      <c r="B157" s="124"/>
      <c r="C157" s="124"/>
      <c r="D157" s="124"/>
    </row>
    <row r="158" spans="1:4" x14ac:dyDescent="0.25">
      <c r="A158" s="123"/>
      <c r="B158" s="124"/>
      <c r="C158" s="124"/>
      <c r="D158" s="124"/>
    </row>
    <row r="159" spans="1:4" x14ac:dyDescent="0.25">
      <c r="A159" s="123"/>
      <c r="B159" s="124"/>
      <c r="C159" s="124"/>
      <c r="D159" s="124"/>
    </row>
    <row r="160" spans="1:4" x14ac:dyDescent="0.25">
      <c r="A160" s="123"/>
      <c r="B160" s="124"/>
      <c r="C160" s="124"/>
      <c r="D160" s="124"/>
    </row>
    <row r="161" spans="1:4" x14ac:dyDescent="0.25">
      <c r="A161" s="123"/>
      <c r="B161" s="124"/>
      <c r="C161" s="124"/>
      <c r="D161" s="124"/>
    </row>
    <row r="162" spans="1:4" x14ac:dyDescent="0.25">
      <c r="A162" s="123"/>
      <c r="B162" s="124"/>
      <c r="C162" s="124"/>
      <c r="D162" s="124"/>
    </row>
    <row r="163" spans="1:4" x14ac:dyDescent="0.25">
      <c r="A163" s="123"/>
      <c r="B163" s="124"/>
      <c r="C163" s="124"/>
      <c r="D163" s="124"/>
    </row>
    <row r="164" spans="1:4" x14ac:dyDescent="0.25">
      <c r="A164" s="123"/>
      <c r="B164" s="124"/>
      <c r="C164" s="124"/>
      <c r="D164" s="124"/>
    </row>
    <row r="165" spans="1:4" x14ac:dyDescent="0.25">
      <c r="A165" s="123"/>
      <c r="B165" s="124"/>
      <c r="C165" s="124"/>
      <c r="D165" s="124"/>
    </row>
    <row r="166" spans="1:4" x14ac:dyDescent="0.25">
      <c r="A166" s="123"/>
      <c r="B166" s="124"/>
      <c r="C166" s="124"/>
      <c r="D166" s="124"/>
    </row>
    <row r="167" spans="1:4" x14ac:dyDescent="0.25">
      <c r="A167" s="123"/>
      <c r="B167" s="124"/>
      <c r="C167" s="124"/>
      <c r="D167" s="124"/>
    </row>
    <row r="168" spans="1:4" x14ac:dyDescent="0.25">
      <c r="A168" s="123"/>
      <c r="B168" s="124"/>
      <c r="C168" s="124"/>
      <c r="D168" s="124"/>
    </row>
    <row r="169" spans="1:4" x14ac:dyDescent="0.25">
      <c r="A169" s="123"/>
      <c r="B169" s="124"/>
      <c r="C169" s="124"/>
      <c r="D169" s="124"/>
    </row>
    <row r="170" spans="1:4" x14ac:dyDescent="0.25">
      <c r="A170" s="123"/>
      <c r="B170" s="124"/>
      <c r="C170" s="124"/>
      <c r="D170" s="124"/>
    </row>
    <row r="171" spans="1:4" x14ac:dyDescent="0.25">
      <c r="A171" s="123"/>
      <c r="B171" s="124"/>
      <c r="C171" s="124"/>
      <c r="D171" s="124"/>
    </row>
    <row r="172" spans="1:4" x14ac:dyDescent="0.25">
      <c r="A172" s="123"/>
      <c r="B172" s="124"/>
      <c r="C172" s="124"/>
      <c r="D172" s="124"/>
    </row>
    <row r="173" spans="1:4" x14ac:dyDescent="0.25">
      <c r="A173" s="123"/>
      <c r="B173" s="124"/>
      <c r="C173" s="124"/>
      <c r="D173" s="124"/>
    </row>
    <row r="174" spans="1:4" x14ac:dyDescent="0.25">
      <c r="A174" s="123"/>
      <c r="B174" s="124"/>
      <c r="C174" s="124"/>
      <c r="D174" s="124"/>
    </row>
    <row r="175" spans="1:4" x14ac:dyDescent="0.25">
      <c r="A175" s="123"/>
      <c r="B175" s="124"/>
      <c r="C175" s="124"/>
      <c r="D175" s="124"/>
    </row>
    <row r="176" spans="1:4" x14ac:dyDescent="0.25">
      <c r="A176" s="123"/>
      <c r="B176" s="124"/>
      <c r="C176" s="124"/>
      <c r="D176" s="124"/>
    </row>
    <row r="177" spans="1:4" x14ac:dyDescent="0.25">
      <c r="A177" s="123"/>
      <c r="B177" s="124"/>
      <c r="C177" s="124"/>
      <c r="D177" s="124"/>
    </row>
    <row r="178" spans="1:4" x14ac:dyDescent="0.25">
      <c r="A178" s="123"/>
      <c r="B178" s="124"/>
      <c r="C178" s="124"/>
      <c r="D178" s="124"/>
    </row>
    <row r="179" spans="1:4" x14ac:dyDescent="0.25">
      <c r="A179" s="123"/>
      <c r="B179" s="124"/>
      <c r="C179" s="124"/>
      <c r="D179" s="124"/>
    </row>
    <row r="180" spans="1:4" x14ac:dyDescent="0.25">
      <c r="A180" s="123"/>
      <c r="B180" s="124"/>
      <c r="C180" s="124"/>
      <c r="D180" s="124"/>
    </row>
    <row r="181" spans="1:4" x14ac:dyDescent="0.25">
      <c r="A181" s="123"/>
      <c r="B181" s="124"/>
      <c r="C181" s="124"/>
      <c r="D181" s="124"/>
    </row>
    <row r="182" spans="1:4" x14ac:dyDescent="0.25">
      <c r="A182" s="123"/>
      <c r="B182" s="124"/>
      <c r="C182" s="124"/>
      <c r="D182" s="124"/>
    </row>
    <row r="183" spans="1:4" x14ac:dyDescent="0.25">
      <c r="A183" s="123"/>
      <c r="B183" s="124"/>
      <c r="C183" s="124"/>
      <c r="D183" s="124"/>
    </row>
    <row r="184" spans="1:4" x14ac:dyDescent="0.25">
      <c r="A184" s="123"/>
      <c r="B184" s="124"/>
      <c r="C184" s="124"/>
      <c r="D184" s="124"/>
    </row>
    <row r="185" spans="1:4" x14ac:dyDescent="0.25">
      <c r="A185" s="123"/>
      <c r="B185" s="124"/>
      <c r="C185" s="124"/>
      <c r="D185" s="124"/>
    </row>
    <row r="186" spans="1:4" x14ac:dyDescent="0.25">
      <c r="A186" s="123"/>
      <c r="B186" s="124"/>
      <c r="C186" s="124"/>
      <c r="D186" s="124"/>
    </row>
    <row r="187" spans="1:4" x14ac:dyDescent="0.25">
      <c r="A187" s="123"/>
      <c r="B187" s="124"/>
      <c r="C187" s="124"/>
      <c r="D187" s="124"/>
    </row>
    <row r="188" spans="1:4" x14ac:dyDescent="0.25">
      <c r="A188" s="123"/>
      <c r="B188" s="124"/>
      <c r="C188" s="124"/>
      <c r="D188" s="124"/>
    </row>
    <row r="189" spans="1:4" x14ac:dyDescent="0.25">
      <c r="A189" s="123"/>
      <c r="B189" s="124"/>
      <c r="C189" s="124"/>
      <c r="D189" s="124"/>
    </row>
    <row r="190" spans="1:4" x14ac:dyDescent="0.25">
      <c r="A190" s="123"/>
      <c r="B190" s="124"/>
      <c r="C190" s="124"/>
      <c r="D190" s="124"/>
    </row>
    <row r="191" spans="1:4" x14ac:dyDescent="0.25">
      <c r="A191" s="123"/>
      <c r="B191" s="124"/>
      <c r="C191" s="124"/>
      <c r="D191" s="124"/>
    </row>
    <row r="192" spans="1:4" x14ac:dyDescent="0.25">
      <c r="A192" s="123"/>
      <c r="B192" s="124"/>
      <c r="C192" s="124"/>
      <c r="D192" s="124"/>
    </row>
    <row r="193" spans="1:5" x14ac:dyDescent="0.25">
      <c r="A193" s="123"/>
      <c r="B193" s="124"/>
      <c r="C193" s="124"/>
      <c r="D193" s="124"/>
    </row>
    <row r="194" spans="1:5" x14ac:dyDescent="0.25">
      <c r="A194" s="123"/>
      <c r="B194" s="124"/>
      <c r="C194" s="124"/>
      <c r="D194" s="124"/>
    </row>
    <row r="195" spans="1:5" x14ac:dyDescent="0.25">
      <c r="A195" s="123"/>
      <c r="B195" s="124"/>
      <c r="C195" s="124"/>
      <c r="D195" s="124"/>
    </row>
    <row r="196" spans="1:5" x14ac:dyDescent="0.25">
      <c r="A196" s="123"/>
      <c r="B196" s="124"/>
      <c r="C196" s="124"/>
      <c r="D196" s="124"/>
    </row>
    <row r="197" spans="1:5" x14ac:dyDescent="0.25">
      <c r="A197" s="123"/>
      <c r="B197" s="124"/>
      <c r="C197" s="124"/>
      <c r="D197" s="124"/>
    </row>
    <row r="198" spans="1:5" x14ac:dyDescent="0.25">
      <c r="A198" s="123"/>
      <c r="B198" s="124"/>
      <c r="C198" s="124"/>
      <c r="D198" s="124"/>
    </row>
    <row r="199" spans="1:5" x14ac:dyDescent="0.25">
      <c r="A199" s="123"/>
      <c r="B199" s="124"/>
      <c r="C199" s="124"/>
      <c r="D199" s="124"/>
    </row>
    <row r="200" spans="1:5" x14ac:dyDescent="0.25">
      <c r="A200" s="123"/>
      <c r="B200" s="124"/>
      <c r="C200" s="124"/>
      <c r="D200" s="124"/>
    </row>
    <row r="201" spans="1:5" x14ac:dyDescent="0.25">
      <c r="A201" s="123"/>
      <c r="B201" s="124"/>
      <c r="C201" s="124"/>
      <c r="D201" s="124"/>
    </row>
    <row r="202" spans="1:5" x14ac:dyDescent="0.25">
      <c r="A202" s="123"/>
      <c r="B202" s="124"/>
      <c r="C202" s="124"/>
      <c r="D202" s="124"/>
    </row>
    <row r="203" spans="1:5" x14ac:dyDescent="0.25">
      <c r="A203" s="123"/>
      <c r="B203" s="124"/>
      <c r="C203" s="124"/>
      <c r="D203" s="124"/>
    </row>
    <row r="204" spans="1:5" x14ac:dyDescent="0.25">
      <c r="A204" s="123"/>
      <c r="B204" s="124"/>
      <c r="C204" s="124"/>
      <c r="D204" s="124"/>
      <c r="E204" s="124"/>
    </row>
    <row r="205" spans="1:5" x14ac:dyDescent="0.25">
      <c r="A205" s="123"/>
      <c r="B205" s="124"/>
      <c r="C205" s="124"/>
      <c r="D205" s="124"/>
      <c r="E205" s="124"/>
    </row>
    <row r="206" spans="1:5" x14ac:dyDescent="0.25">
      <c r="A206" s="123"/>
      <c r="B206" s="124"/>
      <c r="C206" s="124"/>
      <c r="D206" s="124"/>
      <c r="E206" s="124"/>
    </row>
    <row r="207" spans="1:5" x14ac:dyDescent="0.25">
      <c r="A207" s="123"/>
      <c r="B207" s="124"/>
      <c r="C207" s="124"/>
      <c r="D207" s="124"/>
      <c r="E207" s="124"/>
    </row>
    <row r="208" spans="1:5" x14ac:dyDescent="0.25">
      <c r="A208" s="123"/>
      <c r="B208" s="124"/>
      <c r="C208" s="124"/>
      <c r="D208" s="124"/>
      <c r="E208" s="124"/>
    </row>
    <row r="209" spans="1:5" x14ac:dyDescent="0.25">
      <c r="A209" s="123"/>
      <c r="B209" s="124"/>
      <c r="C209" s="124"/>
      <c r="D209" s="124"/>
      <c r="E209" s="124"/>
    </row>
    <row r="210" spans="1:5" x14ac:dyDescent="0.25">
      <c r="A210" s="123"/>
      <c r="B210" s="124"/>
      <c r="C210" s="124"/>
      <c r="D210" s="124"/>
      <c r="E210" s="124"/>
    </row>
    <row r="211" spans="1:5" x14ac:dyDescent="0.25">
      <c r="A211" s="123"/>
      <c r="B211" s="124"/>
      <c r="C211" s="124"/>
      <c r="D211" s="124"/>
      <c r="E211" s="124"/>
    </row>
    <row r="212" spans="1:5" x14ac:dyDescent="0.25">
      <c r="A212" s="123"/>
      <c r="B212" s="124"/>
      <c r="C212" s="124"/>
      <c r="D212" s="124"/>
      <c r="E212" s="124"/>
    </row>
    <row r="213" spans="1:5" x14ac:dyDescent="0.25">
      <c r="A213" s="123"/>
      <c r="B213" s="124"/>
      <c r="C213" s="124"/>
      <c r="D213" s="124"/>
      <c r="E213" s="124"/>
    </row>
    <row r="214" spans="1:5" x14ac:dyDescent="0.25">
      <c r="A214" s="123"/>
      <c r="B214" s="124"/>
      <c r="C214" s="124"/>
      <c r="D214" s="124"/>
      <c r="E214" s="124"/>
    </row>
    <row r="215" spans="1:5" x14ac:dyDescent="0.25">
      <c r="A215" s="123"/>
      <c r="B215" s="124"/>
      <c r="C215" s="124"/>
      <c r="D215" s="124"/>
      <c r="E215" s="124"/>
    </row>
    <row r="216" spans="1:5" x14ac:dyDescent="0.25">
      <c r="A216" s="123"/>
      <c r="B216" s="124"/>
      <c r="C216" s="124"/>
      <c r="D216" s="124"/>
      <c r="E216" s="124"/>
    </row>
    <row r="217" spans="1:5" x14ac:dyDescent="0.25">
      <c r="A217" s="123"/>
      <c r="B217" s="124"/>
      <c r="C217" s="124"/>
      <c r="D217" s="124"/>
      <c r="E217" s="124"/>
    </row>
    <row r="218" spans="1:5" x14ac:dyDescent="0.25">
      <c r="A218" s="123"/>
      <c r="B218" s="124"/>
      <c r="C218" s="124"/>
      <c r="D218" s="124"/>
      <c r="E218" s="124"/>
    </row>
    <row r="219" spans="1:5" x14ac:dyDescent="0.25">
      <c r="A219" s="123"/>
      <c r="B219" s="124"/>
      <c r="C219" s="124"/>
      <c r="D219" s="124"/>
      <c r="E219" s="124"/>
    </row>
    <row r="220" spans="1:5" x14ac:dyDescent="0.25">
      <c r="A220" s="123"/>
      <c r="B220" s="124"/>
      <c r="C220" s="124"/>
      <c r="D220" s="124"/>
      <c r="E220" s="124"/>
    </row>
    <row r="221" spans="1:5" x14ac:dyDescent="0.25">
      <c r="A221" s="123"/>
      <c r="B221" s="124"/>
      <c r="C221" s="124"/>
      <c r="D221" s="124"/>
      <c r="E221" s="124"/>
    </row>
    <row r="222" spans="1:5" x14ac:dyDescent="0.25">
      <c r="A222" s="123"/>
      <c r="B222" s="124"/>
      <c r="C222" s="124"/>
      <c r="D222" s="124"/>
      <c r="E222" s="124"/>
    </row>
    <row r="223" spans="1:5" x14ac:dyDescent="0.25">
      <c r="A223" s="123"/>
      <c r="B223" s="124"/>
      <c r="C223" s="124"/>
      <c r="D223" s="124"/>
      <c r="E223" s="124"/>
    </row>
    <row r="224" spans="1:5" x14ac:dyDescent="0.25">
      <c r="A224" s="123"/>
      <c r="B224" s="124"/>
      <c r="C224" s="124"/>
      <c r="D224" s="124"/>
      <c r="E224" s="124"/>
    </row>
    <row r="225" spans="1:5" x14ac:dyDescent="0.25">
      <c r="A225" s="123"/>
      <c r="B225" s="124"/>
      <c r="C225" s="124"/>
      <c r="D225" s="124"/>
      <c r="E225" s="124"/>
    </row>
    <row r="226" spans="1:5" x14ac:dyDescent="0.25">
      <c r="A226" s="123"/>
      <c r="B226" s="124"/>
      <c r="C226" s="124"/>
      <c r="D226" s="124"/>
      <c r="E226" s="124"/>
    </row>
    <row r="227" spans="1:5" x14ac:dyDescent="0.25">
      <c r="A227" s="123"/>
      <c r="B227" s="124"/>
      <c r="C227" s="124"/>
      <c r="D227" s="124"/>
      <c r="E227" s="124"/>
    </row>
    <row r="228" spans="1:5" x14ac:dyDescent="0.25">
      <c r="A228" s="123"/>
      <c r="B228" s="124"/>
      <c r="C228" s="124"/>
      <c r="D228" s="124"/>
      <c r="E228" s="124"/>
    </row>
    <row r="229" spans="1:5" x14ac:dyDescent="0.25">
      <c r="A229" s="123"/>
      <c r="B229" s="124"/>
      <c r="C229" s="124"/>
      <c r="D229" s="124"/>
      <c r="E229" s="124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6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5" t="s">
        <v>148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" x14ac:dyDescent="0.3">
      <c r="A2" s="36"/>
      <c r="B2" s="142" t="s">
        <v>21</v>
      </c>
      <c r="C2" s="138"/>
      <c r="D2" s="38" t="s">
        <v>24</v>
      </c>
      <c r="E2" s="141"/>
      <c r="F2" s="138" t="s">
        <v>82</v>
      </c>
      <c r="G2" s="138"/>
      <c r="H2" s="138"/>
      <c r="I2" s="39"/>
      <c r="J2" s="141"/>
      <c r="K2" s="138"/>
      <c r="L2" s="143" t="s">
        <v>62</v>
      </c>
      <c r="M2" s="138"/>
      <c r="N2" s="36"/>
    </row>
    <row r="3" spans="1:14" ht="14" x14ac:dyDescent="0.3">
      <c r="A3" s="36" t="s">
        <v>75</v>
      </c>
      <c r="B3" s="38" t="s">
        <v>22</v>
      </c>
      <c r="C3" s="36" t="s">
        <v>23</v>
      </c>
      <c r="D3" s="38"/>
      <c r="E3" s="40" t="s">
        <v>8</v>
      </c>
      <c r="F3" s="40"/>
      <c r="G3" s="40"/>
      <c r="H3" s="40"/>
      <c r="I3" s="40"/>
      <c r="J3" s="38" t="s">
        <v>64</v>
      </c>
      <c r="K3" s="40" t="s">
        <v>90</v>
      </c>
      <c r="L3" s="40"/>
      <c r="M3" s="40"/>
      <c r="N3" s="40" t="s">
        <v>6</v>
      </c>
    </row>
    <row r="4" spans="1:14" ht="14" x14ac:dyDescent="0.3">
      <c r="A4" s="41" t="s">
        <v>79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5" x14ac:dyDescent="0.35">
      <c r="A5" s="36"/>
      <c r="B5" s="136" t="s">
        <v>83</v>
      </c>
      <c r="C5" s="137"/>
      <c r="D5" s="46" t="s">
        <v>66</v>
      </c>
      <c r="G5" s="136"/>
      <c r="I5" s="136"/>
      <c r="J5" s="140" t="s">
        <v>144</v>
      </c>
      <c r="K5" s="136"/>
      <c r="L5" s="136"/>
      <c r="M5" s="136"/>
      <c r="N5" s="136"/>
    </row>
    <row r="6" spans="1:14" ht="16.5" customHeight="1" x14ac:dyDescent="0.3">
      <c r="A6" s="36" t="s">
        <v>141</v>
      </c>
      <c r="B6" s="47">
        <v>89.167000000000002</v>
      </c>
      <c r="C6" s="47">
        <v>87.593999999999994</v>
      </c>
      <c r="D6" s="47">
        <f t="shared" ref="D6" si="0">F6/C6</f>
        <v>50.553120076717583</v>
      </c>
      <c r="E6" s="48">
        <f>E15</f>
        <v>438.10500000000002</v>
      </c>
      <c r="F6" s="49">
        <f>F28</f>
        <v>4428.1499999999996</v>
      </c>
      <c r="G6" s="50">
        <f>G28</f>
        <v>14.057275518407099</v>
      </c>
      <c r="H6" s="50">
        <f t="shared" ref="H6" si="1">SUM(E6:G6)</f>
        <v>4880.3122755184068</v>
      </c>
      <c r="I6" s="36"/>
      <c r="J6" s="49">
        <f>J28</f>
        <v>2091.9902666666667</v>
      </c>
      <c r="K6" s="49">
        <f t="shared" ref="K6:K7" si="2">M6-L6-J6</f>
        <v>127.46077901024455</v>
      </c>
      <c r="L6" s="50">
        <f>L28</f>
        <v>1751.8092298414954</v>
      </c>
      <c r="M6" s="50">
        <f t="shared" ref="M6:M7" si="3">H6-N6</f>
        <v>3971.2602755184066</v>
      </c>
      <c r="N6" s="50">
        <f>N27</f>
        <v>909.05200000000002</v>
      </c>
    </row>
    <row r="7" spans="1:14" ht="16.5" customHeight="1" x14ac:dyDescent="0.3">
      <c r="A7" s="36" t="s">
        <v>146</v>
      </c>
      <c r="B7" s="47">
        <v>76.099999999999994</v>
      </c>
      <c r="C7" s="47">
        <v>74.950999999999993</v>
      </c>
      <c r="D7" s="47">
        <f>F7/C7</f>
        <v>47.394177529319158</v>
      </c>
      <c r="E7" s="48">
        <f>N6</f>
        <v>909.05200000000002</v>
      </c>
      <c r="F7" s="49">
        <f>F34</f>
        <v>3552.241</v>
      </c>
      <c r="G7" s="50">
        <v>15</v>
      </c>
      <c r="H7" s="50">
        <f>SUM(E7:G7)</f>
        <v>4476.2929999999997</v>
      </c>
      <c r="I7" s="36"/>
      <c r="J7" s="49">
        <v>2160</v>
      </c>
      <c r="K7" s="49">
        <f t="shared" si="2"/>
        <v>51.292999999999665</v>
      </c>
      <c r="L7" s="50">
        <v>1650</v>
      </c>
      <c r="M7" s="50">
        <f t="shared" si="3"/>
        <v>3861.2929999999997</v>
      </c>
      <c r="N7" s="50">
        <v>615</v>
      </c>
    </row>
    <row r="8" spans="1:14" ht="16.5" customHeight="1" x14ac:dyDescent="0.3">
      <c r="A8" s="36" t="s">
        <v>158</v>
      </c>
      <c r="B8" s="47">
        <v>83.825000000000003</v>
      </c>
      <c r="C8" s="47">
        <v>83.02</v>
      </c>
      <c r="D8" s="47">
        <f>F8/C8</f>
        <v>53.298000481811613</v>
      </c>
      <c r="E8" s="48">
        <f>N7</f>
        <v>615</v>
      </c>
      <c r="F8" s="49">
        <v>4424.8</v>
      </c>
      <c r="G8" s="50">
        <v>15</v>
      </c>
      <c r="H8" s="50">
        <f>SUM(E8:G8)</f>
        <v>5054.8</v>
      </c>
      <c r="I8" s="36"/>
      <c r="J8" s="49">
        <v>2180</v>
      </c>
      <c r="K8" s="49">
        <f t="shared" ref="K8" si="4">M8-L8-J8</f>
        <v>139.80000000000018</v>
      </c>
      <c r="L8" s="50">
        <v>2125</v>
      </c>
      <c r="M8" s="50">
        <f t="shared" ref="M8" si="5">H8-N8</f>
        <v>4444.8</v>
      </c>
      <c r="N8" s="50">
        <v>610</v>
      </c>
    </row>
    <row r="9" spans="1:14" ht="16.5" customHeight="1" x14ac:dyDescent="0.3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3"/>
    </row>
    <row r="10" spans="1:14" ht="16.5" customHeight="1" x14ac:dyDescent="0.3">
      <c r="A10" s="39" t="s">
        <v>65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3">
      <c r="A11" s="36" t="s">
        <v>142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3">
      <c r="A12" s="39" t="s">
        <v>93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3">
      <c r="A13" s="39" t="s">
        <v>98</v>
      </c>
      <c r="B13" s="39"/>
      <c r="C13" s="39"/>
      <c r="D13" s="39"/>
      <c r="E13" s="54"/>
      <c r="F13" s="56"/>
      <c r="G13" s="57">
        <f>(3.31633+14.647271+3.156359)*2.204622/60</f>
        <v>0.77602547425199997</v>
      </c>
      <c r="H13" s="58"/>
      <c r="I13" s="58"/>
      <c r="J13" s="58">
        <f>5.506753*2000/60</f>
        <v>183.55843333333331</v>
      </c>
      <c r="K13" s="59"/>
      <c r="L13" s="57">
        <f>(124.374731+5333.163)*2.204622/60</f>
        <v>200.53012912654469</v>
      </c>
      <c r="M13" s="57"/>
      <c r="N13" s="60"/>
    </row>
    <row r="14" spans="1:14" ht="16.5" customHeight="1" x14ac:dyDescent="0.3">
      <c r="A14" s="39" t="s">
        <v>100</v>
      </c>
      <c r="B14" s="134"/>
      <c r="C14" s="134"/>
      <c r="D14" s="134"/>
      <c r="E14" s="134"/>
      <c r="F14" s="134"/>
      <c r="G14" s="57">
        <f>(1.859426+43.030142+5.079898)*2.204622/60</f>
        <v>1.8360630678641998</v>
      </c>
      <c r="H14" s="58"/>
      <c r="I14" s="134"/>
      <c r="J14" s="58">
        <f>5.343053*2000/60</f>
        <v>178.10176666666666</v>
      </c>
      <c r="K14" s="134"/>
      <c r="L14" s="57">
        <f>(169.194848+4709.479)*2.204622/60</f>
        <v>179.26052826875764</v>
      </c>
      <c r="M14" s="134"/>
      <c r="N14" s="134"/>
    </row>
    <row r="15" spans="1:14" ht="16.5" customHeight="1" x14ac:dyDescent="0.3">
      <c r="A15" s="39" t="s">
        <v>71</v>
      </c>
      <c r="B15" s="134"/>
      <c r="C15" s="134"/>
      <c r="D15" s="134"/>
      <c r="E15" s="54">
        <v>438.10500000000002</v>
      </c>
      <c r="F15" s="56">
        <v>4428.1499999999996</v>
      </c>
      <c r="G15" s="57">
        <f>G12+G13+G14</f>
        <v>3.6420017397959996</v>
      </c>
      <c r="H15" s="58">
        <f>SUM(E15:G15)</f>
        <v>4869.8970017397951</v>
      </c>
      <c r="I15" s="134"/>
      <c r="J15" s="58">
        <f>J12+J13+J14</f>
        <v>531.30953333333332</v>
      </c>
      <c r="K15" s="59">
        <f>M15-L15-J15</f>
        <v>90.417036127824531</v>
      </c>
      <c r="L15" s="57">
        <f>L12+L13+L14</f>
        <v>502.34643227863717</v>
      </c>
      <c r="M15" s="57">
        <f>H15-N15</f>
        <v>1124.073001739795</v>
      </c>
      <c r="N15" s="58">
        <v>3745.8240000000001</v>
      </c>
    </row>
    <row r="16" spans="1:14" ht="16.5" customHeight="1" x14ac:dyDescent="0.3">
      <c r="A16" s="36" t="s">
        <v>101</v>
      </c>
      <c r="B16" s="134"/>
      <c r="C16" s="134"/>
      <c r="D16" s="134"/>
      <c r="E16" s="54"/>
      <c r="F16" s="56"/>
      <c r="G16" s="57">
        <f>(0.250128+23.870645+6.809791)*2.204622/60</f>
        <v>1.1365033644468001</v>
      </c>
      <c r="H16" s="58"/>
      <c r="I16" s="134"/>
      <c r="J16" s="58">
        <f>5.513266*2000/60</f>
        <v>183.77553333333333</v>
      </c>
      <c r="K16" s="134"/>
      <c r="L16" s="57">
        <f>(167.769807+3834.615)*2.204622/60</f>
        <v>147.0624266329659</v>
      </c>
      <c r="M16" s="134"/>
      <c r="N16" s="134"/>
    </row>
    <row r="17" spans="1:14" ht="16.5" customHeight="1" x14ac:dyDescent="0.3">
      <c r="A17" s="36" t="s">
        <v>102</v>
      </c>
      <c r="B17" s="134"/>
      <c r="C17" s="134"/>
      <c r="D17" s="134"/>
      <c r="E17" s="54"/>
      <c r="F17" s="56"/>
      <c r="G17" s="57">
        <f>(1.028736+20.232522+6.406535)*2.204622/60</f>
        <v>1.0166170856540999</v>
      </c>
      <c r="H17" s="58"/>
      <c r="I17" s="134"/>
      <c r="J17" s="58">
        <f>5.492127*2000/60</f>
        <v>183.07090000000002</v>
      </c>
      <c r="K17" s="134"/>
      <c r="L17" s="57">
        <f>(78.329657+4723.367)*2.204622/60</f>
        <v>176.43210145581091</v>
      </c>
      <c r="M17" s="134"/>
      <c r="N17" s="134"/>
    </row>
    <row r="18" spans="1:14" ht="16.5" customHeight="1" x14ac:dyDescent="0.3">
      <c r="A18" s="36" t="s">
        <v>103</v>
      </c>
      <c r="B18" s="134"/>
      <c r="C18" s="134"/>
      <c r="D18" s="134"/>
      <c r="E18" s="54"/>
      <c r="F18" s="56"/>
      <c r="G18" s="57">
        <f>(0.546152+34.232142+5.002404)*2.204622/60</f>
        <v>1.4616900331025999</v>
      </c>
      <c r="H18" s="58"/>
      <c r="I18" s="134"/>
      <c r="J18" s="58">
        <f>4.883434*2000/60</f>
        <v>162.78113333333334</v>
      </c>
      <c r="K18" s="134"/>
      <c r="L18" s="57">
        <f>(56.009424+4462.973)*2.204622/60</f>
        <v>166.0441344927288</v>
      </c>
      <c r="M18" s="134"/>
      <c r="N18" s="134"/>
    </row>
    <row r="19" spans="1:14" ht="16.5" customHeight="1" x14ac:dyDescent="0.3">
      <c r="A19" s="36" t="s">
        <v>72</v>
      </c>
      <c r="B19" s="134"/>
      <c r="C19" s="134"/>
      <c r="D19" s="134"/>
      <c r="E19" s="54">
        <f>N15</f>
        <v>3745.8240000000001</v>
      </c>
      <c r="F19" s="56"/>
      <c r="G19" s="57">
        <f>SUM(G16:G18)</f>
        <v>3.6148104832034997</v>
      </c>
      <c r="H19" s="58">
        <f>E19+F19+G19</f>
        <v>3749.4388104832037</v>
      </c>
      <c r="I19" s="134"/>
      <c r="J19" s="58">
        <f>SUM(J16:J18)</f>
        <v>529.62756666666678</v>
      </c>
      <c r="K19" s="59">
        <f>M19-L19-J19</f>
        <v>3.203581235031379</v>
      </c>
      <c r="L19" s="57">
        <f>SUM(L16:L18)</f>
        <v>489.5386625815056</v>
      </c>
      <c r="M19" s="57">
        <f>H19-N19</f>
        <v>1022.3698104832038</v>
      </c>
      <c r="N19" s="58">
        <v>2727.069</v>
      </c>
    </row>
    <row r="20" spans="1:14" ht="16.5" customHeight="1" x14ac:dyDescent="0.3">
      <c r="A20" s="36" t="s">
        <v>104</v>
      </c>
      <c r="B20" s="134"/>
      <c r="C20" s="134"/>
      <c r="D20" s="134"/>
      <c r="E20" s="54"/>
      <c r="F20" s="56"/>
      <c r="G20" s="57">
        <f>(6.304552+27.782641+6.321608)*2.204622/60</f>
        <v>1.4847688613037</v>
      </c>
      <c r="H20" s="58"/>
      <c r="I20" s="134"/>
      <c r="J20" s="58">
        <f>5.383008*2000/60</f>
        <v>179.43359999999998</v>
      </c>
      <c r="K20" s="145"/>
      <c r="L20" s="57">
        <f>(73.557782+3759.564)*2.204622/60</f>
        <v>140.8430768212734</v>
      </c>
      <c r="M20" s="145"/>
      <c r="N20" s="134"/>
    </row>
    <row r="21" spans="1:14" ht="16.5" customHeight="1" x14ac:dyDescent="0.3">
      <c r="A21" s="36" t="s">
        <v>105</v>
      </c>
      <c r="B21" s="134"/>
      <c r="C21" s="134"/>
      <c r="D21" s="134"/>
      <c r="E21" s="54"/>
      <c r="F21" s="56"/>
      <c r="G21" s="57">
        <f>(9.338894+24.904466+8.274568)*2.204622/60</f>
        <v>1.5622659910536001</v>
      </c>
      <c r="H21" s="58"/>
      <c r="I21" s="134"/>
      <c r="J21" s="58">
        <f>5.146403*2000/60</f>
        <v>171.54676666666668</v>
      </c>
      <c r="K21" s="62"/>
      <c r="L21" s="57">
        <f>(114.375397+2360.699)*2.204622/60</f>
        <v>90.943391121048904</v>
      </c>
      <c r="M21" s="57"/>
      <c r="N21" s="134"/>
    </row>
    <row r="22" spans="1:14" ht="16.5" customHeight="1" x14ac:dyDescent="0.3">
      <c r="A22" s="36" t="s">
        <v>106</v>
      </c>
      <c r="B22" s="134"/>
      <c r="C22" s="134"/>
      <c r="D22" s="134"/>
      <c r="E22" s="54"/>
      <c r="F22" s="56"/>
      <c r="G22" s="57">
        <f>(3.352893+5.972681+8.066499)*2.204622/60</f>
        <v>0.63904911269010012</v>
      </c>
      <c r="H22" s="58"/>
      <c r="I22" s="134"/>
      <c r="J22" s="58">
        <f>4.963271*2000/60</f>
        <v>165.44236666666666</v>
      </c>
      <c r="K22" s="62"/>
      <c r="L22" s="57">
        <f>(45.747174+2427.94)*2.204622/60</f>
        <v>90.892419415303806</v>
      </c>
      <c r="M22" s="57"/>
      <c r="N22" s="134"/>
    </row>
    <row r="23" spans="1:14" ht="16.5" customHeight="1" x14ac:dyDescent="0.3">
      <c r="A23" s="36" t="s">
        <v>73</v>
      </c>
      <c r="B23" s="39"/>
      <c r="C23" s="39"/>
      <c r="D23" s="39"/>
      <c r="E23" s="54">
        <f>N19</f>
        <v>2727.069</v>
      </c>
      <c r="F23" s="61"/>
      <c r="G23" s="57">
        <f>SUM(G20:G22)</f>
        <v>3.6860839650474002</v>
      </c>
      <c r="H23" s="58">
        <f>E23+F23+G23</f>
        <v>2730.7550839650476</v>
      </c>
      <c r="I23" s="58"/>
      <c r="J23" s="58">
        <f>SUM(J20:J22)</f>
        <v>516.42273333333333</v>
      </c>
      <c r="K23" s="62">
        <f>M23-L23-J23</f>
        <v>108.57346327408823</v>
      </c>
      <c r="L23" s="57">
        <f>SUM(L20:L22)</f>
        <v>322.67888735762608</v>
      </c>
      <c r="M23" s="57">
        <f>H23-N23</f>
        <v>947.67508396504763</v>
      </c>
      <c r="N23" s="58">
        <v>1783.08</v>
      </c>
    </row>
    <row r="24" spans="1:14" ht="16.5" customHeight="1" x14ac:dyDescent="0.3">
      <c r="A24" s="36" t="s">
        <v>168</v>
      </c>
      <c r="B24" s="39"/>
      <c r="C24" s="39"/>
      <c r="D24" s="39"/>
      <c r="E24" s="54"/>
      <c r="F24" s="61"/>
      <c r="G24" s="57">
        <f>(3.37574+9.702628+7.332521)*2.204622/60</f>
        <v>0.74997158214930004</v>
      </c>
      <c r="H24" s="58"/>
      <c r="I24" s="58"/>
      <c r="J24" s="58">
        <f>4.729137*2000/60</f>
        <v>157.6379</v>
      </c>
      <c r="K24" s="62"/>
      <c r="L24" s="57">
        <f>(32.219152+3233.043)*2.204622/60</f>
        <v>119.97781293444241</v>
      </c>
      <c r="M24" s="57"/>
      <c r="N24" s="58"/>
    </row>
    <row r="25" spans="1:14" ht="16.5" customHeight="1" x14ac:dyDescent="0.3">
      <c r="A25" s="36" t="s">
        <v>169</v>
      </c>
      <c r="B25" s="39"/>
      <c r="C25" s="39"/>
      <c r="D25" s="39"/>
      <c r="E25" s="54"/>
      <c r="F25" s="61"/>
      <c r="G25" s="57">
        <f>(1.659277+25.915482+8.048701)*2.204622/60</f>
        <v>1.3089377272020002</v>
      </c>
      <c r="H25" s="58"/>
      <c r="I25" s="58"/>
      <c r="J25" s="58">
        <f>5.383896*2000/60</f>
        <v>179.4632</v>
      </c>
      <c r="K25" s="62"/>
      <c r="L25" s="57">
        <f>(36.300121+3659.318)*2.204622/60</f>
        <v>135.79068355258772</v>
      </c>
      <c r="M25" s="57"/>
      <c r="N25" s="58"/>
    </row>
    <row r="26" spans="1:14" ht="16.5" customHeight="1" x14ac:dyDescent="0.3">
      <c r="A26" s="36" t="s">
        <v>170</v>
      </c>
      <c r="B26" s="39"/>
      <c r="C26" s="39"/>
      <c r="D26" s="39"/>
      <c r="E26" s="54"/>
      <c r="F26" s="61"/>
      <c r="G26" s="57">
        <f>(0.53378+21.950544+6.240873)*2.204622/60</f>
        <v>1.0554700210089001</v>
      </c>
      <c r="H26" s="58"/>
      <c r="I26" s="58"/>
      <c r="J26" s="58">
        <f>5.32588*2000/60</f>
        <v>177.52933333333334</v>
      </c>
      <c r="K26" s="62"/>
      <c r="L26" s="57">
        <f>(50.233572+4888.756)*2.204622/60</f>
        <v>181.47675113669641</v>
      </c>
      <c r="M26" s="57"/>
      <c r="N26" s="58"/>
    </row>
    <row r="27" spans="1:14" ht="16.5" customHeight="1" x14ac:dyDescent="0.3">
      <c r="A27" s="63" t="s">
        <v>74</v>
      </c>
      <c r="B27" s="39"/>
      <c r="C27" s="39"/>
      <c r="D27" s="39"/>
      <c r="E27" s="54">
        <f>N23</f>
        <v>1783.08</v>
      </c>
      <c r="F27" s="61"/>
      <c r="G27" s="57">
        <f>SUM(G24:G26)</f>
        <v>3.1143793303602001</v>
      </c>
      <c r="H27" s="58">
        <f>SUM(E27:G27)</f>
        <v>1786.1943793303601</v>
      </c>
      <c r="I27" s="58"/>
      <c r="J27" s="58">
        <f>SUM(J24:J26)</f>
        <v>514.63043333333326</v>
      </c>
      <c r="K27" s="62">
        <f>M27-L27-J27</f>
        <v>-74.733301626699699</v>
      </c>
      <c r="L27" s="57">
        <f>SUM(L24:L26)</f>
        <v>437.24524762372653</v>
      </c>
      <c r="M27" s="57">
        <f>+H27-N27</f>
        <v>877.14237933036009</v>
      </c>
      <c r="N27" s="58">
        <v>909.05200000000002</v>
      </c>
    </row>
    <row r="28" spans="1:14" ht="16.5" customHeight="1" x14ac:dyDescent="0.3">
      <c r="A28" s="36" t="s">
        <v>3</v>
      </c>
      <c r="B28" s="134"/>
      <c r="C28" s="134"/>
      <c r="D28" s="134"/>
      <c r="E28" s="54"/>
      <c r="F28" s="56">
        <f>F15</f>
        <v>4428.1499999999996</v>
      </c>
      <c r="G28" s="57">
        <f>G15+G19+G23+G27</f>
        <v>14.057275518407099</v>
      </c>
      <c r="H28" s="58">
        <f>E15+F28+G28</f>
        <v>4880.3122755184068</v>
      </c>
      <c r="I28" s="134"/>
      <c r="J28" s="58">
        <f>J15+J19+J23+J27</f>
        <v>2091.9902666666667</v>
      </c>
      <c r="K28" s="59">
        <f>K15+K19+K23+K27</f>
        <v>127.46077901024444</v>
      </c>
      <c r="L28" s="57">
        <f>L15+L19+L23+L27</f>
        <v>1751.8092298414954</v>
      </c>
      <c r="M28" s="57">
        <f>M15+M19+M23+M27</f>
        <v>3971.2602755184066</v>
      </c>
      <c r="N28" s="58"/>
    </row>
    <row r="29" spans="1:14" ht="16.5" customHeight="1" x14ac:dyDescent="0.3">
      <c r="A29" s="39"/>
      <c r="B29" s="134"/>
      <c r="C29" s="134"/>
      <c r="D29" s="134"/>
      <c r="E29" s="134"/>
      <c r="F29" s="66"/>
      <c r="G29" s="57"/>
      <c r="H29" s="58"/>
      <c r="I29" s="145"/>
      <c r="J29" s="58"/>
      <c r="K29" s="58"/>
      <c r="L29" s="57"/>
      <c r="M29" s="57"/>
      <c r="N29" s="134"/>
    </row>
    <row r="30" spans="1:14" ht="16.5" customHeight="1" x14ac:dyDescent="0.3">
      <c r="A30" s="36" t="s">
        <v>147</v>
      </c>
      <c r="B30" s="134"/>
      <c r="C30" s="134"/>
      <c r="D30" s="134"/>
      <c r="E30" s="134"/>
      <c r="F30" s="134"/>
      <c r="G30" s="57"/>
      <c r="H30" s="58"/>
      <c r="I30" s="145"/>
      <c r="J30" s="58"/>
      <c r="K30" s="58"/>
      <c r="L30" s="57"/>
      <c r="M30" s="57"/>
      <c r="N30" s="134"/>
    </row>
    <row r="31" spans="1:14" ht="16.5" customHeight="1" x14ac:dyDescent="0.3">
      <c r="A31" s="39" t="s">
        <v>93</v>
      </c>
      <c r="B31" s="134"/>
      <c r="C31" s="134"/>
      <c r="D31" s="134"/>
      <c r="G31" s="57">
        <f>(0.61606+25.572761+5.722113)*2.204622/60</f>
        <v>1.1725257856158</v>
      </c>
      <c r="I31" s="134"/>
      <c r="J31" s="58">
        <f>4.870034*2000/60</f>
        <v>162.33446666666669</v>
      </c>
      <c r="K31" s="59"/>
      <c r="L31" s="57">
        <f>(34.198907+3866.166)*2.204622/60</f>
        <v>143.31383803333591</v>
      </c>
      <c r="M31" s="57"/>
      <c r="N31" s="58"/>
    </row>
    <row r="32" spans="1:14" ht="16.5" customHeight="1" x14ac:dyDescent="0.3">
      <c r="A32" s="39" t="s">
        <v>98</v>
      </c>
      <c r="B32" s="134"/>
      <c r="C32" s="134"/>
      <c r="D32" s="134"/>
      <c r="E32" s="54"/>
      <c r="F32" s="56"/>
      <c r="G32" s="57">
        <f>(1.045181+37.412542+15.259817)*2.204622/60</f>
        <v>1.9737811744980001</v>
      </c>
      <c r="H32" s="58"/>
      <c r="I32" s="134"/>
      <c r="J32" s="58">
        <f>5.615616*2000/60</f>
        <v>187.18719999999999</v>
      </c>
      <c r="K32" s="59"/>
      <c r="L32" s="57">
        <f>(31.439182+5862.128)*2.204622/60</f>
        <v>216.55146446525342</v>
      </c>
      <c r="M32" s="57"/>
      <c r="N32" s="58"/>
    </row>
    <row r="33" spans="1:73" ht="16.5" customHeight="1" x14ac:dyDescent="0.3">
      <c r="A33" s="39" t="s">
        <v>100</v>
      </c>
      <c r="B33" s="134"/>
      <c r="C33" s="134"/>
      <c r="D33" s="134"/>
      <c r="E33" s="54"/>
      <c r="F33" s="56"/>
      <c r="G33" s="57">
        <f>(0.996565+5.711141+5.30294)*2.204622/60</f>
        <v>0.44131557343020006</v>
      </c>
      <c r="H33" s="58"/>
      <c r="I33" s="134"/>
      <c r="J33" s="58">
        <f>5.239452*2000/60</f>
        <v>174.64840000000001</v>
      </c>
      <c r="K33" s="59"/>
      <c r="L33" s="57">
        <f>(18.866325+6806.837)*2.204622/60</f>
        <v>250.80159526280252</v>
      </c>
      <c r="M33" s="57"/>
      <c r="N33" s="58"/>
    </row>
    <row r="34" spans="1:73" ht="16.5" customHeight="1" x14ac:dyDescent="0.3">
      <c r="A34" s="39" t="s">
        <v>71</v>
      </c>
      <c r="B34" s="134"/>
      <c r="C34" s="134"/>
      <c r="D34" s="134"/>
      <c r="E34" s="54">
        <f>N27</f>
        <v>909.05200000000002</v>
      </c>
      <c r="F34" s="56">
        <f>3552.241</f>
        <v>3552.241</v>
      </c>
      <c r="G34" s="57">
        <f>SUM(G31:G33)</f>
        <v>3.5876225335440002</v>
      </c>
      <c r="H34" s="58">
        <f>E34+F34+G34</f>
        <v>4464.8806225335438</v>
      </c>
      <c r="I34" s="134"/>
      <c r="J34" s="58">
        <f>SUM(J31:J33)</f>
        <v>524.17006666666668</v>
      </c>
      <c r="K34" s="59">
        <f>M34-L34-J34</f>
        <v>77.555658105485463</v>
      </c>
      <c r="L34" s="57">
        <f>SUM(L31:L33)</f>
        <v>610.66689776139185</v>
      </c>
      <c r="M34" s="57">
        <f>H34-N34</f>
        <v>1212.392622533544</v>
      </c>
      <c r="N34" s="58">
        <v>3252.4879999999998</v>
      </c>
    </row>
    <row r="35" spans="1:73" ht="16.5" customHeight="1" x14ac:dyDescent="0.3">
      <c r="A35" s="36" t="s">
        <v>101</v>
      </c>
      <c r="B35" s="134"/>
      <c r="C35" s="134"/>
      <c r="D35" s="134"/>
      <c r="E35" s="54"/>
      <c r="F35" s="57"/>
      <c r="G35" s="57">
        <f>(2.394047+31.047659+4.372992)*2.204622/60</f>
        <v>1.3894519189025998</v>
      </c>
      <c r="H35" s="58"/>
      <c r="I35" s="134"/>
      <c r="J35" s="58">
        <f>5.542274*2000/60</f>
        <v>184.74246666666667</v>
      </c>
      <c r="K35" s="59"/>
      <c r="L35" s="57">
        <f>(18.302084+5638.722)*2.204622/60</f>
        <v>207.85999583527078</v>
      </c>
      <c r="M35" s="57"/>
      <c r="N35" s="58"/>
    </row>
    <row r="36" spans="1:73" ht="16.5" customHeight="1" x14ac:dyDescent="0.3">
      <c r="A36" s="36" t="s">
        <v>102</v>
      </c>
      <c r="B36" s="134"/>
      <c r="C36" s="134"/>
      <c r="D36" s="134"/>
      <c r="E36" s="54"/>
      <c r="F36" s="56"/>
      <c r="G36" s="57">
        <f>(8.096021+19.453759+3.525378)*2.204622/60</f>
        <v>1.1418162830046001</v>
      </c>
      <c r="H36" s="58"/>
      <c r="I36" s="134"/>
      <c r="J36" s="58">
        <f>5.663403*2000/60</f>
        <v>188.78009999999998</v>
      </c>
      <c r="K36" s="59"/>
      <c r="L36" s="57">
        <f>(22.638687+5296.569)*2.204622/60</f>
        <v>195.44737148882191</v>
      </c>
      <c r="M36" s="57"/>
      <c r="N36" s="58"/>
    </row>
    <row r="37" spans="1:73" ht="16.5" customHeight="1" x14ac:dyDescent="0.3">
      <c r="A37" s="36" t="s">
        <v>103</v>
      </c>
      <c r="B37" s="134"/>
      <c r="C37" s="134"/>
      <c r="D37" s="134"/>
      <c r="E37" s="54"/>
      <c r="F37" s="56"/>
      <c r="G37" s="57">
        <f>(1.166549+36.489844+3.682102)*2.204622/60</f>
        <v>1.5189292587315002</v>
      </c>
      <c r="H37" s="58"/>
      <c r="I37" s="134"/>
      <c r="J37" s="58">
        <f>5.258777*2000/60</f>
        <v>175.29256666666666</v>
      </c>
      <c r="K37" s="59"/>
      <c r="L37" s="57">
        <f>(14.336042+2744.522)*2.204622/60</f>
        <v>101.3706522378354</v>
      </c>
      <c r="M37" s="134"/>
      <c r="N37" s="134"/>
    </row>
    <row r="38" spans="1:73" ht="16.5" customHeight="1" x14ac:dyDescent="0.3">
      <c r="A38" s="36" t="s">
        <v>72</v>
      </c>
      <c r="B38" s="134"/>
      <c r="C38" s="134"/>
      <c r="D38" s="134"/>
      <c r="E38" s="54">
        <f>N34</f>
        <v>3252.4879999999998</v>
      </c>
      <c r="F38" s="56"/>
      <c r="G38" s="57">
        <f>SUM(G35:G37)</f>
        <v>4.0501974606387003</v>
      </c>
      <c r="H38" s="58">
        <f>E38+F38+G38</f>
        <v>3256.5381974606385</v>
      </c>
      <c r="I38" s="134"/>
      <c r="J38" s="58">
        <f>SUM(J35:J37)</f>
        <v>548.81513333333328</v>
      </c>
      <c r="K38" s="59">
        <f>M38-L38-J38</f>
        <v>-51.836955434622951</v>
      </c>
      <c r="L38" s="57">
        <f>SUM(L35:L37)</f>
        <v>504.67801956192807</v>
      </c>
      <c r="M38" s="57">
        <f>H38-N38</f>
        <v>1001.6561974606384</v>
      </c>
      <c r="N38" s="58">
        <v>2254.8820000000001</v>
      </c>
    </row>
    <row r="39" spans="1:73" ht="16.5" customHeight="1" x14ac:dyDescent="0.3">
      <c r="A39" s="36" t="s">
        <v>104</v>
      </c>
      <c r="B39" s="134"/>
      <c r="C39" s="134"/>
      <c r="D39" s="134"/>
      <c r="E39" s="54"/>
      <c r="F39" s="56"/>
      <c r="G39" s="57">
        <f>(13.511735+22.972721+5.958844)*2.204622/60</f>
        <v>1.5595238822100002</v>
      </c>
      <c r="H39" s="58"/>
      <c r="I39" s="134"/>
      <c r="J39" s="58">
        <f>5.764867*2000/60</f>
        <v>192.16223333333335</v>
      </c>
      <c r="K39" s="59"/>
      <c r="L39" s="57">
        <f>(18.610925+2552.241)*2.204622/60</f>
        <v>94.462611876622503</v>
      </c>
      <c r="M39" s="57"/>
      <c r="N39" s="58"/>
    </row>
    <row r="40" spans="1:73" ht="16.5" customHeight="1" x14ac:dyDescent="0.3">
      <c r="A40" s="36" t="s">
        <v>105</v>
      </c>
      <c r="B40" s="134"/>
      <c r="C40" s="134"/>
      <c r="D40" s="134"/>
      <c r="E40" s="54"/>
      <c r="F40" s="56"/>
      <c r="G40" s="57">
        <f>(5.570598+10.245373+9.643559)*2.204622/60</f>
        <v>0.93547733246100007</v>
      </c>
      <c r="H40" s="58"/>
      <c r="I40" s="134"/>
      <c r="J40" s="58">
        <f>5.501825*2000/60</f>
        <v>183.39416666666665</v>
      </c>
      <c r="K40" s="59"/>
      <c r="L40" s="57">
        <f>(20.838345+2142.276)*2.204622/60</f>
        <v>79.480824558376497</v>
      </c>
      <c r="M40" s="57"/>
      <c r="N40" s="58"/>
    </row>
    <row r="41" spans="1:73" ht="16.5" customHeight="1" x14ac:dyDescent="0.3">
      <c r="A41" s="36" t="s">
        <v>106</v>
      </c>
      <c r="B41" s="134"/>
      <c r="C41" s="134"/>
      <c r="D41" s="134"/>
      <c r="E41" s="54"/>
      <c r="F41" s="56"/>
      <c r="G41" s="57">
        <f>(2.133054+19.16263+9.57398)*2.204622/60</f>
        <v>1.1342656731168002</v>
      </c>
      <c r="H41" s="58"/>
      <c r="I41" s="134"/>
      <c r="J41" s="58">
        <f>5.386534*2000/60</f>
        <v>179.55113333333335</v>
      </c>
      <c r="K41" s="59"/>
      <c r="L41" s="57">
        <f>(21.557089+1943.847)*2.204622/60</f>
        <v>72.216218224989291</v>
      </c>
      <c r="M41" s="57"/>
      <c r="N41" s="58"/>
    </row>
    <row r="42" spans="1:73" ht="16.5" customHeight="1" x14ac:dyDescent="0.3">
      <c r="A42" s="36" t="s">
        <v>73</v>
      </c>
      <c r="B42" s="39"/>
      <c r="C42" s="39"/>
      <c r="D42" s="39"/>
      <c r="E42" s="54">
        <f>N38</f>
        <v>2254.8820000000001</v>
      </c>
      <c r="F42" s="61"/>
      <c r="G42" s="57">
        <f>SUM(G39:G41)</f>
        <v>3.6292668877878005</v>
      </c>
      <c r="H42" s="58">
        <f>E42+F42+G42</f>
        <v>2258.5112668877878</v>
      </c>
      <c r="I42" s="58"/>
      <c r="J42" s="58">
        <f>SUM(J39:J41)</f>
        <v>555.10753333333332</v>
      </c>
      <c r="K42" s="62">
        <f>M42-L42-J42</f>
        <v>71.255078894466124</v>
      </c>
      <c r="L42" s="57">
        <f>SUM(L39:L41)</f>
        <v>246.15965465998829</v>
      </c>
      <c r="M42" s="57">
        <f>H42-N42</f>
        <v>872.52226688778774</v>
      </c>
      <c r="N42" s="58">
        <v>1385.989</v>
      </c>
    </row>
    <row r="43" spans="1:73" ht="16.5" customHeight="1" x14ac:dyDescent="0.3">
      <c r="A43" s="36" t="s">
        <v>168</v>
      </c>
      <c r="B43" s="39"/>
      <c r="C43" s="39"/>
      <c r="D43" s="39"/>
      <c r="E43" s="54"/>
      <c r="F43" s="61"/>
      <c r="G43" s="57">
        <f>(2.390293+33.764567+8.787479)*2.204622/60</f>
        <v>1.6513478215142998</v>
      </c>
      <c r="H43" s="58"/>
      <c r="I43" s="58"/>
      <c r="J43" s="58">
        <f>5.318419*2000/60</f>
        <v>177.28063333333333</v>
      </c>
      <c r="K43" s="62"/>
      <c r="L43" s="57">
        <f>(21.146851+1778.049)*2.204622/60</f>
        <v>66.109112590388705</v>
      </c>
      <c r="M43" s="57"/>
      <c r="N43" s="58"/>
    </row>
    <row r="44" spans="1:73" ht="16.5" customHeight="1" x14ac:dyDescent="0.3">
      <c r="A44" s="36" t="s">
        <v>143</v>
      </c>
      <c r="B44" s="134"/>
      <c r="C44" s="134"/>
      <c r="D44" s="134"/>
      <c r="E44" s="54"/>
      <c r="F44" s="56">
        <f>F34</f>
        <v>3552.241</v>
      </c>
      <c r="G44" s="57">
        <f>G34+G38+G42+G43</f>
        <v>12.918434703484801</v>
      </c>
      <c r="H44" s="58">
        <f>E34+F44+G44</f>
        <v>4474.2114347034849</v>
      </c>
      <c r="I44" s="134"/>
      <c r="J44" s="58">
        <f>J34+J38+J42+J43</f>
        <v>1805.3733666666667</v>
      </c>
      <c r="K44" s="59">
        <f>K34+K38+K42</f>
        <v>96.973781565328636</v>
      </c>
      <c r="L44" s="57">
        <f>L34+L38+L42+L43</f>
        <v>1427.6136845736969</v>
      </c>
      <c r="M44" s="57">
        <f>M34+M38+M42+M43</f>
        <v>3086.5710868819701</v>
      </c>
      <c r="N44" s="58"/>
    </row>
    <row r="45" spans="1:73" ht="16.5" customHeight="1" x14ac:dyDescent="0.3">
      <c r="A45" s="35"/>
      <c r="B45" s="126"/>
      <c r="C45" s="126"/>
      <c r="D45" s="126"/>
      <c r="E45" s="126"/>
      <c r="F45" s="139"/>
      <c r="G45" s="64"/>
      <c r="H45" s="128"/>
      <c r="I45" s="146"/>
      <c r="J45" s="128"/>
      <c r="K45" s="128"/>
      <c r="L45" s="64"/>
      <c r="M45" s="64"/>
      <c r="N45" s="126"/>
    </row>
    <row r="46" spans="1:73" ht="16.5" customHeight="1" x14ac:dyDescent="0.3">
      <c r="A46" s="65" t="s">
        <v>155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66"/>
      <c r="M46" s="39"/>
      <c r="N46" s="39"/>
    </row>
    <row r="47" spans="1:73" ht="16.5" customHeight="1" x14ac:dyDescent="0.35">
      <c r="A47" s="36" t="s">
        <v>166</v>
      </c>
      <c r="B47" s="36"/>
      <c r="C47" s="36"/>
      <c r="D47" s="36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1:73" ht="16.5" customHeight="1" x14ac:dyDescent="0.35">
      <c r="A48" s="68" t="s">
        <v>69</v>
      </c>
      <c r="B48" s="36"/>
      <c r="C48" s="36"/>
      <c r="D48" s="3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:73" ht="16.5" customHeight="1" x14ac:dyDescent="0.3">
      <c r="A49" s="40" t="s">
        <v>20</v>
      </c>
      <c r="B49" s="69">
        <f ca="1">NOW()</f>
        <v>44057.393124305556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:73" x14ac:dyDescent="0.25">
      <c r="F53" s="15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5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5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  <row r="545" spans="15:73" x14ac:dyDescent="0.25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</row>
    <row r="546" spans="15:73" x14ac:dyDescent="0.25"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6 K34 K27 K38 K42 K4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4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5" t="s">
        <v>149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" x14ac:dyDescent="0.3">
      <c r="A2" s="36"/>
      <c r="B2" s="168" t="s">
        <v>0</v>
      </c>
      <c r="C2" s="168"/>
      <c r="D2" s="168"/>
      <c r="E2" s="168"/>
      <c r="F2" s="39"/>
      <c r="G2" s="168" t="s">
        <v>19</v>
      </c>
      <c r="H2" s="168"/>
      <c r="I2" s="168"/>
      <c r="J2" s="36"/>
    </row>
    <row r="3" spans="1:12" ht="14" x14ac:dyDescent="0.3">
      <c r="A3" s="36" t="s">
        <v>75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28</v>
      </c>
    </row>
    <row r="4" spans="1:12" ht="14" x14ac:dyDescent="0.3">
      <c r="A4" s="41" t="s">
        <v>76</v>
      </c>
      <c r="B4" s="43" t="s">
        <v>27</v>
      </c>
      <c r="C4" s="43" t="s">
        <v>1</v>
      </c>
      <c r="D4" s="43" t="s">
        <v>2</v>
      </c>
      <c r="E4" s="45" t="s">
        <v>26</v>
      </c>
      <c r="F4" s="44"/>
      <c r="G4" s="43" t="s">
        <v>29</v>
      </c>
      <c r="H4" s="43" t="s">
        <v>25</v>
      </c>
      <c r="I4" s="43" t="s">
        <v>26</v>
      </c>
      <c r="J4" s="43" t="s">
        <v>86</v>
      </c>
    </row>
    <row r="5" spans="1:12" ht="14.5" x14ac:dyDescent="0.35">
      <c r="A5" s="36"/>
      <c r="B5" s="169" t="s">
        <v>94</v>
      </c>
      <c r="C5" s="169"/>
      <c r="D5" s="169"/>
      <c r="E5" s="169"/>
      <c r="F5" s="169"/>
      <c r="G5" s="169"/>
      <c r="H5" s="169"/>
      <c r="I5" s="169"/>
      <c r="J5" s="169"/>
    </row>
    <row r="6" spans="1:12" ht="16.5" x14ac:dyDescent="0.3">
      <c r="A6" s="36" t="s">
        <v>141</v>
      </c>
      <c r="B6" s="70">
        <v>555.42399999999998</v>
      </c>
      <c r="C6" s="71">
        <f>C23</f>
        <v>48813.759999999995</v>
      </c>
      <c r="D6" s="71">
        <f>D23</f>
        <v>683.345988757908</v>
      </c>
      <c r="E6" s="50">
        <f t="shared" ref="E6:E7" si="0">SUM(B6:D6)</f>
        <v>50052.529988757902</v>
      </c>
      <c r="F6" s="71"/>
      <c r="G6" s="71">
        <f t="shared" ref="G6:G7" si="1">I6-H6</f>
        <v>36212.450812999567</v>
      </c>
      <c r="H6" s="71">
        <f>H23</f>
        <v>13438.064175758334</v>
      </c>
      <c r="I6" s="71">
        <f t="shared" ref="I6:I7" si="2">E6-J6</f>
        <v>49650.514988757903</v>
      </c>
      <c r="J6" s="71">
        <f>J22</f>
        <v>402.01499999999999</v>
      </c>
    </row>
    <row r="7" spans="1:12" ht="16.5" x14ac:dyDescent="0.3">
      <c r="A7" s="36" t="s">
        <v>146</v>
      </c>
      <c r="B7" s="70">
        <f>J6</f>
        <v>402.01499999999999</v>
      </c>
      <c r="C7" s="71">
        <v>50923</v>
      </c>
      <c r="D7" s="71">
        <v>600</v>
      </c>
      <c r="E7" s="50">
        <f t="shared" si="0"/>
        <v>51925.014999999999</v>
      </c>
      <c r="F7" s="71"/>
      <c r="G7" s="71">
        <f t="shared" si="1"/>
        <v>37900.014999999999</v>
      </c>
      <c r="H7" s="71">
        <v>13650</v>
      </c>
      <c r="I7" s="71">
        <f t="shared" si="2"/>
        <v>51550.014999999999</v>
      </c>
      <c r="J7" s="71">
        <v>375</v>
      </c>
    </row>
    <row r="8" spans="1:12" ht="16.5" x14ac:dyDescent="0.3">
      <c r="A8" s="36" t="s">
        <v>158</v>
      </c>
      <c r="B8" s="70">
        <f>J7</f>
        <v>375</v>
      </c>
      <c r="C8" s="71">
        <v>51425</v>
      </c>
      <c r="D8" s="71">
        <v>400</v>
      </c>
      <c r="E8" s="50">
        <f t="shared" ref="E8" si="3">SUM(B8:D8)</f>
        <v>52200</v>
      </c>
      <c r="F8" s="71"/>
      <c r="G8" s="71">
        <f t="shared" ref="G8" si="4">I8-H8</f>
        <v>38300</v>
      </c>
      <c r="H8" s="71">
        <v>13500</v>
      </c>
      <c r="I8" s="71">
        <f t="shared" ref="I8" si="5">E8-J8</f>
        <v>51800</v>
      </c>
      <c r="J8" s="71">
        <v>400</v>
      </c>
    </row>
    <row r="9" spans="1:12" ht="14" x14ac:dyDescent="0.3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5" x14ac:dyDescent="0.35">
      <c r="A10" s="39" t="s">
        <v>142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5" x14ac:dyDescent="0.35">
      <c r="A11" s="39" t="s">
        <v>50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3354.2967822841001</v>
      </c>
      <c r="H11" s="57">
        <f>((771.028552+6.862+220.547018))*(2.204622/2)</f>
        <v>1100.58871622427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5" x14ac:dyDescent="0.35">
      <c r="A12" s="39" t="s">
        <v>51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3150.9646498550537</v>
      </c>
      <c r="H12" s="57">
        <f>((784.033392+14.219+246.727304))*(2.204622/2)</f>
        <v>1151.8926136774562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5" x14ac:dyDescent="0.35">
      <c r="A13" s="39" t="s">
        <v>52</v>
      </c>
      <c r="B13" s="74">
        <f t="shared" ref="B13:B17" si="6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3110.3728086095857</v>
      </c>
      <c r="H13" s="57">
        <f>((815.290041+20.76+202.841833))*(2.204622/2)</f>
        <v>1145.1819405208139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5" x14ac:dyDescent="0.35">
      <c r="A14" s="39" t="s">
        <v>53</v>
      </c>
      <c r="B14" s="74">
        <f t="shared" si="6"/>
        <v>435.10599999999999</v>
      </c>
      <c r="C14" s="57">
        <f>3988.737+280.766</f>
        <v>4269.5029999999997</v>
      </c>
      <c r="D14" s="57">
        <f>(51173.688+5010+707.464+348.119)*2.204622/2000</f>
        <v>63.095478055281006</v>
      </c>
      <c r="E14" s="57">
        <f>SUM(B14:D14)</f>
        <v>4767.7044780552806</v>
      </c>
      <c r="F14" s="57"/>
      <c r="G14" s="75">
        <f>I14-H14</f>
        <v>2774.5970802723423</v>
      </c>
      <c r="H14" s="57">
        <f>((1042.106962+38.887+346.285996))*(2.204622/2)</f>
        <v>1573.3063977829381</v>
      </c>
      <c r="I14" s="73">
        <f>E14-J14</f>
        <v>4347.9034780552802</v>
      </c>
      <c r="J14" s="75">
        <f>380.224+39.577</f>
        <v>419.80099999999999</v>
      </c>
      <c r="K14" s="20"/>
      <c r="L14" s="20"/>
    </row>
    <row r="15" spans="1:12" ht="15.5" x14ac:dyDescent="0.35">
      <c r="A15" s="39" t="s">
        <v>54</v>
      </c>
      <c r="B15" s="74">
        <f t="shared" si="6"/>
        <v>419.80099999999999</v>
      </c>
      <c r="C15" s="57">
        <f>3583.222+253.395</f>
        <v>3836.6170000000002</v>
      </c>
      <c r="D15" s="57">
        <f>(47743.236+5105+263.079+425.819)*2.204622/2000</f>
        <v>59.014571716673998</v>
      </c>
      <c r="E15" s="57">
        <f>SUM(B15:D15)</f>
        <v>4315.4325717166748</v>
      </c>
      <c r="F15" s="57"/>
      <c r="G15" s="75">
        <f>I15-H15</f>
        <v>2930.8925902377518</v>
      </c>
      <c r="H15" s="57">
        <f>((779.743182+7.924+200.856911))*(2.204622/2)</f>
        <v>1089.6609814789231</v>
      </c>
      <c r="I15" s="73">
        <f t="shared" ref="I15:I22" si="7">E15-J15</f>
        <v>4020.5535717166749</v>
      </c>
      <c r="J15" s="75">
        <f>263.515+31.364</f>
        <v>294.87899999999996</v>
      </c>
      <c r="K15" s="20"/>
      <c r="L15" s="20"/>
    </row>
    <row r="16" spans="1:12" ht="15.5" x14ac:dyDescent="0.35">
      <c r="A16" s="39" t="s">
        <v>55</v>
      </c>
      <c r="B16" s="74">
        <f t="shared" si="6"/>
        <v>294.87899999999996</v>
      </c>
      <c r="C16" s="57">
        <f>3926.558+274.26</f>
        <v>4200.8180000000002</v>
      </c>
      <c r="D16" s="57">
        <f>(61690.64+4364+411.923+224.341)*2.204622/2000</f>
        <v>73.514117079144</v>
      </c>
      <c r="E16" s="57">
        <f t="shared" ref="E16:E17" si="8">SUM(B16:D16)</f>
        <v>4569.2111170791441</v>
      </c>
      <c r="F16" s="73"/>
      <c r="G16" s="75">
        <f t="shared" ref="G16:G17" si="9">I16-H16</f>
        <v>2880.9950938293141</v>
      </c>
      <c r="H16" s="57">
        <f>((765.046558+6.028+297.700972))*(2.204622/2)</f>
        <v>1178.1230232498299</v>
      </c>
      <c r="I16" s="73">
        <f t="shared" si="7"/>
        <v>4059.1181170791442</v>
      </c>
      <c r="J16" s="75">
        <f>465.159+44.934</f>
        <v>510.09299999999996</v>
      </c>
      <c r="K16" s="20"/>
      <c r="L16" s="20"/>
    </row>
    <row r="17" spans="1:12" ht="15.5" x14ac:dyDescent="0.35">
      <c r="A17" s="39" t="s">
        <v>56</v>
      </c>
      <c r="B17" s="74">
        <f t="shared" si="6"/>
        <v>510.09299999999996</v>
      </c>
      <c r="C17" s="57">
        <f>3763.527+259.021</f>
        <v>4022.5480000000002</v>
      </c>
      <c r="D17" s="57">
        <f>(62406.645+4677+258.417+254.463)*2.204622/2000</f>
        <v>74.512393069275006</v>
      </c>
      <c r="E17" s="57">
        <f t="shared" si="8"/>
        <v>4607.1533930692758</v>
      </c>
      <c r="F17" s="73"/>
      <c r="G17" s="75">
        <f t="shared" si="9"/>
        <v>2830.3141025933178</v>
      </c>
      <c r="H17" s="57">
        <f>((999.192514+13.354+249.952264))*(2.204622/2)</f>
        <v>1391.6662904759582</v>
      </c>
      <c r="I17" s="73">
        <f t="shared" si="7"/>
        <v>4221.980393069276</v>
      </c>
      <c r="J17" s="75">
        <f>337.326+47.847</f>
        <v>385.173</v>
      </c>
      <c r="K17" s="20"/>
      <c r="L17" s="20"/>
    </row>
    <row r="18" spans="1:12" ht="15.5" x14ac:dyDescent="0.35">
      <c r="A18" s="39" t="s">
        <v>57</v>
      </c>
      <c r="B18" s="74">
        <f t="shared" ref="B18:B19" si="10">J17</f>
        <v>385.173</v>
      </c>
      <c r="C18" s="57">
        <f>3660.325+249.227</f>
        <v>3909.5519999999997</v>
      </c>
      <c r="D18" s="57">
        <f>(57758.536+3870+130.583+721.919)*2.204622/2000</f>
        <v>68.873535478817999</v>
      </c>
      <c r="E18" s="57">
        <f t="shared" ref="E18" si="11">SUM(B18:D18)</f>
        <v>4363.5985354788172</v>
      </c>
      <c r="F18" s="73"/>
      <c r="G18" s="75">
        <f t="shared" ref="G18" si="12">I18-H18</f>
        <v>2980.7459047252823</v>
      </c>
      <c r="H18" s="57">
        <f>((774.237736+11.94+185.188449))*(2.204622/2)</f>
        <v>1070.7476307535351</v>
      </c>
      <c r="I18" s="73">
        <f t="shared" si="7"/>
        <v>4051.4935354788172</v>
      </c>
      <c r="J18" s="75">
        <f>276.276+35.829</f>
        <v>312.10500000000002</v>
      </c>
      <c r="K18" s="20"/>
      <c r="L18" s="20"/>
    </row>
    <row r="19" spans="1:12" ht="15.5" x14ac:dyDescent="0.35">
      <c r="A19" s="39" t="s">
        <v>58</v>
      </c>
      <c r="B19" s="74">
        <f t="shared" si="10"/>
        <v>312.10500000000002</v>
      </c>
      <c r="C19" s="57">
        <f>3453.178+243.145</f>
        <v>3696.3229999999999</v>
      </c>
      <c r="D19" s="57">
        <f>(35949.24+2516+112.11+336.226)*2.204622/2000</f>
        <v>42.894862874136003</v>
      </c>
      <c r="E19" s="57">
        <f t="shared" ref="E19:E21" si="13">SUM(B19:D19)</f>
        <v>4051.3228628741358</v>
      </c>
      <c r="F19" s="73"/>
      <c r="G19" s="75">
        <f t="shared" ref="G19:G20" si="14">I19-H19</f>
        <v>2801.9381819613936</v>
      </c>
      <c r="H19" s="57">
        <f>((519.14176+8.497+220.724162))*(2.204622/2)</f>
        <v>824.92868091274192</v>
      </c>
      <c r="I19" s="73">
        <f t="shared" si="7"/>
        <v>3626.8668628741357</v>
      </c>
      <c r="J19" s="75">
        <f>376.025+48.431</f>
        <v>424.45599999999996</v>
      </c>
      <c r="K19" s="20"/>
      <c r="L19" s="20"/>
    </row>
    <row r="20" spans="1:12" ht="15.5" x14ac:dyDescent="0.35">
      <c r="A20" s="39" t="s">
        <v>60</v>
      </c>
      <c r="B20" s="74">
        <f t="shared" ref="B20:B21" si="15">J19</f>
        <v>424.45599999999996</v>
      </c>
      <c r="C20" s="57">
        <f>3918.907+267.367</f>
        <v>4186.2740000000003</v>
      </c>
      <c r="D20" s="57">
        <f>(44322.32+4772+199.564+145.516)*2.204622/2000</f>
        <v>54.497594453399998</v>
      </c>
      <c r="E20" s="57">
        <f t="shared" si="13"/>
        <v>4665.2275944534003</v>
      </c>
      <c r="F20" s="73"/>
      <c r="G20" s="75">
        <f t="shared" si="14"/>
        <v>3368.7132462563131</v>
      </c>
      <c r="H20" s="57">
        <f>((719.915185+22.13+84.674632))*(2.204622/2)</f>
        <v>911.30234819708699</v>
      </c>
      <c r="I20" s="73">
        <f t="shared" si="7"/>
        <v>4280.0155944533999</v>
      </c>
      <c r="J20" s="75">
        <f>345.45+39.762</f>
        <v>385.21199999999999</v>
      </c>
      <c r="K20" s="20"/>
      <c r="L20" s="20"/>
    </row>
    <row r="21" spans="1:12" ht="15.5" x14ac:dyDescent="0.35">
      <c r="A21" s="39" t="s">
        <v>61</v>
      </c>
      <c r="B21" s="74">
        <f t="shared" si="15"/>
        <v>385.21199999999999</v>
      </c>
      <c r="C21" s="57">
        <f>3880.5+270.264</f>
        <v>4150.7640000000001</v>
      </c>
      <c r="D21" s="57">
        <f>(46460.992+4437+275.83+125.417)*2.204622/2000</f>
        <v>56.547715441329004</v>
      </c>
      <c r="E21" s="57">
        <f t="shared" si="13"/>
        <v>4592.5237154413298</v>
      </c>
      <c r="F21" s="73"/>
      <c r="G21" s="75">
        <f t="shared" ref="G21" si="16">I21-H21</f>
        <v>3116.0866948645835</v>
      </c>
      <c r="H21" s="57">
        <f>((813.005487+9.092+124.300599))*(2.204622/2)</f>
        <v>1043.2250205767461</v>
      </c>
      <c r="I21" s="73">
        <f t="shared" si="7"/>
        <v>4159.3117154413294</v>
      </c>
      <c r="J21" s="75">
        <f>384.874+48.338</f>
        <v>433.21200000000005</v>
      </c>
      <c r="K21" s="20"/>
      <c r="L21" s="20"/>
    </row>
    <row r="22" spans="1:12" ht="15.5" x14ac:dyDescent="0.35">
      <c r="A22" s="39" t="s">
        <v>63</v>
      </c>
      <c r="B22" s="74">
        <f t="shared" ref="B22" si="17">J21</f>
        <v>433.21200000000005</v>
      </c>
      <c r="C22" s="57">
        <f>3553.484+246.065</f>
        <v>3799.549</v>
      </c>
      <c r="D22" s="57">
        <f>(31758.14+3597+75.985+156.118)*2.204622/2000</f>
        <v>39.228209418573002</v>
      </c>
      <c r="E22" s="57">
        <f t="shared" ref="E22" si="18">SUM(B22:D22)</f>
        <v>4271.9892094185734</v>
      </c>
      <c r="F22" s="73"/>
      <c r="G22" s="75">
        <f t="shared" ref="G22" si="19">I22-H22</f>
        <v>2912.5336775105384</v>
      </c>
      <c r="H22" s="57">
        <f>((672.113745+16.016+180.44594))*(2.204622/2)</f>
        <v>957.44053190803504</v>
      </c>
      <c r="I22" s="73">
        <f t="shared" si="7"/>
        <v>3869.9742094185735</v>
      </c>
      <c r="J22" s="75">
        <f>360.387+41.628</f>
        <v>402.01499999999999</v>
      </c>
      <c r="K22" s="20"/>
      <c r="L22" s="20"/>
    </row>
    <row r="23" spans="1:12" ht="15.5" x14ac:dyDescent="0.35">
      <c r="A23" s="39" t="s">
        <v>3</v>
      </c>
      <c r="B23" s="74"/>
      <c r="C23" s="57">
        <f>SUM(C11:C22)</f>
        <v>48813.759999999995</v>
      </c>
      <c r="D23" s="57">
        <f>SUM(D11:D22)</f>
        <v>683.345988757908</v>
      </c>
      <c r="E23" s="57">
        <f t="shared" ref="E23" si="20">SUM(E11:E19)</f>
        <v>40903.152469444598</v>
      </c>
      <c r="F23" s="57"/>
      <c r="G23" s="57">
        <f t="shared" ref="G23:I23" si="21">SUM(G11:G22)</f>
        <v>36212.450812999574</v>
      </c>
      <c r="H23" s="57">
        <f t="shared" si="21"/>
        <v>13438.064175758334</v>
      </c>
      <c r="I23" s="57">
        <f t="shared" si="21"/>
        <v>49650.514988757903</v>
      </c>
      <c r="J23" s="57"/>
      <c r="K23" s="20"/>
      <c r="L23" s="20"/>
    </row>
    <row r="24" spans="1:12" ht="15.5" x14ac:dyDescent="0.3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5" x14ac:dyDescent="0.35">
      <c r="A25" s="39" t="s">
        <v>147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5" x14ac:dyDescent="0.35">
      <c r="A26" s="39" t="s">
        <v>50</v>
      </c>
      <c r="B26" s="74">
        <f>J22</f>
        <v>402.01499999999999</v>
      </c>
      <c r="C26" s="57">
        <f>4105.453+276.379</f>
        <v>4381.8320000000003</v>
      </c>
      <c r="D26" s="57">
        <f>(34717.207+8327+125.964+103.856)*2.204622/2000</f>
        <v>47.701435976397008</v>
      </c>
      <c r="E26" s="57">
        <f t="shared" ref="E26" si="22">SUM(B26:D26)</f>
        <v>4831.5484359763977</v>
      </c>
      <c r="F26" s="73"/>
      <c r="G26" s="75">
        <f t="shared" ref="G26" si="23">I26-H26</f>
        <v>3326.9284705422137</v>
      </c>
      <c r="H26" s="75">
        <f>((785.683617+14.393+233.530927))*(2.204622/2)</f>
        <v>1139.3569654341841</v>
      </c>
      <c r="I26" s="73">
        <f t="shared" ref="I26" si="24">E26-J26</f>
        <v>4466.2854359763978</v>
      </c>
      <c r="J26" s="75">
        <f>335.087+30.176</f>
        <v>365.26299999999998</v>
      </c>
      <c r="K26" s="20"/>
      <c r="L26" s="20"/>
    </row>
    <row r="27" spans="1:12" ht="15.5" x14ac:dyDescent="0.35">
      <c r="A27" s="39" t="s">
        <v>51</v>
      </c>
      <c r="B27" s="74">
        <f t="shared" ref="B27:B33" si="25">J26</f>
        <v>365.26299999999998</v>
      </c>
      <c r="C27" s="57">
        <f>3855.827+255.945</f>
        <v>4111.7719999999999</v>
      </c>
      <c r="D27" s="57">
        <f>(29823.451+2961+130.165+90.108)*2.204622/2000</f>
        <v>36.381470317164009</v>
      </c>
      <c r="E27" s="57">
        <f t="shared" ref="E27:E33" si="26">SUM(B27:D27)</f>
        <v>4513.4164703171637</v>
      </c>
      <c r="F27" s="57"/>
      <c r="G27" s="75">
        <f t="shared" ref="G27:G33" si="27">I27-H27</f>
        <v>2798.9963823138437</v>
      </c>
      <c r="H27" s="75">
        <f>((866.134196+3.458+261.673924))*(2.204622/2)</f>
        <v>1247.00708800332</v>
      </c>
      <c r="I27" s="73">
        <f t="shared" ref="I27:I34" si="28">E27-J27</f>
        <v>4046.0034703171636</v>
      </c>
      <c r="J27" s="57">
        <f>426.332+41.081</f>
        <v>467.41300000000001</v>
      </c>
      <c r="K27" s="20"/>
      <c r="L27" s="20"/>
    </row>
    <row r="28" spans="1:12" ht="15.5" x14ac:dyDescent="0.35">
      <c r="A28" s="39" t="s">
        <v>52</v>
      </c>
      <c r="B28" s="74">
        <f t="shared" si="25"/>
        <v>467.41300000000001</v>
      </c>
      <c r="C28" s="57">
        <f>4062.929+274.643</f>
        <v>4337.5720000000001</v>
      </c>
      <c r="D28" s="57">
        <f>(33710.056+13585+182.009+72.517)*2.204622/2000</f>
        <v>52.414427284001995</v>
      </c>
      <c r="E28" s="57">
        <f t="shared" si="26"/>
        <v>4857.3994272840027</v>
      </c>
      <c r="F28" s="57"/>
      <c r="G28" s="75">
        <f t="shared" si="27"/>
        <v>3384.5441774417495</v>
      </c>
      <c r="H28" s="75">
        <f>((764.679901+9.721+219.677222))*(2.204622/2)</f>
        <v>1095.7832498422531</v>
      </c>
      <c r="I28" s="73">
        <f t="shared" si="28"/>
        <v>4480.3274272840026</v>
      </c>
      <c r="J28" s="57">
        <f>342.085+34.987</f>
        <v>377.072</v>
      </c>
      <c r="K28" s="20"/>
      <c r="L28" s="20"/>
    </row>
    <row r="29" spans="1:12" ht="15.5" x14ac:dyDescent="0.35">
      <c r="A29" s="39" t="s">
        <v>53</v>
      </c>
      <c r="B29" s="74">
        <f t="shared" si="25"/>
        <v>377.072</v>
      </c>
      <c r="C29" s="57">
        <f>4144.355+281.394</f>
        <v>4425.7489999999998</v>
      </c>
      <c r="D29" s="57">
        <f>(50090.882+4913+179.878+155.261)*2.204622/2000</f>
        <v>61.000811577530996</v>
      </c>
      <c r="E29" s="57">
        <f t="shared" si="26"/>
        <v>4863.8218115775308</v>
      </c>
      <c r="F29" s="57"/>
      <c r="G29" s="75">
        <f t="shared" si="27"/>
        <v>3435.4339578735735</v>
      </c>
      <c r="H29" s="75">
        <f>((709.103359+18.259+255.531628))*(2.204622/2)</f>
        <v>1083.454853703957</v>
      </c>
      <c r="I29" s="73">
        <f t="shared" si="28"/>
        <v>4518.8888115775308</v>
      </c>
      <c r="J29" s="57">
        <f>302.321+42.612</f>
        <v>344.93300000000005</v>
      </c>
      <c r="K29" s="20"/>
      <c r="L29" s="20"/>
    </row>
    <row r="30" spans="1:12" ht="15.5" x14ac:dyDescent="0.35">
      <c r="A30" s="39" t="s">
        <v>54</v>
      </c>
      <c r="B30" s="74">
        <f t="shared" si="25"/>
        <v>344.93300000000005</v>
      </c>
      <c r="C30" s="57">
        <f>3863.475+259.153</f>
        <v>4122.6279999999997</v>
      </c>
      <c r="D30" s="57">
        <f>(41456.755+3685+293.02+207.359)*2.204622/2000</f>
        <v>50.311826371673988</v>
      </c>
      <c r="E30" s="57">
        <f t="shared" si="26"/>
        <v>4517.8728263716739</v>
      </c>
      <c r="F30" s="57"/>
      <c r="G30" s="75">
        <f t="shared" si="27"/>
        <v>2687.3697811372549</v>
      </c>
      <c r="H30" s="75">
        <f>((1026.306442+5.115+227.891987))*(2.204622/2)</f>
        <v>1388.155045234419</v>
      </c>
      <c r="I30" s="73">
        <f t="shared" si="28"/>
        <v>4075.524826371674</v>
      </c>
      <c r="J30" s="57">
        <f>396.511+45.837</f>
        <v>442.34800000000001</v>
      </c>
      <c r="K30" s="20"/>
      <c r="L30" s="20"/>
    </row>
    <row r="31" spans="1:12" ht="15.5" x14ac:dyDescent="0.35">
      <c r="A31" s="39" t="s">
        <v>55</v>
      </c>
      <c r="B31" s="74">
        <f t="shared" si="25"/>
        <v>442.34800000000001</v>
      </c>
      <c r="C31" s="57">
        <f>4234.605+283.308</f>
        <v>4517.9129999999996</v>
      </c>
      <c r="D31" s="57">
        <f>(52975.114+4417+49.514+310.515)*2.204622/2000</f>
        <v>63.660822502473003</v>
      </c>
      <c r="E31" s="57">
        <f t="shared" si="26"/>
        <v>5023.9218225024724</v>
      </c>
      <c r="F31" s="57"/>
      <c r="G31" s="75">
        <f t="shared" si="27"/>
        <v>3277.7267723843088</v>
      </c>
      <c r="H31" s="75">
        <f>((966.396996+5.084+236.114728))*(2.204622/2)</f>
        <v>1331.1460501181639</v>
      </c>
      <c r="I31" s="73">
        <f t="shared" si="28"/>
        <v>4608.8728225024724</v>
      </c>
      <c r="J31" s="57">
        <f>368.552+46.497</f>
        <v>415.04900000000004</v>
      </c>
      <c r="K31" s="20"/>
      <c r="L31" s="20"/>
    </row>
    <row r="32" spans="1:12" ht="15.5" x14ac:dyDescent="0.35">
      <c r="A32" s="39" t="s">
        <v>56</v>
      </c>
      <c r="B32" s="74">
        <f t="shared" si="25"/>
        <v>415.04900000000004</v>
      </c>
      <c r="C32" s="57">
        <f>4039.265+272.912</f>
        <v>4312.1769999999997</v>
      </c>
      <c r="D32" s="57">
        <f>(43596.712+4455+129.156+140.58)*2.204622/2000</f>
        <v>53.265263666328003</v>
      </c>
      <c r="E32" s="57">
        <f t="shared" si="26"/>
        <v>4780.4912636663275</v>
      </c>
      <c r="F32" s="57"/>
      <c r="G32" s="75">
        <f t="shared" si="27"/>
        <v>3177.7169864129364</v>
      </c>
      <c r="H32" s="75">
        <f>((860.759415+13.997+228.907866))*(2.204622/2)</f>
        <v>1216.5812772533909</v>
      </c>
      <c r="I32" s="73">
        <f t="shared" si="28"/>
        <v>4394.2982636663273</v>
      </c>
      <c r="J32" s="57">
        <f>341.681+44.512</f>
        <v>386.19299999999998</v>
      </c>
      <c r="K32" s="20"/>
      <c r="L32" s="20"/>
    </row>
    <row r="33" spans="1:12" ht="15.5" x14ac:dyDescent="0.35">
      <c r="A33" s="39" t="s">
        <v>57</v>
      </c>
      <c r="B33" s="74">
        <f t="shared" si="25"/>
        <v>386.19299999999998</v>
      </c>
      <c r="C33" s="57">
        <f>3970.047+270.933</f>
        <v>4240.9799999999996</v>
      </c>
      <c r="D33" s="57">
        <f>(37305.065+3502+57.044+184.091)*2.204622/2000</f>
        <v>45.247882390200004</v>
      </c>
      <c r="E33" s="57">
        <f t="shared" si="26"/>
        <v>4672.4208823901999</v>
      </c>
      <c r="F33" s="57"/>
      <c r="G33" s="75">
        <f t="shared" si="27"/>
        <v>3079.8223548584401</v>
      </c>
      <c r="H33" s="75">
        <f>((740.918471+16.721+235.502689))*(2.204622/2)</f>
        <v>1094.7515275317601</v>
      </c>
      <c r="I33" s="73">
        <f t="shared" si="28"/>
        <v>4174.5738823902002</v>
      </c>
      <c r="J33" s="57">
        <f>442.173+55.674</f>
        <v>497.84699999999998</v>
      </c>
      <c r="K33" s="20"/>
      <c r="L33" s="20"/>
    </row>
    <row r="34" spans="1:12" ht="15.5" x14ac:dyDescent="0.35">
      <c r="A34" s="39" t="s">
        <v>58</v>
      </c>
      <c r="B34" s="74">
        <f t="shared" ref="B34" si="29">J33</f>
        <v>497.84699999999998</v>
      </c>
      <c r="C34" s="57">
        <f>3904.725+262.751</f>
        <v>4167.4759999999997</v>
      </c>
      <c r="D34" s="57">
        <f>(33413.436+2627+130.744+121.582)*2.204622/2000</f>
        <v>40.005910772982006</v>
      </c>
      <c r="E34" s="57">
        <f t="shared" ref="E34" si="30">SUM(B34:D34)</f>
        <v>4705.3289107729815</v>
      </c>
      <c r="F34" s="57"/>
      <c r="G34" s="75">
        <f t="shared" ref="G34" si="31">I34-H34</f>
        <v>3062.0751743096025</v>
      </c>
      <c r="H34" s="75">
        <f>((823.744033+10.41+237.186756))*(2.204622/2)</f>
        <v>1180.9507364633789</v>
      </c>
      <c r="I34" s="73">
        <f t="shared" si="28"/>
        <v>4243.0259107729817</v>
      </c>
      <c r="J34" s="57">
        <f>420.426+41.877</f>
        <v>462.303</v>
      </c>
      <c r="K34" s="20"/>
      <c r="L34" s="20"/>
    </row>
    <row r="35" spans="1:12" ht="15.5" x14ac:dyDescent="0.35">
      <c r="A35" s="35" t="s">
        <v>143</v>
      </c>
      <c r="B35" s="76"/>
      <c r="C35" s="64">
        <f>SUM(C26:C34)</f>
        <v>38618.099000000002</v>
      </c>
      <c r="D35" s="64">
        <f>SUM(D26:D34)</f>
        <v>449.98985085875103</v>
      </c>
      <c r="E35" s="64">
        <f>B26+C35+D35</f>
        <v>39470.103850858752</v>
      </c>
      <c r="F35" s="64"/>
      <c r="G35" s="64">
        <f t="shared" ref="G35:I35" si="32">SUM(G26:G34)</f>
        <v>28230.614057273924</v>
      </c>
      <c r="H35" s="64">
        <f t="shared" si="32"/>
        <v>10777.186793584828</v>
      </c>
      <c r="I35" s="64">
        <f t="shared" si="32"/>
        <v>39007.800850858745</v>
      </c>
      <c r="J35" s="64"/>
      <c r="K35" s="20"/>
      <c r="L35" s="20"/>
    </row>
    <row r="36" spans="1:12" ht="17" x14ac:dyDescent="0.35">
      <c r="A36" s="77" t="s">
        <v>156</v>
      </c>
      <c r="B36" s="36"/>
      <c r="C36" s="36"/>
      <c r="D36" s="36"/>
      <c r="E36" s="36"/>
      <c r="F36" s="36"/>
      <c r="G36" s="36"/>
      <c r="H36" s="36"/>
      <c r="I36" s="36"/>
      <c r="J36" s="36"/>
      <c r="K36" s="20"/>
      <c r="L36" s="20"/>
    </row>
    <row r="37" spans="1:12" ht="15.5" x14ac:dyDescent="0.35">
      <c r="A37" s="36" t="s">
        <v>112</v>
      </c>
      <c r="B37" s="36"/>
      <c r="C37" s="36"/>
      <c r="D37" s="36"/>
      <c r="E37" s="36"/>
      <c r="F37" s="36"/>
      <c r="G37" s="36"/>
      <c r="H37" s="36"/>
      <c r="I37" s="36"/>
      <c r="J37" s="36"/>
      <c r="K37" s="20"/>
      <c r="L37" s="20"/>
    </row>
    <row r="38" spans="1:12" ht="15.5" x14ac:dyDescent="0.35">
      <c r="A38" s="40" t="s">
        <v>20</v>
      </c>
      <c r="B38" s="69">
        <f ca="1">NOW()</f>
        <v>44057.393124305556</v>
      </c>
      <c r="C38" s="56"/>
      <c r="D38" s="52"/>
      <c r="E38" s="52"/>
      <c r="F38" s="52"/>
      <c r="G38" s="52"/>
      <c r="H38" s="52"/>
      <c r="I38" s="52"/>
      <c r="J38" s="52"/>
      <c r="K38" s="20"/>
      <c r="L38" s="20"/>
    </row>
    <row r="39" spans="1:12" ht="15.5" x14ac:dyDescent="0.35">
      <c r="A39" s="1"/>
      <c r="B39" s="3"/>
      <c r="C39" s="4"/>
      <c r="D39" s="3"/>
      <c r="E39" s="3"/>
      <c r="F39" s="3"/>
      <c r="G39" s="3"/>
      <c r="H39" s="5"/>
      <c r="I39" s="3"/>
      <c r="J39" s="3"/>
      <c r="K39" s="20"/>
      <c r="L39" s="20"/>
    </row>
    <row r="40" spans="1:12" ht="15.5" x14ac:dyDescent="0.35">
      <c r="A40" s="1"/>
      <c r="B40" s="3"/>
      <c r="C40" s="3"/>
      <c r="D40" s="3"/>
      <c r="E40" s="3"/>
      <c r="F40" s="3"/>
      <c r="G40" s="3"/>
      <c r="H40" s="3"/>
      <c r="I40" s="3"/>
      <c r="J40" s="3"/>
      <c r="K40" s="20"/>
      <c r="L40" s="20"/>
    </row>
    <row r="41" spans="1:12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20"/>
      <c r="L41" s="20"/>
    </row>
    <row r="42" spans="1:12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20"/>
      <c r="L42" s="20"/>
    </row>
    <row r="43" spans="1:12" ht="15.5" x14ac:dyDescent="0.35">
      <c r="K43" s="20"/>
      <c r="L43" s="20"/>
    </row>
    <row r="44" spans="1:12" ht="15.5" x14ac:dyDescent="0.35">
      <c r="K44" s="20"/>
      <c r="L44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9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5" t="s">
        <v>150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" x14ac:dyDescent="0.3">
      <c r="A2" s="36"/>
      <c r="B2" s="168" t="s">
        <v>0</v>
      </c>
      <c r="C2" s="168"/>
      <c r="D2" s="168"/>
      <c r="E2" s="168"/>
      <c r="F2" s="39"/>
      <c r="G2" s="168" t="s">
        <v>19</v>
      </c>
      <c r="H2" s="168"/>
      <c r="I2" s="168"/>
      <c r="J2" s="37"/>
      <c r="K2" s="37"/>
      <c r="L2" s="36"/>
    </row>
    <row r="3" spans="1:13" ht="14" x14ac:dyDescent="0.3">
      <c r="A3" s="36" t="s">
        <v>75</v>
      </c>
      <c r="B3" s="38" t="s">
        <v>30</v>
      </c>
      <c r="C3" s="78" t="s">
        <v>1</v>
      </c>
      <c r="D3" s="78" t="s">
        <v>31</v>
      </c>
      <c r="E3" s="78" t="s">
        <v>26</v>
      </c>
      <c r="F3" s="78"/>
      <c r="G3" s="37" t="s">
        <v>29</v>
      </c>
      <c r="H3" s="37"/>
      <c r="I3" s="37"/>
      <c r="J3" s="78" t="s">
        <v>33</v>
      </c>
      <c r="K3" s="78" t="s">
        <v>26</v>
      </c>
      <c r="L3" s="78" t="s">
        <v>28</v>
      </c>
    </row>
    <row r="4" spans="1:13" ht="14" x14ac:dyDescent="0.3">
      <c r="A4" s="41" t="s">
        <v>76</v>
      </c>
      <c r="B4" s="43" t="s">
        <v>27</v>
      </c>
      <c r="C4" s="44"/>
      <c r="D4" s="44"/>
      <c r="E4" s="44"/>
      <c r="F4" s="44"/>
      <c r="G4" s="43" t="s">
        <v>3</v>
      </c>
      <c r="H4" s="43" t="s">
        <v>87</v>
      </c>
      <c r="I4" s="43" t="s">
        <v>108</v>
      </c>
      <c r="J4" s="44"/>
      <c r="K4" s="44"/>
      <c r="L4" s="78" t="s">
        <v>86</v>
      </c>
    </row>
    <row r="5" spans="1:13" ht="14.5" x14ac:dyDescent="0.35">
      <c r="A5" s="36"/>
      <c r="B5" s="170" t="s">
        <v>99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3" ht="14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3">
      <c r="A7" s="36" t="s">
        <v>141</v>
      </c>
      <c r="B7" s="72">
        <v>1995.434</v>
      </c>
      <c r="C7" s="72">
        <f>C24</f>
        <v>24197.199000000004</v>
      </c>
      <c r="D7" s="72">
        <f>D24</f>
        <v>397.26178192360805</v>
      </c>
      <c r="E7" s="72">
        <f t="shared" ref="E7:E8" si="0">SUM(B7:D7)</f>
        <v>26589.894781923613</v>
      </c>
      <c r="F7" s="72"/>
      <c r="G7" s="72">
        <f t="shared" ref="G7:G8" si="1">K7-J7</f>
        <v>22873.228761820905</v>
      </c>
      <c r="H7" s="72">
        <f>H24</f>
        <v>7863.3000000000011</v>
      </c>
      <c r="I7" s="72">
        <f t="shared" ref="I7:I8" si="2">G7-H7</f>
        <v>15009.928761820904</v>
      </c>
      <c r="J7" s="72">
        <f>J24</f>
        <v>1941.35002010271</v>
      </c>
      <c r="K7" s="72">
        <f t="shared" ref="K7:K8" si="3">E7-L7</f>
        <v>24814.578781923614</v>
      </c>
      <c r="L7" s="72">
        <f>L23</f>
        <v>1775.316</v>
      </c>
      <c r="M7" s="17"/>
    </row>
    <row r="8" spans="1:13" ht="16.5" x14ac:dyDescent="0.3">
      <c r="A8" s="36" t="s">
        <v>146</v>
      </c>
      <c r="B8" s="72">
        <f>L7</f>
        <v>1775.316</v>
      </c>
      <c r="C8" s="72">
        <v>24810</v>
      </c>
      <c r="D8" s="72">
        <v>325</v>
      </c>
      <c r="E8" s="72">
        <f t="shared" si="0"/>
        <v>26910.315999999999</v>
      </c>
      <c r="F8" s="72"/>
      <c r="G8" s="72">
        <f t="shared" si="1"/>
        <v>22000.315999999999</v>
      </c>
      <c r="H8" s="72">
        <v>7600</v>
      </c>
      <c r="I8" s="72">
        <f t="shared" si="2"/>
        <v>14400.315999999999</v>
      </c>
      <c r="J8" s="72">
        <v>2850</v>
      </c>
      <c r="K8" s="72">
        <f t="shared" si="3"/>
        <v>24850.315999999999</v>
      </c>
      <c r="L8" s="72">
        <v>2060</v>
      </c>
      <c r="M8" s="17"/>
    </row>
    <row r="9" spans="1:13" ht="16.5" x14ac:dyDescent="0.3">
      <c r="A9" s="36" t="s">
        <v>158</v>
      </c>
      <c r="B9" s="72">
        <f>L8</f>
        <v>2060</v>
      </c>
      <c r="C9" s="72">
        <v>25265</v>
      </c>
      <c r="D9" s="72">
        <v>350</v>
      </c>
      <c r="E9" s="72">
        <f t="shared" ref="E9" si="4">SUM(B9:D9)</f>
        <v>27675</v>
      </c>
      <c r="F9" s="72"/>
      <c r="G9" s="72">
        <f t="shared" ref="G9" si="5">K9-J9</f>
        <v>23000</v>
      </c>
      <c r="H9" s="72">
        <v>8000</v>
      </c>
      <c r="I9" s="72">
        <f t="shared" ref="I9" si="6">G9-H9</f>
        <v>15000</v>
      </c>
      <c r="J9" s="72">
        <v>2600</v>
      </c>
      <c r="K9" s="72">
        <f t="shared" ref="K9" si="7">E9-L9</f>
        <v>25600</v>
      </c>
      <c r="L9" s="72">
        <v>2075</v>
      </c>
      <c r="M9" s="17"/>
    </row>
    <row r="10" spans="1:13" ht="14" x14ac:dyDescent="0.3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" x14ac:dyDescent="0.3">
      <c r="A11" s="36" t="s">
        <v>142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" x14ac:dyDescent="0.3">
      <c r="A12" s="39" t="s">
        <v>50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57">
        <f>SUM(B12:D12)</f>
        <v>4164.857625223588</v>
      </c>
      <c r="F12" s="73"/>
      <c r="G12" s="73">
        <f>K12-J12</f>
        <v>1971.1017975407021</v>
      </c>
      <c r="H12" s="57">
        <v>698.88</v>
      </c>
      <c r="I12" s="57">
        <f t="shared" ref="I12:I23" si="8">G12-H12</f>
        <v>1272.221797540702</v>
      </c>
      <c r="J12" s="57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  <c r="M12" s="157"/>
    </row>
    <row r="13" spans="1:13" ht="14" x14ac:dyDescent="0.3">
      <c r="A13" s="39" t="s">
        <v>51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57">
        <f>SUM(B13:D13)</f>
        <v>4142.5985077265077</v>
      </c>
      <c r="F13" s="73"/>
      <c r="G13" s="73">
        <f>K13-J13</f>
        <v>2027.2521314197675</v>
      </c>
      <c r="H13" s="57">
        <v>703.79</v>
      </c>
      <c r="I13" s="57">
        <f t="shared" si="8"/>
        <v>1323.4621314197675</v>
      </c>
      <c r="J13" s="57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  <c r="M13" s="157"/>
    </row>
    <row r="14" spans="1:13" ht="14" x14ac:dyDescent="0.3">
      <c r="A14" s="39" t="s">
        <v>52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57">
        <f>SUM(B14:D14)</f>
        <v>4080.1152721197582</v>
      </c>
      <c r="F14" s="57"/>
      <c r="G14" s="73">
        <f>K14-J14</f>
        <v>1976.5384950247783</v>
      </c>
      <c r="H14" s="57">
        <v>767.76</v>
      </c>
      <c r="I14" s="57">
        <f t="shared" si="8"/>
        <v>1208.7784950247783</v>
      </c>
      <c r="J14" s="57">
        <f>(61.867102+0.216942+9.105599+0.354947)*2.204622</f>
        <v>157.72877709498002</v>
      </c>
      <c r="K14" s="73">
        <f t="shared" ref="K14:K23" si="9">E14-L14</f>
        <v>2134.2672721197582</v>
      </c>
      <c r="L14" s="73">
        <f>1601.77+344.078</f>
        <v>1945.848</v>
      </c>
      <c r="M14" s="157"/>
    </row>
    <row r="15" spans="1:13" ht="14" x14ac:dyDescent="0.3">
      <c r="A15" s="39" t="s">
        <v>53</v>
      </c>
      <c r="B15" s="73">
        <f>L14</f>
        <v>1945.848</v>
      </c>
      <c r="C15" s="57">
        <v>2115.799</v>
      </c>
      <c r="D15" s="73">
        <f>(1.232832+0.000565+12.735795+0.00048)*2.204622</f>
        <v>30.797846223983999</v>
      </c>
      <c r="E15" s="57">
        <f t="shared" ref="E15:E19" si="10">SUM(B15:D15)</f>
        <v>4092.4448462239839</v>
      </c>
      <c r="F15" s="57"/>
      <c r="G15" s="73">
        <f>K15-J15</f>
        <v>1866.6572862561077</v>
      </c>
      <c r="H15" s="57">
        <v>622.80999999999995</v>
      </c>
      <c r="I15" s="57">
        <f t="shared" si="8"/>
        <v>1243.8472862561077</v>
      </c>
      <c r="J15" s="57">
        <f>(86.321768+0.169398+13.585229+0.194563)*2.204622</f>
        <v>221.05955996787603</v>
      </c>
      <c r="K15" s="73">
        <f t="shared" si="9"/>
        <v>2087.7168462239838</v>
      </c>
      <c r="L15" s="73">
        <f>1659.501+345.227</f>
        <v>2004.7280000000001</v>
      </c>
      <c r="M15" s="157"/>
    </row>
    <row r="16" spans="1:13" ht="14" x14ac:dyDescent="0.3">
      <c r="A16" s="39" t="s">
        <v>54</v>
      </c>
      <c r="B16" s="73">
        <f>L15</f>
        <v>2004.7280000000001</v>
      </c>
      <c r="C16" s="57">
        <v>1899.1959999999999</v>
      </c>
      <c r="D16" s="73">
        <f>(1.036189+0+12.263655+0.0008)*2.204622</f>
        <v>29.322892376568003</v>
      </c>
      <c r="E16" s="57">
        <f t="shared" si="10"/>
        <v>3933.2468923765678</v>
      </c>
      <c r="F16" s="57"/>
      <c r="G16" s="73">
        <f>K16-J16</f>
        <v>1692.3784505180497</v>
      </c>
      <c r="H16" s="57">
        <v>559.57000000000005</v>
      </c>
      <c r="I16" s="57">
        <f t="shared" si="8"/>
        <v>1132.8084505180495</v>
      </c>
      <c r="J16" s="57">
        <f>(29.230159+0.074299+12.057246+0.250165)*2.204622</f>
        <v>91.738441858518016</v>
      </c>
      <c r="K16" s="73">
        <f t="shared" si="9"/>
        <v>1784.1168923765676</v>
      </c>
      <c r="L16" s="73">
        <f>1762.965+386.165</f>
        <v>2149.13</v>
      </c>
      <c r="M16" s="157"/>
    </row>
    <row r="17" spans="1:13" ht="14" x14ac:dyDescent="0.3">
      <c r="A17" s="39" t="s">
        <v>55</v>
      </c>
      <c r="B17" s="73">
        <f t="shared" ref="B17:B18" si="11">L16</f>
        <v>2149.13</v>
      </c>
      <c r="C17" s="57">
        <v>2094.4180000000001</v>
      </c>
      <c r="D17" s="73">
        <f>(0.61092+0.0008+13.177229+0.00082)*2.204622</f>
        <v>30.401228112318002</v>
      </c>
      <c r="E17" s="57">
        <f t="shared" si="10"/>
        <v>4273.9492281123185</v>
      </c>
      <c r="F17" s="73"/>
      <c r="G17" s="73">
        <f t="shared" ref="G17" si="12">K17-J17</f>
        <v>1769.1811510570665</v>
      </c>
      <c r="H17" s="57">
        <v>617.01</v>
      </c>
      <c r="I17" s="57">
        <f t="shared" si="8"/>
        <v>1152.1711510570665</v>
      </c>
      <c r="J17" s="57">
        <f>(105.920622+0.129031+16.580273+0.67424)*2.204622</f>
        <v>271.83907705525195</v>
      </c>
      <c r="K17" s="73">
        <f t="shared" si="9"/>
        <v>2041.0202281123184</v>
      </c>
      <c r="L17" s="73">
        <f>1893.918+339.011</f>
        <v>2232.9290000000001</v>
      </c>
      <c r="M17" s="157"/>
    </row>
    <row r="18" spans="1:13" ht="14" x14ac:dyDescent="0.3">
      <c r="A18" s="39" t="s">
        <v>56</v>
      </c>
      <c r="B18" s="73">
        <f t="shared" si="11"/>
        <v>2232.9290000000001</v>
      </c>
      <c r="C18" s="57">
        <v>1989.1010000000001</v>
      </c>
      <c r="D18" s="73">
        <f>(0.55383+0+12.611174+0.0008)*2.204622</f>
        <v>29.025621146088</v>
      </c>
      <c r="E18" s="57">
        <f t="shared" si="10"/>
        <v>4251.0556211460889</v>
      </c>
      <c r="F18" s="73"/>
      <c r="G18" s="73">
        <f t="shared" ref="G18:G23" si="13">K18-J18</f>
        <v>1845.2466056534167</v>
      </c>
      <c r="H18" s="57">
        <v>631.84</v>
      </c>
      <c r="I18" s="57">
        <f t="shared" si="8"/>
        <v>1213.4066056534166</v>
      </c>
      <c r="J18" s="57">
        <f>(54.848471+0.2357+11.759032+0.380573)*2.204622</f>
        <v>148.20301549267199</v>
      </c>
      <c r="K18" s="73">
        <f t="shared" si="9"/>
        <v>1993.4496211460887</v>
      </c>
      <c r="L18" s="73">
        <f>1893.351+364.255</f>
        <v>2257.6060000000002</v>
      </c>
      <c r="M18" s="157"/>
    </row>
    <row r="19" spans="1:13" ht="14" x14ac:dyDescent="0.3">
      <c r="A19" s="39" t="s">
        <v>57</v>
      </c>
      <c r="B19" s="73">
        <f t="shared" ref="B19:B20" si="14">L18</f>
        <v>2257.6060000000002</v>
      </c>
      <c r="C19" s="57">
        <v>1915.9939999999999</v>
      </c>
      <c r="D19" s="73">
        <f>(0.553087+0+15.069179+0)*2.204622</f>
        <v>34.441191313452002</v>
      </c>
      <c r="E19" s="57">
        <f t="shared" si="10"/>
        <v>4208.0411913134521</v>
      </c>
      <c r="F19" s="73"/>
      <c r="G19" s="73">
        <f t="shared" si="13"/>
        <v>1983.4401736142979</v>
      </c>
      <c r="H19" s="57">
        <v>659.05</v>
      </c>
      <c r="I19" s="57">
        <f t="shared" si="8"/>
        <v>1324.390173614298</v>
      </c>
      <c r="J19" s="57">
        <f>(80.309787+0.081671+12.554494+0.373455)*2.204622</f>
        <v>205.73401769915404</v>
      </c>
      <c r="K19" s="73">
        <f t="shared" si="9"/>
        <v>2189.174191313452</v>
      </c>
      <c r="L19" s="73">
        <f>1662.782+356.085</f>
        <v>2018.867</v>
      </c>
      <c r="M19" s="157"/>
    </row>
    <row r="20" spans="1:13" ht="14" x14ac:dyDescent="0.3">
      <c r="A20" s="39" t="s">
        <v>58</v>
      </c>
      <c r="B20" s="73">
        <f t="shared" si="14"/>
        <v>2018.867</v>
      </c>
      <c r="C20" s="57">
        <v>1811.481</v>
      </c>
      <c r="D20" s="73">
        <f>(0.477198+0+15.306474+0.0008)*2.204622</f>
        <v>34.798794229583997</v>
      </c>
      <c r="E20" s="57">
        <f t="shared" ref="E20" si="15">SUM(B20:D20)</f>
        <v>3865.146794229584</v>
      </c>
      <c r="F20" s="73"/>
      <c r="G20" s="73">
        <f t="shared" si="13"/>
        <v>1755.3343699804482</v>
      </c>
      <c r="H20" s="57">
        <v>594.15</v>
      </c>
      <c r="I20" s="57">
        <f t="shared" si="8"/>
        <v>1161.1843699804481</v>
      </c>
      <c r="J20" s="57">
        <f>(33.517763+0.113445+9.280684+0.357396)*2.204622</f>
        <v>95.392424249136013</v>
      </c>
      <c r="K20" s="73">
        <f t="shared" si="9"/>
        <v>1850.7267942295841</v>
      </c>
      <c r="L20" s="73">
        <f>1595.273+419.147</f>
        <v>2014.4199999999998</v>
      </c>
      <c r="M20" s="157"/>
    </row>
    <row r="21" spans="1:13" ht="14" x14ac:dyDescent="0.3">
      <c r="A21" s="39" t="s">
        <v>60</v>
      </c>
      <c r="B21" s="73">
        <f t="shared" ref="B21:B22" si="16">L20</f>
        <v>2014.4199999999998</v>
      </c>
      <c r="C21" s="57">
        <v>2090.1680000000001</v>
      </c>
      <c r="D21" s="73">
        <f>(0.865263+0+15.672225+0)*2.204622</f>
        <v>36.458909869536001</v>
      </c>
      <c r="E21" s="57">
        <f t="shared" ref="E21" si="17">SUM(B21:D21)</f>
        <v>4141.0469098695357</v>
      </c>
      <c r="F21" s="73"/>
      <c r="G21" s="73">
        <f t="shared" si="13"/>
        <v>1927.2274933203635</v>
      </c>
      <c r="H21" s="57">
        <v>708.5</v>
      </c>
      <c r="I21" s="57">
        <f t="shared" si="8"/>
        <v>1218.7274933203635</v>
      </c>
      <c r="J21" s="57">
        <f>(68.326636+0.060647+10.41124+0.271003)*2.204622</f>
        <v>174.31841654917196</v>
      </c>
      <c r="K21" s="73">
        <f t="shared" si="9"/>
        <v>2101.5459098695355</v>
      </c>
      <c r="L21" s="73">
        <f>1652.854+386.647</f>
        <v>2039.501</v>
      </c>
      <c r="M21" s="157"/>
    </row>
    <row r="22" spans="1:13" ht="14" x14ac:dyDescent="0.3">
      <c r="A22" s="39" t="s">
        <v>61</v>
      </c>
      <c r="B22" s="73">
        <f t="shared" si="16"/>
        <v>2039.501</v>
      </c>
      <c r="C22" s="57">
        <v>2049.8879999999999</v>
      </c>
      <c r="D22" s="73">
        <f>(0.859527+0+14.121916+0)*2.204622</f>
        <v>33.028418829546005</v>
      </c>
      <c r="E22" s="57">
        <f t="shared" ref="E22:E23" si="18">SUM(B22:D22)</f>
        <v>4122.4174188295465</v>
      </c>
      <c r="F22" s="73"/>
      <c r="G22" s="73">
        <f t="shared" si="13"/>
        <v>2150.6835201470967</v>
      </c>
      <c r="H22" s="57">
        <v>701.14</v>
      </c>
      <c r="I22" s="57">
        <f t="shared" si="8"/>
        <v>1449.5435201470968</v>
      </c>
      <c r="J22" s="57">
        <f>(62.810085+0.176713+11.902338+0.219839)*2.204622</f>
        <v>165.58689868245</v>
      </c>
      <c r="K22" s="73">
        <f t="shared" si="9"/>
        <v>2316.2704188295465</v>
      </c>
      <c r="L22" s="73">
        <f>1439.479+366.668</f>
        <v>1806.1469999999999</v>
      </c>
      <c r="M22" s="157"/>
    </row>
    <row r="23" spans="1:13" ht="14" x14ac:dyDescent="0.3">
      <c r="A23" s="39" t="s">
        <v>63</v>
      </c>
      <c r="B23" s="73">
        <f t="shared" ref="B23" si="19">L22</f>
        <v>1806.1469999999999</v>
      </c>
      <c r="C23" s="57">
        <v>1900.6679999999999</v>
      </c>
      <c r="D23" s="73">
        <f>(0.684189+0+10.72796+0)*2.204622</f>
        <v>25.159474752678001</v>
      </c>
      <c r="E23" s="57">
        <f t="shared" si="18"/>
        <v>3731.9744747526775</v>
      </c>
      <c r="F23" s="73"/>
      <c r="G23" s="73">
        <f t="shared" si="13"/>
        <v>1908.1872872888034</v>
      </c>
      <c r="H23" s="57">
        <v>598.79999999999995</v>
      </c>
      <c r="I23" s="57">
        <f t="shared" si="8"/>
        <v>1309.3872872888035</v>
      </c>
      <c r="J23" s="57">
        <f>(13.923865+0.096396+7.740426+0.22548)*2.204622</f>
        <v>48.471187463874003</v>
      </c>
      <c r="K23" s="73">
        <f t="shared" si="9"/>
        <v>1956.6584747526774</v>
      </c>
      <c r="L23" s="73">
        <f>1400.569+374.747</f>
        <v>1775.316</v>
      </c>
      <c r="M23" s="157"/>
    </row>
    <row r="24" spans="1:13" ht="14" x14ac:dyDescent="0.3">
      <c r="A24" s="39" t="s">
        <v>3</v>
      </c>
      <c r="B24" s="73"/>
      <c r="C24" s="57">
        <f>SUM(C12:C23)</f>
        <v>24197.199000000004</v>
      </c>
      <c r="D24" s="156">
        <f>SUM(D12:D23)</f>
        <v>397.26178192360805</v>
      </c>
      <c r="E24" s="57">
        <f>B12+C24+D24</f>
        <v>26589.894781923613</v>
      </c>
      <c r="F24" s="73"/>
      <c r="G24" s="57">
        <f t="shared" ref="G24" si="20">SUM(G12:G22)</f>
        <v>20965.041474532092</v>
      </c>
      <c r="H24" s="57">
        <f t="shared" ref="H24:K24" si="21">SUM(H12:H23)</f>
        <v>7863.3000000000011</v>
      </c>
      <c r="I24" s="57">
        <f t="shared" si="21"/>
        <v>15009.9287618209</v>
      </c>
      <c r="J24" s="73">
        <f t="shared" si="21"/>
        <v>1941.35002010271</v>
      </c>
      <c r="K24" s="57">
        <f t="shared" si="21"/>
        <v>24814.578781923607</v>
      </c>
      <c r="L24" s="73"/>
    </row>
    <row r="25" spans="1:13" ht="14" x14ac:dyDescent="0.3">
      <c r="A25" s="39"/>
      <c r="B25" s="152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3" ht="14" x14ac:dyDescent="0.3">
      <c r="A26" s="36" t="s">
        <v>147</v>
      </c>
      <c r="B26" s="152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3" ht="14" x14ac:dyDescent="0.3">
      <c r="A27" s="39" t="s">
        <v>50</v>
      </c>
      <c r="B27" s="73">
        <f>L23</f>
        <v>1775.316</v>
      </c>
      <c r="C27" s="57">
        <v>2149.9690000000001</v>
      </c>
      <c r="D27" s="73">
        <f>(0.907155+0+12.884502+0.018812)*2.204622</f>
        <v>30.446863787718002</v>
      </c>
      <c r="E27" s="73">
        <f t="shared" ref="E27:E34" si="22">SUM(B27:D27)</f>
        <v>3955.7318637877179</v>
      </c>
      <c r="F27" s="73"/>
      <c r="G27" s="73">
        <f t="shared" ref="G27:G32" si="23">K27-J27</f>
        <v>1882.2360980189258</v>
      </c>
      <c r="H27" s="73">
        <v>557.52</v>
      </c>
      <c r="I27" s="57">
        <f t="shared" ref="I27:I34" si="24">G27-H27</f>
        <v>1324.7160980189258</v>
      </c>
      <c r="J27" s="57">
        <f>(101.93585+0.105555+12.233566+0.274265)*2.204622</f>
        <v>252.53776576879199</v>
      </c>
      <c r="K27" s="73">
        <f t="shared" ref="K27" si="25">E27-L27</f>
        <v>2134.7738637877178</v>
      </c>
      <c r="L27" s="73">
        <f>1471.929+349.029</f>
        <v>1820.9580000000001</v>
      </c>
      <c r="M27" s="157"/>
    </row>
    <row r="28" spans="1:13" ht="14" x14ac:dyDescent="0.3">
      <c r="A28" s="39" t="s">
        <v>51</v>
      </c>
      <c r="B28" s="73">
        <f t="shared" ref="B28:B34" si="26">L27</f>
        <v>1820.9580000000001</v>
      </c>
      <c r="C28" s="57">
        <v>1999.6479999999999</v>
      </c>
      <c r="D28" s="73">
        <f>(0.913381+0.102526+10.043143+0.035035)*2.204622</f>
        <v>24.458263860870005</v>
      </c>
      <c r="E28" s="73">
        <f t="shared" si="22"/>
        <v>3845.0642638608697</v>
      </c>
      <c r="F28" s="73"/>
      <c r="G28" s="73">
        <f t="shared" si="23"/>
        <v>1717.3474131108517</v>
      </c>
      <c r="H28" s="73">
        <v>526.53</v>
      </c>
      <c r="I28" s="57">
        <f t="shared" si="24"/>
        <v>1190.8174131108517</v>
      </c>
      <c r="J28" s="57">
        <f>(93.464898+0.168085+18.337287+0.229849)*2.204622</f>
        <v>247.35885075001804</v>
      </c>
      <c r="K28" s="73">
        <f t="shared" ref="K28:K35" si="27">E28-L28</f>
        <v>1964.7062638608697</v>
      </c>
      <c r="L28" s="73">
        <f>1522.923+357.435</f>
        <v>1880.3579999999999</v>
      </c>
      <c r="M28" s="157"/>
    </row>
    <row r="29" spans="1:13" ht="14" x14ac:dyDescent="0.3">
      <c r="A29" s="39" t="s">
        <v>52</v>
      </c>
      <c r="B29" s="73">
        <f t="shared" si="26"/>
        <v>1880.3579999999999</v>
      </c>
      <c r="C29" s="57">
        <v>2110.9360000000001</v>
      </c>
      <c r="D29" s="73">
        <f>(1.517194+0.111025+14.403726+0)*2.204622</f>
        <v>35.344378649790002</v>
      </c>
      <c r="E29" s="73">
        <f t="shared" si="22"/>
        <v>4026.63837864979</v>
      </c>
      <c r="F29" s="73"/>
      <c r="G29" s="73">
        <f t="shared" si="23"/>
        <v>1708.3152730009342</v>
      </c>
      <c r="H29" s="73">
        <v>541.04999999999995</v>
      </c>
      <c r="I29" s="57">
        <f t="shared" si="24"/>
        <v>1167.2652730009343</v>
      </c>
      <c r="J29" s="57">
        <f>(63.337525+0.026618+20.04504+0.169365)*2.204622</f>
        <v>184.25910564885601</v>
      </c>
      <c r="K29" s="73">
        <f t="shared" si="27"/>
        <v>1892.5743786497901</v>
      </c>
      <c r="L29" s="73">
        <f>1749.423+384.641</f>
        <v>2134.0639999999999</v>
      </c>
      <c r="M29" s="157"/>
    </row>
    <row r="30" spans="1:13" ht="14" x14ac:dyDescent="0.3">
      <c r="A30" s="39" t="s">
        <v>53</v>
      </c>
      <c r="B30" s="73">
        <f t="shared" si="26"/>
        <v>2134.0639999999999</v>
      </c>
      <c r="C30" s="57">
        <v>2154.4270000000001</v>
      </c>
      <c r="D30" s="73">
        <f>(2.126531+0.443575+12.214776+0)*2.204622</f>
        <v>32.595076124603999</v>
      </c>
      <c r="E30" s="73">
        <f t="shared" si="22"/>
        <v>4321.086076124604</v>
      </c>
      <c r="F30" s="73"/>
      <c r="G30" s="73">
        <f t="shared" si="23"/>
        <v>1844.199548509308</v>
      </c>
      <c r="H30" s="73">
        <v>520.94000000000005</v>
      </c>
      <c r="I30" s="57">
        <f t="shared" si="24"/>
        <v>1323.2595485093079</v>
      </c>
      <c r="J30" s="57">
        <f>(44.792336+0.117811+11.595679+0.239742)*2.204622</f>
        <v>125.102527615296</v>
      </c>
      <c r="K30" s="73">
        <f t="shared" si="27"/>
        <v>1969.3020761246039</v>
      </c>
      <c r="L30" s="73">
        <f>1989.164+362.62</f>
        <v>2351.7840000000001</v>
      </c>
      <c r="M30" s="157"/>
    </row>
    <row r="31" spans="1:13" ht="14" x14ac:dyDescent="0.3">
      <c r="A31" s="39" t="s">
        <v>54</v>
      </c>
      <c r="B31" s="73">
        <f t="shared" si="26"/>
        <v>2351.7840000000001</v>
      </c>
      <c r="C31" s="57">
        <v>1999.5239999999999</v>
      </c>
      <c r="D31" s="73">
        <f>(2.359956+0.08919+10.275538+0)*2.204622</f>
        <v>28.053118289448001</v>
      </c>
      <c r="E31" s="73">
        <f t="shared" si="22"/>
        <v>4379.3611182894483</v>
      </c>
      <c r="F31" s="73"/>
      <c r="G31" s="73">
        <f t="shared" si="23"/>
        <v>1605.6683977361104</v>
      </c>
      <c r="H31" s="73">
        <v>574.78</v>
      </c>
      <c r="I31" s="57">
        <f t="shared" si="24"/>
        <v>1030.8883977361104</v>
      </c>
      <c r="J31" s="57">
        <f>(163.046872+0.108209+16.27962+0.298478)*2.204622</f>
        <v>396.24372055333799</v>
      </c>
      <c r="K31" s="73">
        <f t="shared" si="27"/>
        <v>2001.9121182894482</v>
      </c>
      <c r="L31" s="73">
        <f>1996.747+380.702</f>
        <v>2377.4490000000001</v>
      </c>
      <c r="M31" s="157"/>
    </row>
    <row r="32" spans="1:13" ht="14" x14ac:dyDescent="0.3">
      <c r="A32" s="39" t="s">
        <v>55</v>
      </c>
      <c r="B32" s="73">
        <f t="shared" si="26"/>
        <v>2377.4490000000001</v>
      </c>
      <c r="C32" s="57">
        <v>2201.0680000000002</v>
      </c>
      <c r="D32" s="73">
        <f>(1.501862+0.001651+9.293142+0)*2.204622</f>
        <v>23.802543139409998</v>
      </c>
      <c r="E32" s="73">
        <f t="shared" si="22"/>
        <v>4602.3195431394097</v>
      </c>
      <c r="F32" s="73"/>
      <c r="G32" s="73">
        <f t="shared" si="23"/>
        <v>1953.9599288879958</v>
      </c>
      <c r="H32" s="73">
        <v>656.02</v>
      </c>
      <c r="I32" s="57">
        <f t="shared" si="24"/>
        <v>1297.9399288879958</v>
      </c>
      <c r="J32" s="57">
        <f>(130.361496+0.283982+14.394011+0.458748)*2.204622</f>
        <v>320.76861425141408</v>
      </c>
      <c r="K32" s="73">
        <f t="shared" si="27"/>
        <v>2274.7285431394098</v>
      </c>
      <c r="L32" s="73">
        <f>1933.648+393.943</f>
        <v>2327.5909999999999</v>
      </c>
      <c r="M32" s="157"/>
    </row>
    <row r="33" spans="1:13" ht="14" x14ac:dyDescent="0.3">
      <c r="A33" s="39" t="s">
        <v>56</v>
      </c>
      <c r="B33" s="73">
        <f t="shared" si="26"/>
        <v>2327.5909999999999</v>
      </c>
      <c r="C33" s="57">
        <v>2099.4650000000001</v>
      </c>
      <c r="D33" s="73">
        <f>(5.945476+0+5.110422+0)*2.204622</f>
        <v>24.374075960555999</v>
      </c>
      <c r="E33" s="73">
        <f t="shared" si="22"/>
        <v>4451.4300759605567</v>
      </c>
      <c r="F33" s="73"/>
      <c r="G33" s="73">
        <f t="shared" ref="G33:G34" si="28">K33-J33</f>
        <v>1619.2606368912866</v>
      </c>
      <c r="H33" s="73">
        <v>671.81</v>
      </c>
      <c r="I33" s="57">
        <f t="shared" si="24"/>
        <v>947.45063689128665</v>
      </c>
      <c r="J33" s="57">
        <f>(87.695281+3.66505+12.806232+0.249722)*2.204622</f>
        <v>230.19843906926999</v>
      </c>
      <c r="K33" s="73">
        <f t="shared" si="27"/>
        <v>1849.4590759605567</v>
      </c>
      <c r="L33" s="73">
        <f>2224.007+377.964</f>
        <v>2601.971</v>
      </c>
      <c r="M33" s="157"/>
    </row>
    <row r="34" spans="1:13" ht="14" x14ac:dyDescent="0.3">
      <c r="A34" s="39" t="s">
        <v>57</v>
      </c>
      <c r="B34" s="73">
        <f t="shared" si="26"/>
        <v>2601.971</v>
      </c>
      <c r="C34" s="57">
        <v>2057.6170000000002</v>
      </c>
      <c r="D34" s="73">
        <f>(3.133764+0+7.887634+0)*2.204622</f>
        <v>24.298016501556003</v>
      </c>
      <c r="E34" s="73">
        <f t="shared" si="22"/>
        <v>4683.8860165015558</v>
      </c>
      <c r="F34" s="73"/>
      <c r="G34" s="73">
        <f t="shared" si="28"/>
        <v>1878.8671831303036</v>
      </c>
      <c r="H34" s="73">
        <v>777.68</v>
      </c>
      <c r="I34" s="57">
        <f t="shared" si="24"/>
        <v>1101.1871831303038</v>
      </c>
      <c r="J34" s="57">
        <f>(146.2828+1.013597+14.669532+0.316237)*2.204622</f>
        <v>357.77083337125202</v>
      </c>
      <c r="K34" s="73">
        <f t="shared" si="27"/>
        <v>2236.6380165015557</v>
      </c>
      <c r="L34" s="73">
        <f>2048.992+398.256</f>
        <v>2447.248</v>
      </c>
      <c r="M34" s="157"/>
    </row>
    <row r="35" spans="1:13" ht="14" x14ac:dyDescent="0.3">
      <c r="A35" s="39" t="s">
        <v>58</v>
      </c>
      <c r="B35" s="73">
        <f t="shared" ref="B35" si="29">L34</f>
        <v>2447.248</v>
      </c>
      <c r="C35" s="57">
        <v>2035.269</v>
      </c>
      <c r="D35" s="73">
        <f>(2.511371+0+8.915069+0)*2.204622</f>
        <v>25.190981005680005</v>
      </c>
      <c r="E35" s="73">
        <f t="shared" ref="E35" si="30">SUM(B35:D35)</f>
        <v>4507.7079810056803</v>
      </c>
      <c r="F35" s="73"/>
      <c r="G35" s="73">
        <f t="shared" ref="G35" si="31">K35-J35</f>
        <v>2069.3751779943923</v>
      </c>
      <c r="H35" s="73" t="s">
        <v>10</v>
      </c>
      <c r="I35" s="73" t="s">
        <v>10</v>
      </c>
      <c r="J35" s="57">
        <f>(64.082208+0.046033+11.538218+0.385945)*2.204622</f>
        <v>167.66680301128801</v>
      </c>
      <c r="K35" s="73">
        <f t="shared" si="27"/>
        <v>2237.0419810056801</v>
      </c>
      <c r="L35" s="73">
        <f>1925.583+345.083</f>
        <v>2270.6660000000002</v>
      </c>
      <c r="M35" s="157"/>
    </row>
    <row r="36" spans="1:13" ht="14" x14ac:dyDescent="0.3">
      <c r="A36" s="35" t="s">
        <v>143</v>
      </c>
      <c r="B36" s="127"/>
      <c r="C36" s="64">
        <f>SUM(C27:C35)</f>
        <v>18807.923000000003</v>
      </c>
      <c r="D36" s="160">
        <f>SUM(D27:D35)</f>
        <v>248.56331731963203</v>
      </c>
      <c r="E36" s="79">
        <f>B27+C36+D36</f>
        <v>20831.802317319634</v>
      </c>
      <c r="F36" s="64"/>
      <c r="G36" s="64">
        <f>SUM(G27:G35)</f>
        <v>16279.22965728011</v>
      </c>
      <c r="H36" s="64">
        <f>SUM(H27:H35)</f>
        <v>4826.33</v>
      </c>
      <c r="I36" s="64">
        <f>SUM(I27:I35)</f>
        <v>9383.5244792857156</v>
      </c>
      <c r="J36" s="64">
        <f>SUM(J27:J35)</f>
        <v>2281.906660039524</v>
      </c>
      <c r="K36" s="64">
        <f>SUM(K27:K35)</f>
        <v>18561.136317319633</v>
      </c>
      <c r="L36" s="79"/>
    </row>
    <row r="37" spans="1:13" ht="16.5" x14ac:dyDescent="0.3">
      <c r="A37" s="77" t="s">
        <v>157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3" ht="14.5" x14ac:dyDescent="0.35">
      <c r="A38" s="36" t="s">
        <v>112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3" ht="14" x14ac:dyDescent="0.3">
      <c r="A39" s="40" t="s">
        <v>20</v>
      </c>
      <c r="B39" s="69">
        <f ca="1">NOW()</f>
        <v>44057.393124305556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5429687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5" t="s">
        <v>151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" x14ac:dyDescent="0.3">
      <c r="A2" s="36"/>
      <c r="B2" s="168" t="s">
        <v>0</v>
      </c>
      <c r="C2" s="168"/>
      <c r="D2" s="168"/>
      <c r="E2" s="168"/>
      <c r="F2" s="80"/>
      <c r="G2" s="168" t="s">
        <v>19</v>
      </c>
      <c r="H2" s="168"/>
      <c r="I2" s="168"/>
      <c r="J2" s="168"/>
      <c r="K2" s="80"/>
      <c r="L2" s="36"/>
      <c r="M2" s="36"/>
      <c r="N2" s="36"/>
      <c r="O2" s="36"/>
    </row>
    <row r="3" spans="1:15" ht="14" x14ac:dyDescent="0.3">
      <c r="A3" s="36" t="s">
        <v>75</v>
      </c>
      <c r="B3" s="40" t="s">
        <v>30</v>
      </c>
      <c r="C3" s="40"/>
      <c r="D3" s="40"/>
      <c r="E3" s="40"/>
      <c r="F3" s="81"/>
      <c r="G3" s="40"/>
      <c r="H3" s="40"/>
      <c r="I3" s="40"/>
      <c r="J3" s="40"/>
      <c r="K3" s="38" t="s">
        <v>28</v>
      </c>
      <c r="L3" s="36"/>
      <c r="M3" s="36"/>
      <c r="N3" s="36"/>
      <c r="O3" s="36"/>
    </row>
    <row r="4" spans="1:15" ht="14" x14ac:dyDescent="0.3">
      <c r="A4" s="41" t="s">
        <v>77</v>
      </c>
      <c r="B4" s="43" t="s">
        <v>47</v>
      </c>
      <c r="C4" s="82" t="s">
        <v>1</v>
      </c>
      <c r="D4" s="45" t="s">
        <v>31</v>
      </c>
      <c r="E4" s="43" t="s">
        <v>85</v>
      </c>
      <c r="F4" s="44"/>
      <c r="G4" s="43" t="s">
        <v>34</v>
      </c>
      <c r="H4" s="43" t="s">
        <v>4</v>
      </c>
      <c r="I4" s="43" t="s">
        <v>35</v>
      </c>
      <c r="J4" s="43" t="s">
        <v>32</v>
      </c>
      <c r="K4" s="43" t="s">
        <v>27</v>
      </c>
      <c r="L4" s="36"/>
      <c r="M4" s="36"/>
      <c r="N4" s="36"/>
      <c r="O4" s="36"/>
    </row>
    <row r="5" spans="1:15" ht="14.5" x14ac:dyDescent="0.35">
      <c r="A5" s="36"/>
      <c r="B5" s="169" t="s">
        <v>14</v>
      </c>
      <c r="C5" s="169"/>
      <c r="D5" s="169"/>
      <c r="E5" s="169"/>
      <c r="F5" s="169"/>
      <c r="G5" s="169"/>
      <c r="H5" s="169"/>
      <c r="I5" s="169"/>
      <c r="J5" s="169"/>
      <c r="K5" s="169"/>
      <c r="L5" s="36"/>
      <c r="M5" s="36"/>
      <c r="N5" s="36"/>
      <c r="O5" s="36"/>
    </row>
    <row r="6" spans="1:15" ht="14" x14ac:dyDescent="0.3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3">
      <c r="A7" s="36" t="s">
        <v>141</v>
      </c>
      <c r="B7" s="84">
        <v>451</v>
      </c>
      <c r="C7" s="84">
        <v>5631</v>
      </c>
      <c r="D7" s="85">
        <v>0.50413091273999999</v>
      </c>
      <c r="E7" s="84">
        <f>B7+C7+D7</f>
        <v>6082.50413091274</v>
      </c>
      <c r="F7" s="51"/>
      <c r="G7" s="84">
        <v>1760.4089999999999</v>
      </c>
      <c r="H7" s="86">
        <v>387.03680000000003</v>
      </c>
      <c r="I7" s="84">
        <f t="shared" ref="I7:I8" si="0">J7-G7-H7</f>
        <v>3458.0583309127405</v>
      </c>
      <c r="J7" s="84">
        <f t="shared" ref="J7:J8" si="1">E7-K7</f>
        <v>5605.50413091274</v>
      </c>
      <c r="K7" s="84">
        <v>477</v>
      </c>
      <c r="L7" s="36"/>
      <c r="M7" s="36"/>
      <c r="N7" s="36"/>
      <c r="O7" s="36"/>
    </row>
    <row r="8" spans="1:15" ht="16.5" x14ac:dyDescent="0.3">
      <c r="A8" s="36" t="s">
        <v>146</v>
      </c>
      <c r="B8" s="84">
        <f>K7</f>
        <v>477</v>
      </c>
      <c r="C8" s="84">
        <v>5945</v>
      </c>
      <c r="D8" s="85">
        <v>2</v>
      </c>
      <c r="E8" s="84">
        <f>B8+C8+D8</f>
        <v>6424</v>
      </c>
      <c r="F8" s="51"/>
      <c r="G8" s="84">
        <v>1700</v>
      </c>
      <c r="H8" s="86">
        <v>340</v>
      </c>
      <c r="I8" s="84">
        <f t="shared" si="0"/>
        <v>3903</v>
      </c>
      <c r="J8" s="84">
        <f t="shared" si="1"/>
        <v>5943</v>
      </c>
      <c r="K8" s="84">
        <v>481</v>
      </c>
      <c r="L8" s="36"/>
      <c r="M8" s="36"/>
      <c r="N8" s="36"/>
      <c r="O8" s="36"/>
    </row>
    <row r="9" spans="1:15" ht="16.5" x14ac:dyDescent="0.3">
      <c r="A9" s="35" t="s">
        <v>158</v>
      </c>
      <c r="B9" s="87">
        <f>K8</f>
        <v>481</v>
      </c>
      <c r="C9" s="87">
        <v>5530</v>
      </c>
      <c r="D9" s="88">
        <v>2</v>
      </c>
      <c r="E9" s="87">
        <f>B9+C9+D9</f>
        <v>6013</v>
      </c>
      <c r="F9" s="89"/>
      <c r="G9" s="87">
        <v>1750</v>
      </c>
      <c r="H9" s="90">
        <v>350</v>
      </c>
      <c r="I9" s="87">
        <f t="shared" ref="I9" si="2">J9-G9-H9</f>
        <v>3490</v>
      </c>
      <c r="J9" s="87">
        <f t="shared" ref="J9" si="3">E9-K9</f>
        <v>5590</v>
      </c>
      <c r="K9" s="87">
        <v>423</v>
      </c>
      <c r="L9" s="36"/>
      <c r="M9" s="36"/>
      <c r="N9" s="36"/>
      <c r="O9" s="36"/>
    </row>
    <row r="10" spans="1:15" ht="16.5" x14ac:dyDescent="0.3">
      <c r="A10" s="77" t="s">
        <v>113</v>
      </c>
      <c r="B10" s="36"/>
      <c r="C10" s="51"/>
      <c r="D10" s="51"/>
      <c r="E10" s="51"/>
      <c r="F10" s="51"/>
      <c r="G10" s="164"/>
      <c r="H10" s="51"/>
      <c r="I10" s="51"/>
      <c r="J10" s="51"/>
      <c r="K10" s="36"/>
      <c r="L10" s="36"/>
      <c r="M10" s="36"/>
      <c r="N10" s="36"/>
      <c r="O10" s="36"/>
    </row>
    <row r="11" spans="1:15" ht="14.5" x14ac:dyDescent="0.35">
      <c r="A11" s="36" t="s">
        <v>114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5" x14ac:dyDescent="0.35">
      <c r="A12" s="36" t="s">
        <v>167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" x14ac:dyDescent="0.3">
      <c r="A14" s="35" t="s">
        <v>152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" x14ac:dyDescent="0.3">
      <c r="A15" s="36"/>
      <c r="B15" s="168" t="s">
        <v>0</v>
      </c>
      <c r="C15" s="168"/>
      <c r="D15" s="168"/>
      <c r="E15" s="168"/>
      <c r="F15" s="36"/>
      <c r="G15" s="168" t="s">
        <v>19</v>
      </c>
      <c r="H15" s="168"/>
      <c r="I15" s="168"/>
      <c r="J15" s="36"/>
      <c r="K15" s="36"/>
      <c r="L15" s="36"/>
      <c r="M15" s="36"/>
      <c r="N15" s="36"/>
      <c r="O15" s="36"/>
    </row>
    <row r="16" spans="1:15" ht="14" x14ac:dyDescent="0.3">
      <c r="A16" s="36" t="s">
        <v>75</v>
      </c>
      <c r="B16" s="38" t="s">
        <v>30</v>
      </c>
      <c r="C16" s="40"/>
      <c r="D16" s="40"/>
      <c r="E16" s="40"/>
      <c r="F16" s="40"/>
      <c r="G16" s="40"/>
      <c r="H16" s="40"/>
      <c r="I16" s="40"/>
      <c r="J16" s="38" t="s">
        <v>28</v>
      </c>
      <c r="K16" s="36"/>
      <c r="L16" s="36"/>
      <c r="M16" s="36"/>
      <c r="N16" s="36"/>
      <c r="O16" s="36"/>
    </row>
    <row r="17" spans="1:15" ht="14" x14ac:dyDescent="0.3">
      <c r="A17" s="41" t="s">
        <v>76</v>
      </c>
      <c r="B17" s="43" t="s">
        <v>27</v>
      </c>
      <c r="C17" s="82" t="s">
        <v>1</v>
      </c>
      <c r="D17" s="45" t="s">
        <v>31</v>
      </c>
      <c r="E17" s="43" t="s">
        <v>32</v>
      </c>
      <c r="F17" s="44"/>
      <c r="G17" s="91" t="s">
        <v>9</v>
      </c>
      <c r="H17" s="43" t="s">
        <v>4</v>
      </c>
      <c r="I17" s="45" t="s">
        <v>26</v>
      </c>
      <c r="J17" s="43" t="s">
        <v>27</v>
      </c>
      <c r="K17" s="36"/>
      <c r="L17" s="36"/>
      <c r="M17" s="36"/>
      <c r="N17" s="36"/>
      <c r="O17" s="36"/>
    </row>
    <row r="18" spans="1:15" ht="14.5" x14ac:dyDescent="0.35">
      <c r="A18" s="36"/>
      <c r="B18" s="169" t="s">
        <v>15</v>
      </c>
      <c r="C18" s="169"/>
      <c r="D18" s="169"/>
      <c r="E18" s="169"/>
      <c r="F18" s="169"/>
      <c r="G18" s="169"/>
      <c r="H18" s="169"/>
      <c r="I18" s="169"/>
      <c r="J18" s="169"/>
      <c r="K18" s="36"/>
      <c r="L18" s="36"/>
      <c r="M18" s="36"/>
      <c r="N18" s="36"/>
      <c r="O18" s="36"/>
    </row>
    <row r="19" spans="1:15" ht="14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3">
      <c r="A20" s="36" t="s">
        <v>141</v>
      </c>
      <c r="B20" s="84">
        <v>45</v>
      </c>
      <c r="C20" s="86">
        <v>747.56499999999983</v>
      </c>
      <c r="D20" s="85">
        <v>0</v>
      </c>
      <c r="E20" s="86">
        <f t="shared" ref="E20:E21" si="4">B20+C20+D20</f>
        <v>792.56499999999983</v>
      </c>
      <c r="F20" s="36"/>
      <c r="G20" s="86">
        <f>I20-H20</f>
        <v>635.74568479057484</v>
      </c>
      <c r="H20" s="86">
        <v>113.81931520942503</v>
      </c>
      <c r="I20" s="86">
        <f t="shared" ref="I20:I21" si="5">E20-J20</f>
        <v>749.56499999999983</v>
      </c>
      <c r="J20" s="84">
        <v>43</v>
      </c>
      <c r="K20" s="36"/>
      <c r="L20" s="36"/>
      <c r="M20" s="36"/>
      <c r="N20" s="36"/>
      <c r="O20" s="36"/>
    </row>
    <row r="21" spans="1:15" ht="16.5" x14ac:dyDescent="0.3">
      <c r="A21" s="36" t="s">
        <v>146</v>
      </c>
      <c r="B21" s="84">
        <f>J20</f>
        <v>43</v>
      </c>
      <c r="C21" s="86">
        <v>775</v>
      </c>
      <c r="D21" s="85">
        <v>0</v>
      </c>
      <c r="E21" s="86">
        <f t="shared" si="4"/>
        <v>818</v>
      </c>
      <c r="F21" s="36"/>
      <c r="G21" s="86">
        <f>I21-H21</f>
        <v>653</v>
      </c>
      <c r="H21" s="86">
        <v>120</v>
      </c>
      <c r="I21" s="86">
        <f t="shared" si="5"/>
        <v>773</v>
      </c>
      <c r="J21" s="84">
        <v>45</v>
      </c>
      <c r="K21" s="36"/>
      <c r="L21" s="36"/>
      <c r="M21" s="36"/>
      <c r="N21" s="36"/>
      <c r="O21" s="36"/>
    </row>
    <row r="22" spans="1:15" ht="16.5" x14ac:dyDescent="0.3">
      <c r="A22" s="35" t="s">
        <v>158</v>
      </c>
      <c r="B22" s="87">
        <f>J21</f>
        <v>45</v>
      </c>
      <c r="C22" s="90">
        <v>790</v>
      </c>
      <c r="D22" s="88">
        <v>0</v>
      </c>
      <c r="E22" s="90">
        <f t="shared" ref="E22" si="6">B22+C22+D22</f>
        <v>835</v>
      </c>
      <c r="F22" s="89"/>
      <c r="G22" s="90">
        <f>I22-H22</f>
        <v>670</v>
      </c>
      <c r="H22" s="90">
        <v>120</v>
      </c>
      <c r="I22" s="90">
        <f t="shared" ref="I22" si="7">E22-J22</f>
        <v>790</v>
      </c>
      <c r="J22" s="87">
        <v>45</v>
      </c>
      <c r="K22" s="36"/>
      <c r="L22" s="36"/>
      <c r="M22" s="36"/>
      <c r="N22" s="36"/>
      <c r="O22" s="36"/>
    </row>
    <row r="23" spans="1:15" ht="16.5" x14ac:dyDescent="0.3">
      <c r="A23" s="77" t="s">
        <v>113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5" x14ac:dyDescent="0.35">
      <c r="A24" s="36" t="s">
        <v>162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" x14ac:dyDescent="0.3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" x14ac:dyDescent="0.3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" x14ac:dyDescent="0.3">
      <c r="A27" s="35" t="s">
        <v>153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" x14ac:dyDescent="0.3">
      <c r="A28" s="36"/>
      <c r="B28" s="168" t="s">
        <v>0</v>
      </c>
      <c r="C28" s="168"/>
      <c r="D28" s="168"/>
      <c r="E28" s="168"/>
      <c r="F28" s="36"/>
      <c r="G28" s="168" t="s">
        <v>19</v>
      </c>
      <c r="H28" s="168"/>
      <c r="I28" s="168"/>
      <c r="J28" s="36"/>
      <c r="K28" s="36"/>
      <c r="L28" s="36"/>
      <c r="M28" s="36"/>
      <c r="N28" s="36"/>
      <c r="O28" s="36"/>
    </row>
    <row r="29" spans="1:15" ht="14" x14ac:dyDescent="0.3">
      <c r="A29" s="36" t="s">
        <v>75</v>
      </c>
      <c r="B29" s="38" t="s">
        <v>30</v>
      </c>
      <c r="C29" s="40"/>
      <c r="D29" s="40"/>
      <c r="E29" s="40"/>
      <c r="F29" s="40"/>
      <c r="G29" s="40"/>
      <c r="H29" s="40"/>
      <c r="I29" s="40"/>
      <c r="J29" s="38" t="s">
        <v>28</v>
      </c>
      <c r="K29" s="36"/>
      <c r="L29" s="36"/>
      <c r="M29" s="36"/>
      <c r="N29" s="36"/>
      <c r="O29" s="36"/>
    </row>
    <row r="30" spans="1:15" ht="14" x14ac:dyDescent="0.3">
      <c r="A30" s="41" t="s">
        <v>76</v>
      </c>
      <c r="B30" s="43" t="s">
        <v>27</v>
      </c>
      <c r="C30" s="43" t="s">
        <v>1</v>
      </c>
      <c r="D30" s="45" t="s">
        <v>31</v>
      </c>
      <c r="E30" s="43" t="s">
        <v>32</v>
      </c>
      <c r="F30" s="44"/>
      <c r="G30" s="43" t="s">
        <v>29</v>
      </c>
      <c r="H30" s="43" t="s">
        <v>4</v>
      </c>
      <c r="I30" s="43" t="s">
        <v>26</v>
      </c>
      <c r="J30" s="43" t="s">
        <v>86</v>
      </c>
      <c r="K30" s="36"/>
      <c r="L30" s="36"/>
      <c r="M30" s="36"/>
      <c r="N30" s="36"/>
      <c r="O30" s="36"/>
    </row>
    <row r="31" spans="1:15" ht="14.5" x14ac:dyDescent="0.35">
      <c r="A31" s="36"/>
      <c r="B31" s="169" t="s">
        <v>16</v>
      </c>
      <c r="C31" s="169"/>
      <c r="D31" s="169"/>
      <c r="E31" s="169"/>
      <c r="F31" s="169"/>
      <c r="G31" s="169"/>
      <c r="H31" s="169"/>
      <c r="I31" s="169"/>
      <c r="J31" s="169"/>
      <c r="K31" s="36"/>
      <c r="L31" s="36"/>
      <c r="M31" s="36"/>
      <c r="N31" s="36"/>
      <c r="O31" s="36"/>
    </row>
    <row r="32" spans="1:15" ht="14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3">
      <c r="A33" s="36" t="s">
        <v>141</v>
      </c>
      <c r="B33" s="85">
        <v>32</v>
      </c>
      <c r="C33" s="86">
        <v>455.77300000000002</v>
      </c>
      <c r="D33" s="85">
        <v>4.2840214704000006E-2</v>
      </c>
      <c r="E33" s="93">
        <f t="shared" ref="E33:E34" si="8">B33+C33+D33</f>
        <v>487.815840214704</v>
      </c>
      <c r="F33" s="36"/>
      <c r="G33" s="86">
        <f t="shared" ref="G33:G34" si="9">I33-H33</f>
        <v>365.13144403799004</v>
      </c>
      <c r="H33" s="86">
        <v>87.643396176713992</v>
      </c>
      <c r="I33" s="86">
        <f t="shared" ref="I33:I34" si="10">E33-J33</f>
        <v>452.774840214704</v>
      </c>
      <c r="J33" s="94">
        <v>35.040999999999997</v>
      </c>
      <c r="K33" s="36"/>
      <c r="L33" s="36"/>
      <c r="M33" s="36"/>
      <c r="N33" s="36"/>
      <c r="O33" s="36"/>
    </row>
    <row r="34" spans="1:15" ht="16.5" x14ac:dyDescent="0.3">
      <c r="A34" s="36" t="s">
        <v>146</v>
      </c>
      <c r="B34" s="85">
        <f>J33</f>
        <v>35.040999999999997</v>
      </c>
      <c r="C34" s="86">
        <v>470</v>
      </c>
      <c r="D34" s="85">
        <v>0</v>
      </c>
      <c r="E34" s="93">
        <f t="shared" si="8"/>
        <v>505.041</v>
      </c>
      <c r="F34" s="36"/>
      <c r="G34" s="86">
        <f t="shared" si="9"/>
        <v>370.041</v>
      </c>
      <c r="H34" s="86">
        <v>90</v>
      </c>
      <c r="I34" s="86">
        <f t="shared" si="10"/>
        <v>460.041</v>
      </c>
      <c r="J34" s="94">
        <v>45</v>
      </c>
      <c r="K34" s="36"/>
      <c r="L34" s="36"/>
      <c r="M34" s="36"/>
      <c r="N34" s="36"/>
      <c r="O34" s="36"/>
    </row>
    <row r="35" spans="1:15" ht="16.5" x14ac:dyDescent="0.3">
      <c r="A35" s="35" t="s">
        <v>158</v>
      </c>
      <c r="B35" s="88">
        <f>J34</f>
        <v>45</v>
      </c>
      <c r="C35" s="90">
        <v>490</v>
      </c>
      <c r="D35" s="88">
        <v>0</v>
      </c>
      <c r="E35" s="95">
        <f t="shared" ref="E35" si="11">B35+C35+D35</f>
        <v>535</v>
      </c>
      <c r="F35" s="89"/>
      <c r="G35" s="90">
        <f t="shared" ref="G35" si="12">I35-H35</f>
        <v>390</v>
      </c>
      <c r="H35" s="90">
        <v>100</v>
      </c>
      <c r="I35" s="90">
        <f t="shared" ref="I35" si="13">E35-J35</f>
        <v>490</v>
      </c>
      <c r="J35" s="90">
        <v>45</v>
      </c>
      <c r="K35" s="36"/>
      <c r="L35" s="36"/>
      <c r="M35" s="36"/>
      <c r="N35" s="36"/>
      <c r="O35" s="36"/>
    </row>
    <row r="36" spans="1:15" ht="16.5" x14ac:dyDescent="0.3">
      <c r="A36" s="77" t="s">
        <v>113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5" x14ac:dyDescent="0.35">
      <c r="A37" s="36" t="s">
        <v>162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" x14ac:dyDescent="0.3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" x14ac:dyDescent="0.3">
      <c r="A40" s="35" t="s">
        <v>154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" x14ac:dyDescent="0.3">
      <c r="A41" s="36"/>
      <c r="B41" s="168" t="s">
        <v>21</v>
      </c>
      <c r="C41" s="168"/>
      <c r="D41" s="38" t="s">
        <v>24</v>
      </c>
      <c r="E41" s="168" t="s">
        <v>82</v>
      </c>
      <c r="F41" s="168"/>
      <c r="G41" s="168"/>
      <c r="H41" s="168"/>
      <c r="I41" s="36"/>
      <c r="J41" s="168" t="s">
        <v>19</v>
      </c>
      <c r="K41" s="168"/>
      <c r="L41" s="168"/>
      <c r="M41" s="168"/>
      <c r="N41" s="168"/>
      <c r="O41" s="36"/>
    </row>
    <row r="42" spans="1:15" ht="14" x14ac:dyDescent="0.3">
      <c r="A42" s="36" t="s">
        <v>75</v>
      </c>
      <c r="B42" s="38" t="s">
        <v>22</v>
      </c>
      <c r="C42" s="38" t="s">
        <v>23</v>
      </c>
      <c r="D42" s="36"/>
      <c r="E42" s="38" t="s">
        <v>30</v>
      </c>
      <c r="F42" s="38"/>
      <c r="G42" s="38"/>
      <c r="H42" s="38"/>
      <c r="I42" s="36"/>
      <c r="J42" s="158" t="s">
        <v>9</v>
      </c>
      <c r="K42" s="38"/>
      <c r="L42" s="38" t="s">
        <v>89</v>
      </c>
      <c r="M42" s="38"/>
      <c r="N42" s="38"/>
      <c r="O42" s="38" t="s">
        <v>28</v>
      </c>
    </row>
    <row r="43" spans="1:15" ht="14" x14ac:dyDescent="0.3">
      <c r="A43" s="41" t="s">
        <v>77</v>
      </c>
      <c r="B43" s="42"/>
      <c r="C43" s="42"/>
      <c r="D43" s="42"/>
      <c r="E43" s="43" t="s">
        <v>27</v>
      </c>
      <c r="F43" s="43" t="s">
        <v>1</v>
      </c>
      <c r="G43" s="43" t="s">
        <v>31</v>
      </c>
      <c r="H43" s="43" t="s">
        <v>32</v>
      </c>
      <c r="I43" s="43"/>
      <c r="J43" s="43" t="s">
        <v>36</v>
      </c>
      <c r="K43" s="43" t="s">
        <v>34</v>
      </c>
      <c r="L43" s="43" t="s">
        <v>5</v>
      </c>
      <c r="M43" s="45" t="s">
        <v>4</v>
      </c>
      <c r="N43" s="43" t="s">
        <v>26</v>
      </c>
      <c r="O43" s="43" t="s">
        <v>86</v>
      </c>
    </row>
    <row r="44" spans="1:15" ht="14.5" x14ac:dyDescent="0.35">
      <c r="A44" s="36"/>
      <c r="B44" s="170" t="s">
        <v>84</v>
      </c>
      <c r="C44" s="169"/>
      <c r="D44" s="96" t="s">
        <v>70</v>
      </c>
      <c r="E44" s="169" t="s">
        <v>17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 ht="14" x14ac:dyDescent="0.3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3">
      <c r="A46" s="36" t="s">
        <v>141</v>
      </c>
      <c r="B46" s="84">
        <v>1425.5</v>
      </c>
      <c r="C46" s="84">
        <v>1373.5</v>
      </c>
      <c r="D46" s="84">
        <f>F46*1000/C46</f>
        <v>4001.4088096104842</v>
      </c>
      <c r="E46" s="84">
        <v>2717.08</v>
      </c>
      <c r="F46" s="84">
        <v>5495.9350000000004</v>
      </c>
      <c r="G46" s="94">
        <v>117.1242623755961</v>
      </c>
      <c r="H46" s="84">
        <f t="shared" ref="H46:H47" si="14">SUM(E46:G46)</f>
        <v>8330.1392623755946</v>
      </c>
      <c r="I46" s="84"/>
      <c r="J46" s="84">
        <v>3099</v>
      </c>
      <c r="K46" s="84">
        <f>1.333*486.398</f>
        <v>648.36853400000007</v>
      </c>
      <c r="L46" s="86">
        <f>N46-J46-K46-M46</f>
        <v>962.05385708653807</v>
      </c>
      <c r="M46" s="86">
        <v>1199.6268712890562</v>
      </c>
      <c r="N46" s="84">
        <f t="shared" ref="N46:N47" si="15">H46-O46</f>
        <v>5909.0492623755945</v>
      </c>
      <c r="O46" s="84">
        <v>2421.09</v>
      </c>
    </row>
    <row r="47" spans="1:15" ht="16.5" x14ac:dyDescent="0.3">
      <c r="A47" s="36" t="s">
        <v>146</v>
      </c>
      <c r="B47" s="84">
        <v>1427.7</v>
      </c>
      <c r="C47" s="84">
        <v>1391.7</v>
      </c>
      <c r="D47" s="84">
        <f>F47*1000/C47</f>
        <v>3949.189480491485</v>
      </c>
      <c r="E47" s="84">
        <f>O46</f>
        <v>2421.09</v>
      </c>
      <c r="F47" s="84">
        <v>5496.0870000000004</v>
      </c>
      <c r="G47" s="94">
        <v>115</v>
      </c>
      <c r="H47" s="84">
        <f t="shared" si="14"/>
        <v>8032.1770000000006</v>
      </c>
      <c r="I47" s="84"/>
      <c r="J47" s="84">
        <v>3178</v>
      </c>
      <c r="K47" s="84">
        <v>770</v>
      </c>
      <c r="L47" s="86">
        <f>N47-J47-K47-M47</f>
        <v>495.17700000000059</v>
      </c>
      <c r="M47" s="86">
        <v>1625</v>
      </c>
      <c r="N47" s="84">
        <f t="shared" si="15"/>
        <v>6068.1770000000006</v>
      </c>
      <c r="O47" s="84">
        <v>1964</v>
      </c>
    </row>
    <row r="48" spans="1:15" ht="16.5" x14ac:dyDescent="0.3">
      <c r="A48" s="35" t="s">
        <v>158</v>
      </c>
      <c r="B48" s="87">
        <v>1514</v>
      </c>
      <c r="C48" s="87">
        <v>1473</v>
      </c>
      <c r="D48" s="87">
        <f>F48*1000/C48</f>
        <v>4218.0583842498299</v>
      </c>
      <c r="E48" s="87">
        <f>O47</f>
        <v>1964</v>
      </c>
      <c r="F48" s="87">
        <v>6213.2</v>
      </c>
      <c r="G48" s="90">
        <v>115</v>
      </c>
      <c r="H48" s="87">
        <f t="shared" ref="H48" si="16">SUM(E48:G48)</f>
        <v>8292.2000000000007</v>
      </c>
      <c r="I48" s="87"/>
      <c r="J48" s="87">
        <v>3258</v>
      </c>
      <c r="K48" s="87">
        <v>777</v>
      </c>
      <c r="L48" s="90">
        <f>N48-J48-K48-M48</f>
        <v>937.20000000000073</v>
      </c>
      <c r="M48" s="90">
        <v>1300</v>
      </c>
      <c r="N48" s="87">
        <f t="shared" ref="N48" si="17">H48-O48</f>
        <v>6272.2000000000007</v>
      </c>
      <c r="O48" s="87">
        <v>2020</v>
      </c>
    </row>
    <row r="49" spans="1:15" ht="16.5" x14ac:dyDescent="0.3">
      <c r="A49" s="77" t="s">
        <v>113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5" x14ac:dyDescent="0.35">
      <c r="A50" s="36" t="s">
        <v>161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5" x14ac:dyDescent="0.35">
      <c r="A51" s="36" t="s">
        <v>167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" x14ac:dyDescent="0.3">
      <c r="A52" s="40" t="s">
        <v>20</v>
      </c>
      <c r="B52" s="159">
        <f ca="1">NOW()</f>
        <v>44057.393124305556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5" x14ac:dyDescent="0.35">
      <c r="G53" s="14"/>
      <c r="H53" s="14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6"/>
  <sheetViews>
    <sheetView showGridLines="0" topLeftCell="A2" zoomScaleNormal="100" workbookViewId="0">
      <selection activeCell="D17" sqref="D17"/>
    </sheetView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5" t="s">
        <v>45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5" customHeight="1" x14ac:dyDescent="0.3">
      <c r="A2" s="39" t="s">
        <v>11</v>
      </c>
      <c r="B2" s="78" t="s">
        <v>115</v>
      </c>
      <c r="C2" s="78" t="s">
        <v>116</v>
      </c>
      <c r="D2" s="78" t="s">
        <v>117</v>
      </c>
      <c r="E2" s="78" t="s">
        <v>118</v>
      </c>
      <c r="F2" s="78" t="s">
        <v>119</v>
      </c>
      <c r="G2" s="78" t="s">
        <v>120</v>
      </c>
      <c r="H2" s="1"/>
      <c r="I2" s="1"/>
      <c r="J2" s="1"/>
      <c r="K2" s="1"/>
    </row>
    <row r="3" spans="1:11" ht="15.65" customHeight="1" x14ac:dyDescent="0.3">
      <c r="A3" s="35" t="s">
        <v>12</v>
      </c>
      <c r="B3" s="44"/>
      <c r="C3" s="97"/>
      <c r="D3" s="97"/>
      <c r="E3" s="97"/>
      <c r="F3" s="97"/>
      <c r="G3" s="97"/>
      <c r="H3" s="1"/>
      <c r="I3" s="1"/>
      <c r="J3" s="1"/>
      <c r="K3" s="2"/>
    </row>
    <row r="4" spans="1:11" ht="14.5" x14ac:dyDescent="0.35">
      <c r="A4" s="98"/>
      <c r="B4" s="99" t="s">
        <v>68</v>
      </c>
      <c r="C4" s="99" t="s">
        <v>78</v>
      </c>
      <c r="D4" s="99" t="s">
        <v>95</v>
      </c>
      <c r="E4" s="99" t="s">
        <v>44</v>
      </c>
      <c r="F4" s="99" t="s">
        <v>67</v>
      </c>
      <c r="G4" s="99" t="s">
        <v>68</v>
      </c>
      <c r="H4" s="1"/>
      <c r="I4" s="2"/>
      <c r="J4" s="2"/>
      <c r="K4" s="2"/>
    </row>
    <row r="5" spans="1:11" ht="14" x14ac:dyDescent="0.3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" x14ac:dyDescent="0.3">
      <c r="A6" s="36" t="s">
        <v>48</v>
      </c>
      <c r="B6" s="100">
        <v>11.3</v>
      </c>
      <c r="C6" s="100">
        <v>161</v>
      </c>
      <c r="D6" s="100">
        <v>23.3</v>
      </c>
      <c r="E6" s="100">
        <v>19.3</v>
      </c>
      <c r="F6" s="100">
        <v>22.5</v>
      </c>
      <c r="G6" s="100">
        <v>12.2</v>
      </c>
      <c r="H6" s="1"/>
      <c r="I6" s="3"/>
      <c r="J6" s="3"/>
      <c r="K6" s="3"/>
    </row>
    <row r="7" spans="1:11" ht="14" x14ac:dyDescent="0.3">
      <c r="A7" s="36" t="s">
        <v>59</v>
      </c>
      <c r="B7" s="100">
        <v>12.5</v>
      </c>
      <c r="C7" s="100">
        <v>260</v>
      </c>
      <c r="D7" s="100">
        <v>29.1</v>
      </c>
      <c r="E7" s="100">
        <v>24</v>
      </c>
      <c r="F7" s="100">
        <v>31.8</v>
      </c>
      <c r="G7" s="100">
        <v>13.9</v>
      </c>
      <c r="H7" s="1"/>
      <c r="I7" s="3"/>
      <c r="J7" s="3"/>
      <c r="K7" s="3"/>
    </row>
    <row r="8" spans="1:11" ht="14" x14ac:dyDescent="0.3">
      <c r="A8" s="36" t="s">
        <v>81</v>
      </c>
      <c r="B8" s="100">
        <v>14.4</v>
      </c>
      <c r="C8" s="100">
        <v>252</v>
      </c>
      <c r="D8" s="100">
        <v>25.4</v>
      </c>
      <c r="E8" s="100">
        <v>26.5</v>
      </c>
      <c r="F8" s="100">
        <v>30.1</v>
      </c>
      <c r="G8" s="100">
        <v>13.8</v>
      </c>
      <c r="H8" s="1"/>
      <c r="I8" s="3"/>
      <c r="J8" s="3"/>
      <c r="K8" s="3"/>
    </row>
    <row r="9" spans="1:11" ht="14" x14ac:dyDescent="0.3">
      <c r="A9" s="36" t="s">
        <v>88</v>
      </c>
      <c r="B9" s="100">
        <v>13</v>
      </c>
      <c r="C9" s="100">
        <v>246</v>
      </c>
      <c r="D9" s="100">
        <v>21.4</v>
      </c>
      <c r="E9" s="100">
        <v>20.6</v>
      </c>
      <c r="F9" s="100">
        <v>24.9</v>
      </c>
      <c r="G9" s="100">
        <v>13.8</v>
      </c>
      <c r="H9" s="1"/>
      <c r="I9" s="3"/>
      <c r="J9" s="3"/>
      <c r="K9" s="3"/>
    </row>
    <row r="10" spans="1:11" ht="14" x14ac:dyDescent="0.3">
      <c r="A10" s="36" t="s">
        <v>91</v>
      </c>
      <c r="B10" s="100">
        <v>10.1</v>
      </c>
      <c r="C10" s="100">
        <v>194</v>
      </c>
      <c r="D10" s="100">
        <v>21.7</v>
      </c>
      <c r="E10" s="100">
        <v>16.899999999999999</v>
      </c>
      <c r="F10" s="100">
        <v>22</v>
      </c>
      <c r="G10" s="100">
        <v>11.8</v>
      </c>
      <c r="H10" s="1"/>
      <c r="I10" s="3"/>
      <c r="J10" s="3"/>
      <c r="K10" s="3"/>
    </row>
    <row r="11" spans="1:11" ht="14" x14ac:dyDescent="0.3">
      <c r="A11" s="36" t="s">
        <v>92</v>
      </c>
      <c r="B11" s="100">
        <v>8.9499999999999993</v>
      </c>
      <c r="C11" s="100">
        <v>227</v>
      </c>
      <c r="D11" s="100">
        <v>19.600000000000001</v>
      </c>
      <c r="E11" s="100">
        <v>15.6</v>
      </c>
      <c r="F11" s="100">
        <v>19.3</v>
      </c>
      <c r="G11" s="100">
        <v>8.9499999999999993</v>
      </c>
      <c r="H11" s="1"/>
      <c r="I11" s="3"/>
      <c r="J11" s="3"/>
      <c r="K11" s="3"/>
    </row>
    <row r="12" spans="1:11" ht="14" x14ac:dyDescent="0.3">
      <c r="A12" s="36" t="s">
        <v>107</v>
      </c>
      <c r="B12" s="100">
        <v>9.4700000000000006</v>
      </c>
      <c r="C12" s="100">
        <v>195</v>
      </c>
      <c r="D12" s="100">
        <v>17.399999999999999</v>
      </c>
      <c r="E12" s="100">
        <v>16.600000000000001</v>
      </c>
      <c r="F12" s="100">
        <v>19.7</v>
      </c>
      <c r="G12" s="100">
        <v>8</v>
      </c>
      <c r="H12" s="1"/>
      <c r="I12" s="3"/>
      <c r="J12" s="3"/>
      <c r="K12" s="3"/>
    </row>
    <row r="13" spans="1:11" ht="14" x14ac:dyDescent="0.3">
      <c r="A13" s="36" t="s">
        <v>109</v>
      </c>
      <c r="B13" s="100">
        <v>9.33</v>
      </c>
      <c r="C13" s="100">
        <v>142</v>
      </c>
      <c r="D13" s="100">
        <v>17.2</v>
      </c>
      <c r="E13" s="100">
        <v>17.5</v>
      </c>
      <c r="F13" s="100">
        <v>22.9</v>
      </c>
      <c r="G13" s="100">
        <v>9.5299999999999994</v>
      </c>
      <c r="H13" s="1"/>
      <c r="I13" s="3"/>
      <c r="J13" s="3"/>
      <c r="K13" s="3"/>
    </row>
    <row r="14" spans="1:11" ht="14" x14ac:dyDescent="0.3">
      <c r="A14" s="36" t="s">
        <v>142</v>
      </c>
      <c r="B14" s="100">
        <v>8.48</v>
      </c>
      <c r="C14" s="100">
        <v>155</v>
      </c>
      <c r="D14" s="100">
        <v>17.399999999999999</v>
      </c>
      <c r="E14" s="100">
        <v>15.8</v>
      </c>
      <c r="F14" s="100">
        <v>21.5</v>
      </c>
      <c r="G14" s="100">
        <v>9.89</v>
      </c>
      <c r="H14" s="1"/>
      <c r="I14" s="7"/>
      <c r="J14" s="3"/>
      <c r="K14" s="3"/>
    </row>
    <row r="15" spans="1:11" ht="14" x14ac:dyDescent="0.3">
      <c r="A15" s="36" t="s">
        <v>147</v>
      </c>
      <c r="B15" s="100">
        <v>8.5500000000000007</v>
      </c>
      <c r="C15" s="100">
        <v>162</v>
      </c>
      <c r="D15" s="100">
        <v>19.399999999999999</v>
      </c>
      <c r="E15" s="100">
        <v>14.8</v>
      </c>
      <c r="F15" s="100">
        <v>20.5</v>
      </c>
      <c r="G15" s="100">
        <v>9.0500000000000007</v>
      </c>
      <c r="H15" s="1"/>
      <c r="I15" s="7"/>
      <c r="J15" s="3"/>
      <c r="K15" s="3"/>
    </row>
    <row r="16" spans="1:11" ht="16.5" x14ac:dyDescent="0.3">
      <c r="A16" s="36" t="s">
        <v>159</v>
      </c>
      <c r="B16" s="100">
        <v>8.35</v>
      </c>
      <c r="C16" s="100">
        <v>155</v>
      </c>
      <c r="D16" s="100">
        <v>17.850000000000001</v>
      </c>
      <c r="E16" s="100">
        <v>14.9</v>
      </c>
      <c r="F16" s="100">
        <v>20.25</v>
      </c>
      <c r="G16" s="100">
        <v>9.75</v>
      </c>
      <c r="H16" s="1"/>
      <c r="I16" s="7"/>
      <c r="J16" s="3"/>
      <c r="K16" s="3"/>
    </row>
    <row r="17" spans="1:11" ht="14" x14ac:dyDescent="0.3">
      <c r="A17" s="39"/>
      <c r="B17" s="102"/>
      <c r="C17" s="103"/>
      <c r="D17" s="104"/>
      <c r="E17" s="104"/>
      <c r="F17" s="101"/>
      <c r="G17" s="105"/>
      <c r="H17" s="3"/>
      <c r="I17" s="7"/>
      <c r="J17" s="3"/>
      <c r="K17" s="3"/>
    </row>
    <row r="18" spans="1:11" ht="14" x14ac:dyDescent="0.3">
      <c r="A18" s="63" t="s">
        <v>142</v>
      </c>
      <c r="B18" s="100"/>
      <c r="C18" s="100"/>
      <c r="D18" s="100"/>
      <c r="E18" s="100"/>
      <c r="F18" s="100"/>
      <c r="G18" s="100"/>
    </row>
    <row r="19" spans="1:11" ht="14" x14ac:dyDescent="0.3">
      <c r="A19" s="39" t="s">
        <v>63</v>
      </c>
      <c r="B19" s="100">
        <v>8.7799999999999994</v>
      </c>
      <c r="C19" s="100">
        <v>141</v>
      </c>
      <c r="D19" s="100">
        <v>16.7</v>
      </c>
      <c r="E19" s="100">
        <v>15.2</v>
      </c>
      <c r="F19" s="100">
        <v>22.3</v>
      </c>
      <c r="G19" s="100">
        <v>9.7899999999999991</v>
      </c>
    </row>
    <row r="20" spans="1:11" ht="14" x14ac:dyDescent="0.3">
      <c r="A20" s="39" t="s">
        <v>50</v>
      </c>
      <c r="B20" s="100">
        <v>8.59</v>
      </c>
      <c r="C20" s="100">
        <v>146</v>
      </c>
      <c r="D20" s="100">
        <v>16.7</v>
      </c>
      <c r="E20" s="100">
        <v>15.6</v>
      </c>
      <c r="F20" s="100">
        <v>21.8</v>
      </c>
      <c r="G20" s="100">
        <v>9.7899999999999991</v>
      </c>
    </row>
    <row r="21" spans="1:11" ht="14" x14ac:dyDescent="0.3">
      <c r="A21" s="39" t="s">
        <v>51</v>
      </c>
      <c r="B21" s="100">
        <v>8.36</v>
      </c>
      <c r="C21" s="100">
        <v>152</v>
      </c>
      <c r="D21" s="100">
        <v>17</v>
      </c>
      <c r="E21" s="100">
        <v>16.100000000000001</v>
      </c>
      <c r="F21" s="100">
        <v>21.6</v>
      </c>
      <c r="G21" s="100">
        <v>10.199999999999999</v>
      </c>
    </row>
    <row r="22" spans="1:11" ht="14" x14ac:dyDescent="0.3">
      <c r="A22" s="39" t="s">
        <v>52</v>
      </c>
      <c r="B22" s="100">
        <v>8.56</v>
      </c>
      <c r="C22" s="100">
        <v>161</v>
      </c>
      <c r="D22" s="100">
        <v>16.899999999999999</v>
      </c>
      <c r="E22" s="100">
        <v>16.3</v>
      </c>
      <c r="F22" s="100">
        <v>20.5</v>
      </c>
      <c r="G22" s="100">
        <v>9.8699999999999992</v>
      </c>
    </row>
    <row r="23" spans="1:11" ht="14" x14ac:dyDescent="0.3">
      <c r="A23" s="39" t="s">
        <v>53</v>
      </c>
      <c r="B23" s="100">
        <v>8.64</v>
      </c>
      <c r="C23" s="100">
        <v>170</v>
      </c>
      <c r="D23" s="100">
        <v>17.3</v>
      </c>
      <c r="E23" s="100">
        <v>16.7</v>
      </c>
      <c r="F23" s="100">
        <v>22.7</v>
      </c>
      <c r="G23" s="100">
        <v>9.85</v>
      </c>
    </row>
    <row r="24" spans="1:11" ht="14" x14ac:dyDescent="0.3">
      <c r="A24" s="39" t="s">
        <v>54</v>
      </c>
      <c r="B24" s="100">
        <v>8.52</v>
      </c>
      <c r="C24" s="100">
        <v>174</v>
      </c>
      <c r="D24" s="100">
        <v>18</v>
      </c>
      <c r="E24" s="100">
        <v>16.2</v>
      </c>
      <c r="F24" s="100">
        <v>22.3</v>
      </c>
      <c r="G24" s="100">
        <v>9.7899999999999991</v>
      </c>
    </row>
    <row r="25" spans="1:11" ht="14" x14ac:dyDescent="0.3">
      <c r="A25" s="39" t="s">
        <v>55</v>
      </c>
      <c r="B25" s="100">
        <v>8.52</v>
      </c>
      <c r="C25" s="100" t="s">
        <v>10</v>
      </c>
      <c r="D25" s="100">
        <v>17.8</v>
      </c>
      <c r="E25" s="100">
        <v>15.8</v>
      </c>
      <c r="F25" s="100">
        <v>19.8</v>
      </c>
      <c r="G25" s="100">
        <v>10.1</v>
      </c>
    </row>
    <row r="26" spans="1:11" ht="14" x14ac:dyDescent="0.3">
      <c r="A26" s="39" t="s">
        <v>56</v>
      </c>
      <c r="B26" s="100">
        <v>8.2799999999999994</v>
      </c>
      <c r="C26" s="100" t="s">
        <v>10</v>
      </c>
      <c r="D26" s="100">
        <v>17.600000000000001</v>
      </c>
      <c r="E26" s="100">
        <v>15.8</v>
      </c>
      <c r="F26" s="100">
        <v>20.3</v>
      </c>
      <c r="G26" s="100">
        <v>9.93</v>
      </c>
    </row>
    <row r="27" spans="1:11" ht="14" x14ac:dyDescent="0.3">
      <c r="A27" s="39" t="s">
        <v>57</v>
      </c>
      <c r="B27" s="100">
        <v>8.02</v>
      </c>
      <c r="C27" s="100" t="s">
        <v>10</v>
      </c>
      <c r="D27" s="100">
        <v>18.3</v>
      </c>
      <c r="E27" s="100">
        <v>15.2</v>
      </c>
      <c r="F27" s="100">
        <v>20.5</v>
      </c>
      <c r="G27" s="100">
        <v>9.5399999999999991</v>
      </c>
    </row>
    <row r="28" spans="1:11" ht="14" x14ac:dyDescent="0.3">
      <c r="A28" s="39" t="s">
        <v>58</v>
      </c>
      <c r="B28" s="100">
        <v>8.31</v>
      </c>
      <c r="C28" s="100" t="s">
        <v>10</v>
      </c>
      <c r="D28" s="100">
        <v>17.899999999999999</v>
      </c>
      <c r="E28" s="100">
        <v>14.9</v>
      </c>
      <c r="F28" s="100">
        <v>21.5</v>
      </c>
      <c r="G28" s="100">
        <v>9.08</v>
      </c>
    </row>
    <row r="29" spans="1:11" ht="14" x14ac:dyDescent="0.3">
      <c r="A29" s="39" t="s">
        <v>60</v>
      </c>
      <c r="B29" s="100">
        <v>8.3800000000000008</v>
      </c>
      <c r="C29" s="100" t="s">
        <v>10</v>
      </c>
      <c r="D29" s="100">
        <v>18</v>
      </c>
      <c r="E29" s="100">
        <v>14.8</v>
      </c>
      <c r="F29" s="100">
        <v>20.6</v>
      </c>
      <c r="G29" s="100">
        <v>9.1</v>
      </c>
    </row>
    <row r="30" spans="1:11" ht="14" x14ac:dyDescent="0.3">
      <c r="A30" s="39" t="s">
        <v>61</v>
      </c>
      <c r="B30" s="100">
        <v>8.2200000000000006</v>
      </c>
      <c r="C30" s="100">
        <v>149</v>
      </c>
      <c r="D30" s="100">
        <v>17.8</v>
      </c>
      <c r="E30" s="100">
        <v>14.5</v>
      </c>
      <c r="F30" s="100">
        <v>20.5</v>
      </c>
      <c r="G30" s="100">
        <v>8.84</v>
      </c>
    </row>
    <row r="31" spans="1:11" ht="14" x14ac:dyDescent="0.3">
      <c r="A31" s="39"/>
      <c r="B31" s="100"/>
      <c r="C31" s="100"/>
      <c r="D31" s="100"/>
      <c r="E31" s="100"/>
      <c r="F31" s="100"/>
      <c r="G31" s="100"/>
    </row>
    <row r="32" spans="1:11" ht="14" x14ac:dyDescent="0.3">
      <c r="A32" s="63" t="s">
        <v>147</v>
      </c>
      <c r="B32" s="100"/>
      <c r="C32" s="100"/>
      <c r="D32" s="100"/>
      <c r="E32" s="100"/>
      <c r="F32" s="100"/>
      <c r="G32" s="100"/>
    </row>
    <row r="33" spans="1:7" ht="14" x14ac:dyDescent="0.3">
      <c r="A33" s="39" t="s">
        <v>63</v>
      </c>
      <c r="B33" s="100">
        <v>8.35</v>
      </c>
      <c r="C33" s="100">
        <v>150</v>
      </c>
      <c r="D33" s="100">
        <v>18.5</v>
      </c>
      <c r="E33" s="100">
        <v>14.2</v>
      </c>
      <c r="F33" s="100">
        <v>19.8</v>
      </c>
      <c r="G33" s="100">
        <v>8.84</v>
      </c>
    </row>
    <row r="34" spans="1:7" ht="14" x14ac:dyDescent="0.3">
      <c r="A34" s="39" t="s">
        <v>50</v>
      </c>
      <c r="B34" s="100">
        <v>8.6</v>
      </c>
      <c r="C34" s="100">
        <v>154</v>
      </c>
      <c r="D34" s="100">
        <v>17.399999999999999</v>
      </c>
      <c r="E34" s="100">
        <v>14.2</v>
      </c>
      <c r="F34" s="100">
        <v>20.399999999999999</v>
      </c>
      <c r="G34" s="100">
        <v>9.0500000000000007</v>
      </c>
    </row>
    <row r="35" spans="1:7" ht="14" x14ac:dyDescent="0.3">
      <c r="A35" s="39" t="s">
        <v>51</v>
      </c>
      <c r="B35" s="100">
        <v>8.59</v>
      </c>
      <c r="C35" s="100">
        <v>163</v>
      </c>
      <c r="D35" s="100">
        <v>17.899999999999999</v>
      </c>
      <c r="E35" s="100">
        <v>14.4</v>
      </c>
      <c r="F35" s="100">
        <v>19.2</v>
      </c>
      <c r="G35" s="100">
        <v>8.68</v>
      </c>
    </row>
    <row r="36" spans="1:7" ht="14" x14ac:dyDescent="0.3">
      <c r="A36" s="39" t="s">
        <v>52</v>
      </c>
      <c r="B36" s="100">
        <v>8.6999999999999993</v>
      </c>
      <c r="C36" s="100">
        <v>164</v>
      </c>
      <c r="D36" s="100">
        <v>17.600000000000001</v>
      </c>
      <c r="E36" s="100">
        <v>14.4</v>
      </c>
      <c r="F36" s="100">
        <v>19.600000000000001</v>
      </c>
      <c r="G36" s="100">
        <v>8.91</v>
      </c>
    </row>
    <row r="37" spans="1:7" ht="14" x14ac:dyDescent="0.3">
      <c r="A37" s="39" t="s">
        <v>53</v>
      </c>
      <c r="B37" s="100">
        <v>8.84</v>
      </c>
      <c r="C37" s="100">
        <v>183</v>
      </c>
      <c r="D37" s="100">
        <v>19.3</v>
      </c>
      <c r="E37" s="100">
        <v>16</v>
      </c>
      <c r="F37" s="100">
        <v>20.9</v>
      </c>
      <c r="G37" s="100">
        <v>8.99</v>
      </c>
    </row>
    <row r="38" spans="1:7" ht="14" x14ac:dyDescent="0.3">
      <c r="A38" s="39" t="s">
        <v>54</v>
      </c>
      <c r="B38" s="100">
        <v>8.59</v>
      </c>
      <c r="C38" s="100">
        <v>210</v>
      </c>
      <c r="D38" s="100">
        <v>20.2</v>
      </c>
      <c r="E38" s="100">
        <v>15.8</v>
      </c>
      <c r="F38" s="100">
        <v>20.5</v>
      </c>
      <c r="G38" s="100">
        <v>10.4</v>
      </c>
    </row>
    <row r="39" spans="1:7" ht="14" x14ac:dyDescent="0.3">
      <c r="A39" s="39" t="s">
        <v>55</v>
      </c>
      <c r="B39" s="100">
        <v>8.4600000000000009</v>
      </c>
      <c r="C39" s="100" t="s">
        <v>10</v>
      </c>
      <c r="D39" s="100">
        <v>20.6</v>
      </c>
      <c r="E39" s="100">
        <v>15.5</v>
      </c>
      <c r="F39" s="100">
        <v>20.6</v>
      </c>
      <c r="G39" s="100">
        <v>10.7</v>
      </c>
    </row>
    <row r="40" spans="1:7" ht="14" x14ac:dyDescent="0.3">
      <c r="A40" s="39" t="s">
        <v>56</v>
      </c>
      <c r="B40" s="100">
        <v>8.35</v>
      </c>
      <c r="C40" s="100" t="s">
        <v>10</v>
      </c>
      <c r="D40" s="100">
        <v>20.2</v>
      </c>
      <c r="E40" s="100">
        <v>15.2</v>
      </c>
      <c r="F40" s="100">
        <v>20.6</v>
      </c>
      <c r="G40" s="100">
        <v>9.15</v>
      </c>
    </row>
    <row r="41" spans="1:7" ht="14" x14ac:dyDescent="0.3">
      <c r="A41" s="39" t="s">
        <v>57</v>
      </c>
      <c r="B41" s="100">
        <v>8.2799999999999994</v>
      </c>
      <c r="C41" s="100" t="s">
        <v>10</v>
      </c>
      <c r="D41" s="100">
        <v>20.399999999999999</v>
      </c>
      <c r="E41" s="100">
        <v>14.2</v>
      </c>
      <c r="F41" s="100">
        <v>21.1</v>
      </c>
      <c r="G41" s="100">
        <v>9.57</v>
      </c>
    </row>
    <row r="42" spans="1:7" ht="14" x14ac:dyDescent="0.3">
      <c r="A42" s="35" t="s">
        <v>58</v>
      </c>
      <c r="B42" s="106">
        <v>8.34</v>
      </c>
      <c r="C42" s="106" t="s">
        <v>10</v>
      </c>
      <c r="D42" s="106">
        <v>21.7</v>
      </c>
      <c r="E42" s="106">
        <v>15.2</v>
      </c>
      <c r="F42" s="106">
        <v>20.7</v>
      </c>
      <c r="G42" s="106">
        <v>10.1</v>
      </c>
    </row>
    <row r="43" spans="1:7" ht="16.5" x14ac:dyDescent="0.3">
      <c r="A43" s="36" t="s">
        <v>121</v>
      </c>
      <c r="B43" s="36"/>
      <c r="C43" s="36"/>
      <c r="D43" s="36"/>
      <c r="E43" s="36"/>
      <c r="F43" s="36"/>
      <c r="G43" s="36"/>
    </row>
    <row r="44" spans="1:7" ht="14" x14ac:dyDescent="0.3">
      <c r="A44" s="36" t="s">
        <v>49</v>
      </c>
      <c r="B44" s="107"/>
      <c r="C44" s="107" t="s">
        <v>164</v>
      </c>
      <c r="D44" s="107"/>
      <c r="E44" s="107"/>
      <c r="F44" s="107"/>
      <c r="G44" s="107"/>
    </row>
    <row r="45" spans="1:7" ht="14.5" x14ac:dyDescent="0.35">
      <c r="A45" s="36" t="s">
        <v>122</v>
      </c>
      <c r="B45" s="36"/>
      <c r="C45" s="36"/>
      <c r="D45" s="36"/>
      <c r="E45" s="36"/>
      <c r="F45" s="36"/>
      <c r="G45" s="36"/>
    </row>
    <row r="46" spans="1:7" ht="14" x14ac:dyDescent="0.3">
      <c r="A46" s="40" t="s">
        <v>20</v>
      </c>
      <c r="B46" s="69">
        <f ca="1">NOW()</f>
        <v>44057.393124305556</v>
      </c>
      <c r="C46" s="36"/>
      <c r="D46" s="36"/>
      <c r="E46" s="36"/>
      <c r="F46" s="36"/>
      <c r="G46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6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5" t="s">
        <v>18</v>
      </c>
      <c r="B1" s="35"/>
      <c r="C1" s="35"/>
      <c r="D1" s="35"/>
      <c r="E1" s="35"/>
      <c r="F1" s="35"/>
      <c r="G1" s="35"/>
      <c r="H1" s="35"/>
      <c r="I1" s="36"/>
    </row>
    <row r="2" spans="1:9" ht="15.65" customHeight="1" x14ac:dyDescent="0.3">
      <c r="A2" s="108" t="s">
        <v>11</v>
      </c>
      <c r="B2" s="78" t="s">
        <v>38</v>
      </c>
      <c r="C2" s="78" t="s">
        <v>13</v>
      </c>
      <c r="D2" s="78" t="s">
        <v>80</v>
      </c>
      <c r="E2" s="109" t="s">
        <v>46</v>
      </c>
      <c r="F2" s="109" t="s">
        <v>39</v>
      </c>
      <c r="G2" s="78" t="s">
        <v>43</v>
      </c>
      <c r="H2" s="78" t="s">
        <v>123</v>
      </c>
      <c r="I2" s="110" t="s">
        <v>42</v>
      </c>
    </row>
    <row r="3" spans="1:9" ht="15.65" customHeight="1" x14ac:dyDescent="0.3">
      <c r="A3" s="82" t="s">
        <v>12</v>
      </c>
      <c r="B3" s="43" t="s">
        <v>124</v>
      </c>
      <c r="C3" s="43" t="s">
        <v>125</v>
      </c>
      <c r="D3" s="43" t="s">
        <v>126</v>
      </c>
      <c r="E3" s="43" t="s">
        <v>126</v>
      </c>
      <c r="F3" s="43" t="s">
        <v>127</v>
      </c>
      <c r="G3" s="43" t="s">
        <v>128</v>
      </c>
      <c r="H3" s="43"/>
      <c r="I3" s="43" t="s">
        <v>129</v>
      </c>
    </row>
    <row r="4" spans="1:9" ht="14.5" x14ac:dyDescent="0.35">
      <c r="A4" s="36"/>
      <c r="B4" s="55" t="s">
        <v>96</v>
      </c>
      <c r="C4" s="111"/>
      <c r="D4" s="111"/>
      <c r="E4" s="111"/>
      <c r="F4" s="111"/>
      <c r="G4" s="111"/>
      <c r="H4" s="111"/>
      <c r="I4" s="111"/>
    </row>
    <row r="5" spans="1:9" ht="14" x14ac:dyDescent="0.3">
      <c r="A5" s="36"/>
      <c r="B5" s="36"/>
      <c r="C5" s="36"/>
      <c r="D5" s="36"/>
      <c r="E5" s="36"/>
      <c r="F5" s="36"/>
      <c r="G5" s="36"/>
      <c r="H5" s="36"/>
      <c r="I5" s="36"/>
    </row>
    <row r="6" spans="1:9" ht="14" x14ac:dyDescent="0.3">
      <c r="A6" s="36" t="s">
        <v>48</v>
      </c>
      <c r="B6" s="100">
        <v>53.2</v>
      </c>
      <c r="C6" s="100">
        <v>54.5</v>
      </c>
      <c r="D6" s="100">
        <v>86.12</v>
      </c>
      <c r="E6" s="100">
        <v>58.68</v>
      </c>
      <c r="F6" s="100">
        <v>77.239999999999995</v>
      </c>
      <c r="G6" s="100">
        <v>60.76</v>
      </c>
      <c r="H6" s="100">
        <v>51.52</v>
      </c>
      <c r="I6" s="100">
        <v>51.34</v>
      </c>
    </row>
    <row r="7" spans="1:9" ht="14" x14ac:dyDescent="0.3">
      <c r="A7" s="36" t="s">
        <v>59</v>
      </c>
      <c r="B7" s="100">
        <v>51.9</v>
      </c>
      <c r="C7" s="100">
        <v>53.22</v>
      </c>
      <c r="D7" s="100">
        <v>83.2</v>
      </c>
      <c r="E7" s="100">
        <v>57.19</v>
      </c>
      <c r="F7" s="100">
        <v>100.15</v>
      </c>
      <c r="G7" s="100">
        <v>56.09</v>
      </c>
      <c r="H7" s="100">
        <v>48.11</v>
      </c>
      <c r="I7" s="100">
        <v>50.33</v>
      </c>
    </row>
    <row r="8" spans="1:9" ht="14" x14ac:dyDescent="0.3">
      <c r="A8" s="36" t="s">
        <v>81</v>
      </c>
      <c r="B8" s="100">
        <v>47.13</v>
      </c>
      <c r="C8" s="100">
        <v>48.6</v>
      </c>
      <c r="D8" s="100">
        <v>65.87</v>
      </c>
      <c r="E8" s="100">
        <v>56.17</v>
      </c>
      <c r="F8" s="100">
        <v>91.83</v>
      </c>
      <c r="G8" s="100">
        <v>46.66</v>
      </c>
      <c r="H8" s="100">
        <v>51.8</v>
      </c>
      <c r="I8" s="100">
        <v>43.24</v>
      </c>
    </row>
    <row r="9" spans="1:9" ht="14" x14ac:dyDescent="0.3">
      <c r="A9" s="36" t="s">
        <v>88</v>
      </c>
      <c r="B9" s="100">
        <v>38.229999999999997</v>
      </c>
      <c r="C9" s="100">
        <v>60.66</v>
      </c>
      <c r="D9" s="100">
        <v>59.12</v>
      </c>
      <c r="E9" s="100">
        <v>43.7</v>
      </c>
      <c r="F9" s="100">
        <v>68.23</v>
      </c>
      <c r="G9" s="100">
        <v>39.43</v>
      </c>
      <c r="H9" s="100">
        <v>43.93</v>
      </c>
      <c r="I9" s="100">
        <v>39.76</v>
      </c>
    </row>
    <row r="10" spans="1:9" ht="14" x14ac:dyDescent="0.3">
      <c r="A10" s="36" t="s">
        <v>91</v>
      </c>
      <c r="B10" s="100">
        <v>31.6</v>
      </c>
      <c r="C10" s="100">
        <v>45.74</v>
      </c>
      <c r="D10" s="100">
        <v>66.72</v>
      </c>
      <c r="E10" s="100">
        <v>37.81</v>
      </c>
      <c r="F10" s="100">
        <v>57.96</v>
      </c>
      <c r="G10" s="100">
        <v>37.479999999999997</v>
      </c>
      <c r="H10" s="100">
        <v>33.43</v>
      </c>
      <c r="I10" s="100">
        <v>31.36</v>
      </c>
    </row>
    <row r="11" spans="1:9" ht="14" x14ac:dyDescent="0.3">
      <c r="A11" s="36" t="s">
        <v>92</v>
      </c>
      <c r="B11" s="100">
        <v>29.86</v>
      </c>
      <c r="C11" s="100">
        <v>45.87</v>
      </c>
      <c r="D11" s="100">
        <v>57.81</v>
      </c>
      <c r="E11" s="100">
        <v>35.270000000000003</v>
      </c>
      <c r="F11" s="100">
        <v>58.26</v>
      </c>
      <c r="G11" s="100">
        <v>39.25</v>
      </c>
      <c r="H11" s="100">
        <v>32.229999999999997</v>
      </c>
      <c r="I11" s="100">
        <v>30.07</v>
      </c>
    </row>
    <row r="12" spans="1:9" ht="14" x14ac:dyDescent="0.3">
      <c r="A12" s="36" t="s">
        <v>107</v>
      </c>
      <c r="B12" s="100">
        <v>32.549999999999997</v>
      </c>
      <c r="C12" s="100">
        <v>40.92</v>
      </c>
      <c r="D12" s="100">
        <v>53.54</v>
      </c>
      <c r="E12" s="100">
        <v>38.729999999999997</v>
      </c>
      <c r="F12" s="100">
        <v>66.73</v>
      </c>
      <c r="G12" s="100">
        <v>37.43</v>
      </c>
      <c r="H12" s="100">
        <v>33.07</v>
      </c>
      <c r="I12" s="100">
        <v>34.75</v>
      </c>
    </row>
    <row r="13" spans="1:9" ht="14" x14ac:dyDescent="0.3">
      <c r="A13" s="36" t="s">
        <v>109</v>
      </c>
      <c r="B13" s="100">
        <v>30.04</v>
      </c>
      <c r="C13" s="100">
        <v>31.87</v>
      </c>
      <c r="D13" s="100">
        <v>54.57</v>
      </c>
      <c r="E13" s="100">
        <v>38.270000000000003</v>
      </c>
      <c r="F13" s="100">
        <v>66.72</v>
      </c>
      <c r="G13" s="100">
        <v>30.35</v>
      </c>
      <c r="H13" s="100">
        <v>34.159999999999997</v>
      </c>
      <c r="I13" s="100">
        <v>31.21</v>
      </c>
    </row>
    <row r="14" spans="1:9" ht="14" x14ac:dyDescent="0.3">
      <c r="A14" s="36" t="s">
        <v>142</v>
      </c>
      <c r="B14" s="100">
        <v>28.26</v>
      </c>
      <c r="C14" s="100">
        <v>35.14</v>
      </c>
      <c r="D14" s="100">
        <v>53.28</v>
      </c>
      <c r="E14" s="100">
        <v>36.090000000000003</v>
      </c>
      <c r="F14" s="100">
        <v>64.72</v>
      </c>
      <c r="G14" s="100">
        <v>26.93</v>
      </c>
      <c r="H14" s="100">
        <v>31.65</v>
      </c>
      <c r="I14" s="100">
        <v>33.11</v>
      </c>
    </row>
    <row r="15" spans="1:9" ht="16.5" x14ac:dyDescent="0.3">
      <c r="A15" s="36" t="s">
        <v>145</v>
      </c>
      <c r="B15" s="100">
        <v>29</v>
      </c>
      <c r="C15" s="100">
        <v>38.5</v>
      </c>
      <c r="D15" s="100">
        <v>65</v>
      </c>
      <c r="E15" s="100">
        <v>36.25</v>
      </c>
      <c r="F15" s="100">
        <v>65.569999999999993</v>
      </c>
      <c r="G15" s="100">
        <v>40.25</v>
      </c>
      <c r="H15" s="100">
        <v>36</v>
      </c>
      <c r="I15" s="100">
        <v>38.5</v>
      </c>
    </row>
    <row r="16" spans="1:9" ht="16.5" x14ac:dyDescent="0.3">
      <c r="A16" s="36" t="s">
        <v>159</v>
      </c>
      <c r="B16" s="100">
        <v>30</v>
      </c>
      <c r="C16" s="100">
        <v>38</v>
      </c>
      <c r="D16" s="100">
        <v>59</v>
      </c>
      <c r="E16" s="100">
        <v>36</v>
      </c>
      <c r="F16" s="100">
        <v>61</v>
      </c>
      <c r="G16" s="100">
        <v>33</v>
      </c>
      <c r="H16" s="100">
        <v>33</v>
      </c>
      <c r="I16" s="100">
        <v>35</v>
      </c>
    </row>
    <row r="17" spans="1:9" ht="14" x14ac:dyDescent="0.3">
      <c r="A17" s="36"/>
      <c r="B17" s="52"/>
      <c r="C17" s="103"/>
      <c r="D17" s="112"/>
      <c r="E17" s="112"/>
      <c r="F17" s="112"/>
      <c r="G17" s="112"/>
      <c r="H17" s="36"/>
      <c r="I17" s="36"/>
    </row>
    <row r="18" spans="1:9" ht="14" x14ac:dyDescent="0.3">
      <c r="A18" s="36" t="s">
        <v>142</v>
      </c>
      <c r="B18" s="100"/>
      <c r="C18" s="100"/>
      <c r="D18" s="100"/>
      <c r="E18" s="100"/>
      <c r="F18" s="100"/>
      <c r="G18" s="100"/>
      <c r="H18" s="100"/>
      <c r="I18" s="100"/>
    </row>
    <row r="19" spans="1:9" ht="14" x14ac:dyDescent="0.3">
      <c r="A19" s="39" t="s">
        <v>50</v>
      </c>
      <c r="B19" s="100">
        <v>28.89</v>
      </c>
      <c r="C19" s="100">
        <v>30.56</v>
      </c>
      <c r="D19" s="100">
        <v>54</v>
      </c>
      <c r="E19" s="100">
        <v>38.94</v>
      </c>
      <c r="F19" s="100">
        <v>66.63</v>
      </c>
      <c r="G19" s="100">
        <v>27.18</v>
      </c>
      <c r="H19" s="100">
        <v>33</v>
      </c>
      <c r="I19" s="100">
        <v>31.29</v>
      </c>
    </row>
    <row r="20" spans="1:9" ht="14" x14ac:dyDescent="0.3">
      <c r="A20" s="39" t="s">
        <v>51</v>
      </c>
      <c r="B20" s="100">
        <v>27.492999999999999</v>
      </c>
      <c r="C20" s="100">
        <v>31.45</v>
      </c>
      <c r="D20" s="100">
        <v>52.8</v>
      </c>
      <c r="E20" s="100">
        <v>37.450000000000003</v>
      </c>
      <c r="F20" s="100">
        <v>64.8</v>
      </c>
      <c r="G20" s="100">
        <v>26.37</v>
      </c>
      <c r="H20" s="100">
        <v>34.33</v>
      </c>
      <c r="I20" s="100">
        <v>35</v>
      </c>
    </row>
    <row r="21" spans="1:9" ht="14" x14ac:dyDescent="0.3">
      <c r="A21" s="39" t="s">
        <v>52</v>
      </c>
      <c r="B21" s="100">
        <v>28.14</v>
      </c>
      <c r="C21" s="100">
        <v>32.06</v>
      </c>
      <c r="D21" s="100">
        <v>53.5</v>
      </c>
      <c r="E21" s="100">
        <v>36.75</v>
      </c>
      <c r="F21" s="100">
        <v>62.25</v>
      </c>
      <c r="G21" s="100">
        <v>26.46</v>
      </c>
      <c r="H21" s="100">
        <v>31</v>
      </c>
      <c r="I21" s="100">
        <v>32.5</v>
      </c>
    </row>
    <row r="22" spans="1:9" ht="14" x14ac:dyDescent="0.3">
      <c r="A22" s="39" t="s">
        <v>53</v>
      </c>
      <c r="B22" s="100">
        <v>28.44</v>
      </c>
      <c r="C22" s="100">
        <v>33.94</v>
      </c>
      <c r="D22" s="100">
        <v>53.5</v>
      </c>
      <c r="E22" s="100">
        <v>37.130000000000003</v>
      </c>
      <c r="F22" s="100">
        <v>61.88</v>
      </c>
      <c r="G22" s="100">
        <v>26.21</v>
      </c>
      <c r="H22" s="100" t="s">
        <v>10</v>
      </c>
      <c r="I22" s="100">
        <v>33.130000000000003</v>
      </c>
    </row>
    <row r="23" spans="1:9" ht="14" x14ac:dyDescent="0.3">
      <c r="A23" s="39" t="s">
        <v>54</v>
      </c>
      <c r="B23" s="100">
        <v>29.58</v>
      </c>
      <c r="C23" s="100">
        <v>36.44</v>
      </c>
      <c r="D23" s="100">
        <v>53</v>
      </c>
      <c r="E23" s="100">
        <v>37.75</v>
      </c>
      <c r="F23" s="100">
        <v>61.13</v>
      </c>
      <c r="G23" s="100">
        <v>25.65</v>
      </c>
      <c r="H23" s="100" t="s">
        <v>10</v>
      </c>
      <c r="I23" s="100">
        <v>33</v>
      </c>
    </row>
    <row r="24" spans="1:9" ht="14" x14ac:dyDescent="0.3">
      <c r="A24" s="39" t="s">
        <v>55</v>
      </c>
      <c r="B24" s="100">
        <v>28.62</v>
      </c>
      <c r="C24" s="100">
        <v>35.700000000000003</v>
      </c>
      <c r="D24" s="100">
        <v>53.2</v>
      </c>
      <c r="E24" s="100">
        <v>36.15</v>
      </c>
      <c r="F24" s="100">
        <v>61</v>
      </c>
      <c r="G24" s="100">
        <v>26.72</v>
      </c>
      <c r="H24" s="100" t="s">
        <v>10</v>
      </c>
      <c r="I24" s="100">
        <v>32.15</v>
      </c>
    </row>
    <row r="25" spans="1:9" ht="14" x14ac:dyDescent="0.3">
      <c r="A25" s="39" t="s">
        <v>56</v>
      </c>
      <c r="B25" s="100">
        <v>27.86</v>
      </c>
      <c r="C25" s="100">
        <v>37.130000000000003</v>
      </c>
      <c r="D25" s="100">
        <v>54</v>
      </c>
      <c r="E25" s="100">
        <v>35.44</v>
      </c>
      <c r="F25" s="100">
        <v>65.25</v>
      </c>
      <c r="G25" s="100">
        <v>27.94</v>
      </c>
      <c r="H25" s="100" t="s">
        <v>10</v>
      </c>
      <c r="I25" s="100">
        <v>31.86</v>
      </c>
    </row>
    <row r="26" spans="1:9" ht="14" x14ac:dyDescent="0.3">
      <c r="A26" s="39" t="s">
        <v>57</v>
      </c>
      <c r="B26" s="100">
        <v>26.93</v>
      </c>
      <c r="C26" s="100">
        <v>35.65</v>
      </c>
      <c r="D26" s="100">
        <v>53.4</v>
      </c>
      <c r="E26" s="100">
        <v>34.1</v>
      </c>
      <c r="F26" s="100">
        <v>66</v>
      </c>
      <c r="G26" s="100">
        <v>27.76</v>
      </c>
      <c r="H26" s="100" t="s">
        <v>10</v>
      </c>
      <c r="I26" s="100">
        <v>33.700000000000003</v>
      </c>
    </row>
    <row r="27" spans="1:9" ht="14" x14ac:dyDescent="0.3">
      <c r="A27" s="39" t="s">
        <v>58</v>
      </c>
      <c r="B27" s="100">
        <v>28.24</v>
      </c>
      <c r="C27" s="100">
        <v>36.69</v>
      </c>
      <c r="D27" s="100">
        <v>51</v>
      </c>
      <c r="E27" s="100">
        <v>34.630000000000003</v>
      </c>
      <c r="F27" s="100">
        <v>66</v>
      </c>
      <c r="G27" s="100">
        <v>27.38</v>
      </c>
      <c r="H27" s="100" t="s">
        <v>10</v>
      </c>
      <c r="I27" s="100" t="s">
        <v>10</v>
      </c>
    </row>
    <row r="28" spans="1:9" ht="14" x14ac:dyDescent="0.3">
      <c r="A28" s="39" t="s">
        <v>60</v>
      </c>
      <c r="B28" s="100">
        <v>27.68</v>
      </c>
      <c r="C28" s="100">
        <v>37.5</v>
      </c>
      <c r="D28" s="100">
        <v>52.5</v>
      </c>
      <c r="E28" s="100">
        <v>34.56</v>
      </c>
      <c r="F28" s="100">
        <v>66.13</v>
      </c>
      <c r="G28" s="100">
        <v>26.75</v>
      </c>
      <c r="H28" s="100" t="s">
        <v>10</v>
      </c>
      <c r="I28" s="100">
        <v>35</v>
      </c>
    </row>
    <row r="29" spans="1:9" ht="14" x14ac:dyDescent="0.3">
      <c r="A29" s="39" t="s">
        <v>61</v>
      </c>
      <c r="B29" s="100">
        <v>28.41</v>
      </c>
      <c r="C29" s="100">
        <v>36.450000000000003</v>
      </c>
      <c r="D29" s="100">
        <v>53.4</v>
      </c>
      <c r="E29" s="100">
        <v>35.25</v>
      </c>
      <c r="F29" s="100">
        <v>66</v>
      </c>
      <c r="G29" s="100">
        <v>27.31</v>
      </c>
      <c r="H29" s="100" t="s">
        <v>10</v>
      </c>
      <c r="I29" s="100" t="s">
        <v>10</v>
      </c>
    </row>
    <row r="30" spans="1:9" ht="14" x14ac:dyDescent="0.3">
      <c r="A30" s="39" t="s">
        <v>63</v>
      </c>
      <c r="B30" s="100">
        <v>28.81</v>
      </c>
      <c r="C30" s="100">
        <v>38.07</v>
      </c>
      <c r="D30" s="100">
        <v>55</v>
      </c>
      <c r="E30" s="100">
        <v>35</v>
      </c>
      <c r="F30" s="100">
        <v>67</v>
      </c>
      <c r="G30" s="100">
        <v>27.48</v>
      </c>
      <c r="H30" s="100" t="s">
        <v>10</v>
      </c>
      <c r="I30" s="100">
        <v>34</v>
      </c>
    </row>
    <row r="31" spans="1:9" ht="14" x14ac:dyDescent="0.3">
      <c r="A31" s="39"/>
      <c r="B31" s="100"/>
      <c r="C31" s="100"/>
      <c r="D31" s="100"/>
      <c r="E31" s="100"/>
      <c r="F31" s="100"/>
      <c r="G31" s="100"/>
      <c r="H31" s="100"/>
      <c r="I31" s="100"/>
    </row>
    <row r="32" spans="1:9" ht="14" x14ac:dyDescent="0.3">
      <c r="A32" s="36" t="s">
        <v>147</v>
      </c>
      <c r="B32" s="100"/>
      <c r="C32" s="100"/>
      <c r="D32" s="100"/>
      <c r="E32" s="100"/>
      <c r="F32" s="100"/>
      <c r="G32" s="100"/>
      <c r="H32" s="100"/>
      <c r="I32" s="100"/>
    </row>
    <row r="33" spans="1:9" ht="14" x14ac:dyDescent="0.3">
      <c r="A33" s="39" t="s">
        <v>50</v>
      </c>
      <c r="B33" s="100">
        <v>30.14</v>
      </c>
      <c r="C33" s="100">
        <v>37.94</v>
      </c>
      <c r="D33" s="100">
        <v>56</v>
      </c>
      <c r="E33" s="100">
        <v>36.31</v>
      </c>
      <c r="F33" s="100">
        <v>61.5</v>
      </c>
      <c r="G33" s="100">
        <v>28.3</v>
      </c>
      <c r="H33" s="100" t="s">
        <v>10</v>
      </c>
      <c r="I33" s="100" t="s">
        <v>10</v>
      </c>
    </row>
    <row r="34" spans="1:9" ht="14" x14ac:dyDescent="0.3">
      <c r="A34" s="39" t="s">
        <v>51</v>
      </c>
      <c r="B34" s="100">
        <v>30.62</v>
      </c>
      <c r="C34" s="100">
        <v>38.4</v>
      </c>
      <c r="D34" s="100">
        <v>56</v>
      </c>
      <c r="E34" s="100">
        <v>36.15</v>
      </c>
      <c r="F34" s="100">
        <v>63.1</v>
      </c>
      <c r="G34" s="100">
        <v>30.36</v>
      </c>
      <c r="H34" s="100" t="s">
        <v>10</v>
      </c>
      <c r="I34" s="100">
        <v>35</v>
      </c>
    </row>
    <row r="35" spans="1:9" ht="14" x14ac:dyDescent="0.3">
      <c r="A35" s="39" t="s">
        <v>52</v>
      </c>
      <c r="B35" s="100">
        <v>32.270000000000003</v>
      </c>
      <c r="C35" s="100">
        <v>40.25</v>
      </c>
      <c r="D35" s="100">
        <v>76</v>
      </c>
      <c r="E35" s="100">
        <v>38.06</v>
      </c>
      <c r="F35" s="100">
        <v>60.13</v>
      </c>
      <c r="G35" s="100">
        <v>31.25</v>
      </c>
      <c r="H35" s="100" t="s">
        <v>10</v>
      </c>
      <c r="I35" s="100" t="s">
        <v>10</v>
      </c>
    </row>
    <row r="36" spans="1:9" ht="14" x14ac:dyDescent="0.3">
      <c r="A36" s="39" t="s">
        <v>53</v>
      </c>
      <c r="B36" s="100">
        <v>33.04</v>
      </c>
      <c r="C36" s="100">
        <v>40.1</v>
      </c>
      <c r="D36" s="100">
        <v>70</v>
      </c>
      <c r="E36" s="100">
        <v>37.9</v>
      </c>
      <c r="F36" s="100">
        <v>59</v>
      </c>
      <c r="G36" s="100">
        <v>33.299999999999997</v>
      </c>
      <c r="H36" s="100" t="s">
        <v>10</v>
      </c>
      <c r="I36" s="100">
        <v>36.14</v>
      </c>
    </row>
    <row r="37" spans="1:9" ht="14" x14ac:dyDescent="0.3">
      <c r="A37" s="39" t="s">
        <v>54</v>
      </c>
      <c r="B37" s="100">
        <v>30.26</v>
      </c>
      <c r="C37" s="100">
        <v>38.5</v>
      </c>
      <c r="D37" s="100">
        <v>70</v>
      </c>
      <c r="E37" s="100">
        <v>35.5</v>
      </c>
      <c r="F37" s="100">
        <v>59</v>
      </c>
      <c r="G37" s="100">
        <v>36</v>
      </c>
      <c r="H37" s="100" t="s">
        <v>10</v>
      </c>
      <c r="I37" s="100">
        <v>38.21</v>
      </c>
    </row>
    <row r="38" spans="1:9" ht="14" x14ac:dyDescent="0.3">
      <c r="A38" s="39" t="s">
        <v>55</v>
      </c>
      <c r="B38" s="100">
        <v>27.04</v>
      </c>
      <c r="C38" s="100">
        <v>36.19</v>
      </c>
      <c r="D38" s="100">
        <v>76</v>
      </c>
      <c r="E38" s="100">
        <v>32.880000000000003</v>
      </c>
      <c r="F38" s="100">
        <v>59.75</v>
      </c>
      <c r="G38" s="100">
        <v>36.94</v>
      </c>
      <c r="H38" s="100" t="s">
        <v>10</v>
      </c>
      <c r="I38" s="100">
        <v>35.5</v>
      </c>
    </row>
    <row r="39" spans="1:9" ht="14" x14ac:dyDescent="0.3">
      <c r="A39" s="39" t="s">
        <v>56</v>
      </c>
      <c r="B39" s="100">
        <v>25.69</v>
      </c>
      <c r="C39" s="100">
        <v>37.31</v>
      </c>
      <c r="D39" s="100">
        <v>76</v>
      </c>
      <c r="E39" s="100">
        <v>32.380000000000003</v>
      </c>
      <c r="F39" s="100">
        <v>59.5</v>
      </c>
      <c r="G39" s="100">
        <v>44.88</v>
      </c>
      <c r="H39" s="100">
        <v>32</v>
      </c>
      <c r="I39" s="100">
        <v>37.18</v>
      </c>
    </row>
    <row r="40" spans="1:9" ht="14" x14ac:dyDescent="0.3">
      <c r="A40" s="39" t="s">
        <v>57</v>
      </c>
      <c r="B40" s="100">
        <v>25.27</v>
      </c>
      <c r="C40" s="100">
        <v>37.200000000000003</v>
      </c>
      <c r="D40" s="100">
        <v>74</v>
      </c>
      <c r="E40" s="100">
        <v>32.4</v>
      </c>
      <c r="F40" s="100">
        <v>62.1</v>
      </c>
      <c r="G40" s="100">
        <v>47.64</v>
      </c>
      <c r="H40" s="100">
        <v>35.5</v>
      </c>
      <c r="I40" s="100">
        <v>43.95</v>
      </c>
    </row>
    <row r="41" spans="1:9" ht="14" x14ac:dyDescent="0.3">
      <c r="A41" s="39" t="s">
        <v>58</v>
      </c>
      <c r="B41" s="100">
        <v>26.61</v>
      </c>
      <c r="C41" s="100">
        <v>36.75</v>
      </c>
      <c r="D41" s="100">
        <v>56</v>
      </c>
      <c r="E41" s="100">
        <v>36.630000000000003</v>
      </c>
      <c r="F41" s="100">
        <v>84.75</v>
      </c>
      <c r="G41" s="100">
        <v>51.34</v>
      </c>
      <c r="H41" s="100">
        <v>36.5</v>
      </c>
      <c r="I41" s="100">
        <v>41.92</v>
      </c>
    </row>
    <row r="42" spans="1:9" ht="14" x14ac:dyDescent="0.3">
      <c r="A42" s="35" t="s">
        <v>60</v>
      </c>
      <c r="B42" s="106">
        <v>28.71</v>
      </c>
      <c r="C42" s="106">
        <v>43</v>
      </c>
      <c r="D42" s="106">
        <v>56.4</v>
      </c>
      <c r="E42" s="106">
        <v>40.5</v>
      </c>
      <c r="F42" s="106">
        <v>85</v>
      </c>
      <c r="G42" s="106">
        <v>45.45</v>
      </c>
      <c r="H42" s="106" t="s">
        <v>10</v>
      </c>
      <c r="I42" s="106">
        <v>39.43</v>
      </c>
    </row>
    <row r="43" spans="1:9" ht="16.5" x14ac:dyDescent="0.3">
      <c r="A43" s="77" t="s">
        <v>138</v>
      </c>
      <c r="B43" s="113"/>
      <c r="C43" s="113"/>
      <c r="D43" s="113"/>
      <c r="E43" s="113"/>
      <c r="F43" s="113"/>
      <c r="G43" s="113"/>
      <c r="H43" s="113"/>
      <c r="I43" s="113"/>
    </row>
    <row r="44" spans="1:9" ht="16.5" x14ac:dyDescent="0.3">
      <c r="A44" s="36" t="s">
        <v>139</v>
      </c>
      <c r="B44" s="113"/>
      <c r="C44" s="113"/>
      <c r="D44" s="113"/>
      <c r="E44" s="113"/>
      <c r="F44" s="113"/>
      <c r="G44" s="113"/>
      <c r="H44" s="113"/>
      <c r="I44" s="113"/>
    </row>
    <row r="45" spans="1:9" ht="14.5" x14ac:dyDescent="0.35">
      <c r="A45" s="36" t="s">
        <v>163</v>
      </c>
      <c r="B45" s="36"/>
      <c r="C45" s="36"/>
      <c r="D45" s="36"/>
      <c r="E45" s="36"/>
      <c r="F45" s="113"/>
      <c r="G45" s="36"/>
      <c r="H45" s="36"/>
      <c r="I45" s="36"/>
    </row>
    <row r="46" spans="1:9" ht="14" x14ac:dyDescent="0.3">
      <c r="A46" s="40" t="s">
        <v>20</v>
      </c>
      <c r="B46" s="69">
        <f ca="1">NOW()</f>
        <v>44057.393124305556</v>
      </c>
      <c r="C46" s="36"/>
      <c r="D46" s="36"/>
      <c r="E46" s="36"/>
      <c r="F46" s="36"/>
      <c r="G46" s="36"/>
      <c r="H46" s="36"/>
      <c r="I46" s="36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G58" s="14"/>
      <c r="H58" s="14"/>
      <c r="I58" s="14"/>
    </row>
    <row r="59" spans="3:9" ht="15.5" x14ac:dyDescent="0.35">
      <c r="C59" s="14"/>
      <c r="G59" s="14"/>
      <c r="H59" s="14"/>
      <c r="I59" s="14"/>
    </row>
    <row r="60" spans="3:9" ht="15.5" x14ac:dyDescent="0.35">
      <c r="C60" s="14"/>
      <c r="G60" s="14"/>
      <c r="H60" s="14"/>
      <c r="I60" s="14"/>
    </row>
    <row r="61" spans="3:9" ht="15.5" x14ac:dyDescent="0.35">
      <c r="C61" s="14"/>
      <c r="G61" s="14"/>
      <c r="H61" s="14"/>
      <c r="I61" s="14"/>
    </row>
    <row r="62" spans="3:9" ht="15.5" x14ac:dyDescent="0.35">
      <c r="C62" s="14"/>
      <c r="G62" s="14"/>
      <c r="H62" s="14"/>
      <c r="I62" s="14"/>
    </row>
    <row r="63" spans="3:9" ht="15.5" x14ac:dyDescent="0.35">
      <c r="C63" s="14"/>
      <c r="H63" s="14"/>
      <c r="I63" s="14"/>
    </row>
    <row r="64" spans="3:9" ht="15.5" x14ac:dyDescent="0.35">
      <c r="C64" s="14"/>
      <c r="H64" s="14"/>
      <c r="I64" s="14"/>
    </row>
    <row r="65" spans="3:9" ht="15.5" x14ac:dyDescent="0.35">
      <c r="C65" s="14"/>
      <c r="F65" s="16"/>
      <c r="H65" s="14"/>
      <c r="I65" s="14"/>
    </row>
    <row r="66" spans="3:9" ht="15.5" x14ac:dyDescent="0.35">
      <c r="F66" s="16"/>
      <c r="H66" s="14"/>
      <c r="I66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8"/>
  <sheetViews>
    <sheetView showGridLines="0" zoomScaleNormal="100" workbookViewId="0">
      <selection activeCell="A6" sqref="A6:A16"/>
    </sheetView>
  </sheetViews>
  <sheetFormatPr defaultRowHeight="12.5" x14ac:dyDescent="0.25"/>
  <cols>
    <col min="1" max="1" width="11.7265625" customWidth="1"/>
    <col min="2" max="7" width="13.7265625" customWidth="1"/>
  </cols>
  <sheetData>
    <row r="1" spans="1:8" ht="14" x14ac:dyDescent="0.3">
      <c r="A1" s="35" t="s">
        <v>37</v>
      </c>
      <c r="B1" s="35"/>
      <c r="C1" s="35"/>
      <c r="D1" s="35"/>
      <c r="E1" s="35"/>
      <c r="F1" s="35"/>
      <c r="G1" s="35"/>
    </row>
    <row r="2" spans="1:8" ht="15.65" customHeight="1" x14ac:dyDescent="0.3">
      <c r="A2" s="39" t="s">
        <v>11</v>
      </c>
      <c r="B2" s="78" t="s">
        <v>38</v>
      </c>
      <c r="C2" s="114" t="s">
        <v>13</v>
      </c>
      <c r="D2" s="114" t="s">
        <v>80</v>
      </c>
      <c r="E2" s="114" t="s">
        <v>39</v>
      </c>
      <c r="F2" s="78" t="s">
        <v>40</v>
      </c>
      <c r="G2" s="38" t="s">
        <v>41</v>
      </c>
    </row>
    <row r="3" spans="1:8" ht="15.65" customHeight="1" x14ac:dyDescent="0.3">
      <c r="A3" s="35" t="s">
        <v>12</v>
      </c>
      <c r="B3" s="43" t="s">
        <v>130</v>
      </c>
      <c r="C3" s="43" t="s">
        <v>131</v>
      </c>
      <c r="D3" s="43" t="s">
        <v>132</v>
      </c>
      <c r="E3" s="43" t="s">
        <v>133</v>
      </c>
      <c r="F3" s="43" t="s">
        <v>134</v>
      </c>
      <c r="G3" s="43" t="s">
        <v>135</v>
      </c>
    </row>
    <row r="4" spans="1:8" ht="14.5" x14ac:dyDescent="0.35">
      <c r="A4" s="36"/>
      <c r="B4" s="55" t="s">
        <v>97</v>
      </c>
      <c r="C4" s="111"/>
      <c r="D4" s="111"/>
      <c r="E4" s="111"/>
      <c r="F4" s="111"/>
      <c r="G4" s="111"/>
    </row>
    <row r="5" spans="1:8" ht="14" x14ac:dyDescent="0.3">
      <c r="A5" s="36"/>
      <c r="B5" s="36"/>
      <c r="C5" s="36"/>
      <c r="D5" s="36"/>
      <c r="E5" s="36"/>
      <c r="F5" s="36"/>
      <c r="G5" s="36"/>
    </row>
    <row r="6" spans="1:8" ht="14" x14ac:dyDescent="0.3">
      <c r="A6" s="36" t="s">
        <v>48</v>
      </c>
      <c r="B6" s="100">
        <v>345.52</v>
      </c>
      <c r="C6" s="100">
        <v>273.83999999999997</v>
      </c>
      <c r="D6" s="100">
        <v>219.72</v>
      </c>
      <c r="E6" s="115" t="s">
        <v>10</v>
      </c>
      <c r="F6" s="100">
        <v>263.63</v>
      </c>
      <c r="G6" s="100">
        <v>240.65</v>
      </c>
      <c r="H6" s="16"/>
    </row>
    <row r="7" spans="1:8" ht="14" x14ac:dyDescent="0.3">
      <c r="A7" s="36" t="s">
        <v>59</v>
      </c>
      <c r="B7" s="100">
        <v>393.53</v>
      </c>
      <c r="C7" s="100">
        <v>275.13</v>
      </c>
      <c r="D7" s="100">
        <v>246.75</v>
      </c>
      <c r="E7" s="115" t="s">
        <v>10</v>
      </c>
      <c r="F7" s="100">
        <v>307.58999999999997</v>
      </c>
      <c r="G7" s="100">
        <v>265.68</v>
      </c>
      <c r="H7" s="16"/>
    </row>
    <row r="8" spans="1:8" ht="14" x14ac:dyDescent="0.3">
      <c r="A8" s="36" t="s">
        <v>81</v>
      </c>
      <c r="B8" s="100">
        <v>468.11</v>
      </c>
      <c r="C8" s="100">
        <v>331.52</v>
      </c>
      <c r="D8" s="100">
        <v>241.57</v>
      </c>
      <c r="E8" s="115" t="s">
        <v>10</v>
      </c>
      <c r="F8" s="100">
        <v>354.22</v>
      </c>
      <c r="G8" s="100">
        <v>329.31</v>
      </c>
      <c r="H8" s="16"/>
    </row>
    <row r="9" spans="1:8" ht="14" x14ac:dyDescent="0.3">
      <c r="A9" s="36" t="s">
        <v>88</v>
      </c>
      <c r="B9" s="100">
        <v>489.94</v>
      </c>
      <c r="C9" s="100">
        <v>377.71</v>
      </c>
      <c r="D9" s="100">
        <v>238.87</v>
      </c>
      <c r="E9" s="115" t="s">
        <v>10</v>
      </c>
      <c r="F9" s="100">
        <v>359.7</v>
      </c>
      <c r="G9" s="100">
        <v>337.23</v>
      </c>
      <c r="H9" s="16"/>
    </row>
    <row r="10" spans="1:8" ht="14" x14ac:dyDescent="0.3">
      <c r="A10" s="36" t="s">
        <v>91</v>
      </c>
      <c r="B10" s="100">
        <v>368.49</v>
      </c>
      <c r="C10" s="100">
        <v>304.27</v>
      </c>
      <c r="D10" s="100">
        <v>209.97</v>
      </c>
      <c r="E10" s="115" t="s">
        <v>10</v>
      </c>
      <c r="F10" s="100">
        <v>301.2</v>
      </c>
      <c r="G10" s="100">
        <v>256.58</v>
      </c>
      <c r="H10" s="16"/>
    </row>
    <row r="11" spans="1:8" ht="14" x14ac:dyDescent="0.3">
      <c r="A11" s="36" t="s">
        <v>92</v>
      </c>
      <c r="B11" s="100">
        <v>324.56</v>
      </c>
      <c r="C11" s="100">
        <v>261.19</v>
      </c>
      <c r="D11" s="100">
        <v>153.16999999999999</v>
      </c>
      <c r="E11" s="115" t="s">
        <v>10</v>
      </c>
      <c r="F11" s="100">
        <v>262.2</v>
      </c>
      <c r="G11" s="100">
        <v>260.23</v>
      </c>
    </row>
    <row r="12" spans="1:8" ht="14" x14ac:dyDescent="0.3">
      <c r="A12" s="36" t="s">
        <v>107</v>
      </c>
      <c r="B12" s="100">
        <v>316.88</v>
      </c>
      <c r="C12" s="100">
        <v>208.61</v>
      </c>
      <c r="D12" s="100">
        <v>145.1</v>
      </c>
      <c r="E12" s="115" t="s">
        <v>10</v>
      </c>
      <c r="F12" s="100">
        <v>267.94</v>
      </c>
      <c r="G12" s="100">
        <v>282.49</v>
      </c>
    </row>
    <row r="13" spans="1:8" ht="14" x14ac:dyDescent="0.3">
      <c r="A13" s="36" t="s">
        <v>109</v>
      </c>
      <c r="B13" s="100">
        <v>345.02</v>
      </c>
      <c r="C13" s="100">
        <v>260.88</v>
      </c>
      <c r="D13" s="100">
        <v>173.53</v>
      </c>
      <c r="E13" s="115" t="s">
        <v>10</v>
      </c>
      <c r="F13" s="100">
        <v>291.14999999999998</v>
      </c>
      <c r="G13" s="100">
        <v>239.15</v>
      </c>
    </row>
    <row r="14" spans="1:8" ht="14" x14ac:dyDescent="0.3">
      <c r="A14" s="36" t="s">
        <v>142</v>
      </c>
      <c r="B14" s="100">
        <v>308.27999999999997</v>
      </c>
      <c r="C14" s="100">
        <v>228.64</v>
      </c>
      <c r="D14" s="121">
        <v>164.16</v>
      </c>
      <c r="E14" s="115" t="s">
        <v>10</v>
      </c>
      <c r="F14" s="100">
        <v>272.38</v>
      </c>
      <c r="G14" s="100">
        <v>225.77</v>
      </c>
    </row>
    <row r="15" spans="1:8" ht="16.5" x14ac:dyDescent="0.3">
      <c r="A15" s="36" t="s">
        <v>145</v>
      </c>
      <c r="B15" s="100">
        <v>300</v>
      </c>
      <c r="C15" s="100">
        <v>247.5</v>
      </c>
      <c r="D15" s="121">
        <v>182.5</v>
      </c>
      <c r="E15" s="115" t="s">
        <v>10</v>
      </c>
      <c r="F15" s="100">
        <v>270</v>
      </c>
      <c r="G15" s="100">
        <v>250</v>
      </c>
    </row>
    <row r="16" spans="1:8" ht="16.5" x14ac:dyDescent="0.3">
      <c r="A16" s="36" t="s">
        <v>159</v>
      </c>
      <c r="B16" s="100">
        <v>290</v>
      </c>
      <c r="C16" s="100">
        <v>230</v>
      </c>
      <c r="D16" s="121">
        <v>150</v>
      </c>
      <c r="E16" s="115" t="s">
        <v>10</v>
      </c>
      <c r="F16" s="100">
        <v>235</v>
      </c>
      <c r="G16" s="100">
        <v>215</v>
      </c>
    </row>
    <row r="17" spans="1:13" ht="14" x14ac:dyDescent="0.3">
      <c r="A17" s="116"/>
      <c r="B17" s="100"/>
      <c r="C17" s="100"/>
      <c r="D17" s="100"/>
      <c r="E17" s="115"/>
      <c r="F17" s="100"/>
      <c r="G17" s="100"/>
      <c r="H17" s="13"/>
    </row>
    <row r="18" spans="1:13" ht="14" x14ac:dyDescent="0.3">
      <c r="A18" s="36" t="s">
        <v>142</v>
      </c>
      <c r="B18" s="100"/>
      <c r="C18" s="100"/>
      <c r="D18" s="100"/>
      <c r="E18" s="115"/>
      <c r="F18" s="100"/>
      <c r="G18" s="100"/>
      <c r="I18" s="6"/>
      <c r="J18" s="6"/>
      <c r="K18" s="6"/>
      <c r="L18" s="6"/>
      <c r="M18" s="6"/>
    </row>
    <row r="19" spans="1:13" ht="14" x14ac:dyDescent="0.3">
      <c r="A19" s="116" t="s">
        <v>50</v>
      </c>
      <c r="B19" s="100">
        <v>319.14999999999998</v>
      </c>
      <c r="C19" s="100">
        <v>249</v>
      </c>
      <c r="D19" s="100">
        <v>164</v>
      </c>
      <c r="E19" s="115" t="s">
        <v>10</v>
      </c>
      <c r="F19" s="100">
        <v>279.39999999999998</v>
      </c>
      <c r="G19" s="100">
        <v>196.5</v>
      </c>
      <c r="I19" s="6"/>
      <c r="J19" s="6"/>
      <c r="K19" s="6"/>
      <c r="L19" s="6"/>
      <c r="M19" s="6"/>
    </row>
    <row r="20" spans="1:13" ht="14" x14ac:dyDescent="0.3">
      <c r="A20" s="116" t="s">
        <v>51</v>
      </c>
      <c r="B20" s="100">
        <v>310.61500000000001</v>
      </c>
      <c r="C20" s="100">
        <v>240</v>
      </c>
      <c r="D20" s="100">
        <v>171.25</v>
      </c>
      <c r="E20" s="115" t="s">
        <v>10</v>
      </c>
      <c r="F20" s="100">
        <v>279.16250000000002</v>
      </c>
      <c r="G20" s="100">
        <v>209.38</v>
      </c>
      <c r="I20" s="6"/>
      <c r="J20" s="6"/>
      <c r="K20" s="6"/>
      <c r="L20" s="6"/>
      <c r="M20" s="6"/>
    </row>
    <row r="21" spans="1:13" ht="14" x14ac:dyDescent="0.3">
      <c r="A21" s="36" t="s">
        <v>52</v>
      </c>
      <c r="B21" s="100">
        <v>311.7</v>
      </c>
      <c r="C21" s="100">
        <v>243.75</v>
      </c>
      <c r="D21" s="100">
        <v>187.5</v>
      </c>
      <c r="E21" s="115" t="s">
        <v>10</v>
      </c>
      <c r="F21" s="100">
        <v>291.42</v>
      </c>
      <c r="G21" s="100">
        <v>225.83</v>
      </c>
      <c r="I21" s="6"/>
      <c r="J21" s="6"/>
      <c r="K21" s="6"/>
      <c r="L21" s="6"/>
      <c r="M21" s="6"/>
    </row>
    <row r="22" spans="1:13" ht="14" x14ac:dyDescent="0.3">
      <c r="A22" s="36" t="s">
        <v>53</v>
      </c>
      <c r="B22" s="100">
        <v>314.92</v>
      </c>
      <c r="C22" s="100">
        <v>247.5</v>
      </c>
      <c r="D22" s="100">
        <v>190.5</v>
      </c>
      <c r="E22" s="115" t="s">
        <v>10</v>
      </c>
      <c r="F22" s="100" t="s">
        <v>10</v>
      </c>
      <c r="G22" s="100">
        <v>219</v>
      </c>
      <c r="I22" s="6"/>
      <c r="J22" s="6"/>
      <c r="K22" s="6"/>
      <c r="L22" s="6"/>
      <c r="M22" s="6"/>
    </row>
    <row r="23" spans="1:13" ht="14" x14ac:dyDescent="0.3">
      <c r="A23" s="36" t="s">
        <v>54</v>
      </c>
      <c r="B23" s="100">
        <v>306.83</v>
      </c>
      <c r="C23" s="100">
        <v>235</v>
      </c>
      <c r="D23" s="100">
        <v>187.5</v>
      </c>
      <c r="E23" s="115" t="s">
        <v>10</v>
      </c>
      <c r="F23" s="100" t="s">
        <v>10</v>
      </c>
      <c r="G23" s="100">
        <v>225</v>
      </c>
      <c r="I23" s="6"/>
      <c r="J23" s="6"/>
      <c r="K23" s="6"/>
      <c r="L23" s="6"/>
      <c r="M23" s="6"/>
    </row>
    <row r="24" spans="1:13" ht="14" x14ac:dyDescent="0.3">
      <c r="A24" s="36" t="s">
        <v>55</v>
      </c>
      <c r="B24" s="100">
        <v>306.38</v>
      </c>
      <c r="C24" s="100">
        <v>226.25</v>
      </c>
      <c r="D24" s="100">
        <v>189.38</v>
      </c>
      <c r="E24" s="115" t="s">
        <v>10</v>
      </c>
      <c r="F24" s="100" t="s">
        <v>10</v>
      </c>
      <c r="G24" s="100">
        <v>235.63</v>
      </c>
      <c r="I24" s="6"/>
      <c r="J24" s="6"/>
      <c r="K24" s="6"/>
      <c r="L24" s="6"/>
      <c r="M24" s="6"/>
    </row>
    <row r="25" spans="1:13" ht="14" x14ac:dyDescent="0.3">
      <c r="A25" s="36" t="s">
        <v>56</v>
      </c>
      <c r="B25" s="100">
        <v>304.26</v>
      </c>
      <c r="C25" s="100">
        <v>216.5</v>
      </c>
      <c r="D25" s="100">
        <v>166.5</v>
      </c>
      <c r="E25" s="115" t="s">
        <v>10</v>
      </c>
      <c r="F25" s="100" t="s">
        <v>10</v>
      </c>
      <c r="G25" s="100">
        <v>241.5</v>
      </c>
      <c r="I25" s="6"/>
      <c r="J25" s="6"/>
      <c r="K25" s="6"/>
      <c r="L25" s="6"/>
      <c r="M25" s="6"/>
    </row>
    <row r="26" spans="1:13" ht="14" x14ac:dyDescent="0.3">
      <c r="A26" s="36" t="s">
        <v>57</v>
      </c>
      <c r="B26" s="100">
        <v>297.52</v>
      </c>
      <c r="C26" s="100">
        <v>215</v>
      </c>
      <c r="D26" s="100">
        <v>141.25</v>
      </c>
      <c r="E26" s="115" t="s">
        <v>10</v>
      </c>
      <c r="F26" s="100">
        <v>259.55</v>
      </c>
      <c r="G26" s="100">
        <v>233.75</v>
      </c>
      <c r="I26" s="6"/>
      <c r="J26" s="6"/>
      <c r="K26" s="6"/>
      <c r="L26" s="6"/>
      <c r="M26" s="6"/>
    </row>
    <row r="27" spans="1:13" ht="14" x14ac:dyDescent="0.3">
      <c r="A27" s="36" t="s">
        <v>58</v>
      </c>
      <c r="B27" s="100">
        <v>324.75</v>
      </c>
      <c r="C27" s="100">
        <v>215.63</v>
      </c>
      <c r="D27" s="100">
        <v>143.13</v>
      </c>
      <c r="E27" s="115" t="s">
        <v>10</v>
      </c>
      <c r="F27" s="100">
        <v>278.76</v>
      </c>
      <c r="G27" s="100">
        <v>228.88</v>
      </c>
      <c r="I27" s="6"/>
      <c r="J27" s="6"/>
      <c r="K27" s="6"/>
      <c r="L27" s="6"/>
      <c r="M27" s="6"/>
    </row>
    <row r="28" spans="1:13" ht="14" x14ac:dyDescent="0.3">
      <c r="A28" s="36" t="s">
        <v>60</v>
      </c>
      <c r="B28" s="100">
        <v>310.77</v>
      </c>
      <c r="C28" s="100">
        <v>218</v>
      </c>
      <c r="D28" s="100">
        <v>142</v>
      </c>
      <c r="E28" s="115" t="s">
        <v>10</v>
      </c>
      <c r="F28" s="100">
        <v>265.45</v>
      </c>
      <c r="G28" s="100">
        <v>232.5</v>
      </c>
      <c r="I28" s="6"/>
      <c r="J28" s="6"/>
      <c r="K28" s="6"/>
      <c r="L28" s="6"/>
      <c r="M28" s="6"/>
    </row>
    <row r="29" spans="1:13" ht="14" x14ac:dyDescent="0.3">
      <c r="A29" s="36" t="s">
        <v>61</v>
      </c>
      <c r="B29" s="100">
        <v>296.92</v>
      </c>
      <c r="C29" s="100">
        <v>221.25</v>
      </c>
      <c r="D29" s="100">
        <v>144.38</v>
      </c>
      <c r="E29" s="115" t="s">
        <v>10</v>
      </c>
      <c r="F29" s="100" t="s">
        <v>10</v>
      </c>
      <c r="G29" s="100">
        <v>235</v>
      </c>
      <c r="I29" s="6"/>
      <c r="J29" s="6"/>
      <c r="K29" s="6"/>
      <c r="L29" s="6"/>
      <c r="M29" s="6"/>
    </row>
    <row r="30" spans="1:13" ht="14" x14ac:dyDescent="0.3">
      <c r="A30" s="36" t="s">
        <v>63</v>
      </c>
      <c r="B30" s="100">
        <v>295.57</v>
      </c>
      <c r="C30" s="100">
        <v>215.83</v>
      </c>
      <c r="D30" s="100">
        <v>142.5</v>
      </c>
      <c r="E30" s="115" t="s">
        <v>10</v>
      </c>
      <c r="F30" s="100">
        <v>253.03</v>
      </c>
      <c r="G30" s="100">
        <v>226.25</v>
      </c>
      <c r="I30" s="6"/>
      <c r="J30" s="6"/>
      <c r="K30" s="6"/>
      <c r="L30" s="6"/>
      <c r="M30" s="6"/>
    </row>
    <row r="31" spans="1:13" ht="14" x14ac:dyDescent="0.3">
      <c r="A31" s="116"/>
      <c r="B31" s="100"/>
      <c r="C31" s="100"/>
      <c r="D31" s="100"/>
      <c r="E31" s="115"/>
      <c r="F31" s="100"/>
      <c r="G31" s="100"/>
      <c r="I31" s="6"/>
      <c r="J31" s="6"/>
      <c r="K31" s="6"/>
      <c r="L31" s="6"/>
      <c r="M31" s="6"/>
    </row>
    <row r="32" spans="1:13" ht="14" x14ac:dyDescent="0.3">
      <c r="A32" s="36" t="s">
        <v>147</v>
      </c>
      <c r="B32" s="100"/>
      <c r="C32" s="100"/>
      <c r="D32" s="100"/>
      <c r="E32" s="115"/>
      <c r="F32" s="100"/>
      <c r="G32" s="100"/>
      <c r="I32" s="6"/>
      <c r="J32" s="6"/>
      <c r="K32" s="6"/>
      <c r="L32" s="6"/>
      <c r="M32" s="6"/>
    </row>
    <row r="33" spans="1:13" ht="14" x14ac:dyDescent="0.3">
      <c r="A33" s="36" t="s">
        <v>50</v>
      </c>
      <c r="B33" s="100">
        <v>309.48</v>
      </c>
      <c r="C33" s="100">
        <v>213.13</v>
      </c>
      <c r="D33" s="100">
        <v>169</v>
      </c>
      <c r="E33" s="115" t="s">
        <v>10</v>
      </c>
      <c r="F33" s="100">
        <v>267.89999999999998</v>
      </c>
      <c r="G33" s="100">
        <v>226.5</v>
      </c>
      <c r="I33" s="6"/>
      <c r="J33" s="6"/>
      <c r="K33" s="6"/>
      <c r="L33" s="6"/>
      <c r="M33" s="6"/>
    </row>
    <row r="34" spans="1:13" ht="14" x14ac:dyDescent="0.3">
      <c r="A34" s="36" t="s">
        <v>51</v>
      </c>
      <c r="B34" s="100">
        <v>303.13</v>
      </c>
      <c r="C34" s="100">
        <v>233.75</v>
      </c>
      <c r="D34" s="100">
        <v>166.88</v>
      </c>
      <c r="E34" s="115" t="s">
        <v>10</v>
      </c>
      <c r="F34" s="100" t="s">
        <v>10</v>
      </c>
      <c r="G34" s="100">
        <v>226.88</v>
      </c>
      <c r="I34" s="6"/>
      <c r="J34" s="6"/>
      <c r="K34" s="6"/>
      <c r="L34" s="6"/>
      <c r="M34" s="6"/>
    </row>
    <row r="35" spans="1:13" ht="14" x14ac:dyDescent="0.3">
      <c r="A35" s="36" t="s">
        <v>52</v>
      </c>
      <c r="B35" s="100">
        <v>299.58999999999997</v>
      </c>
      <c r="C35" s="100">
        <v>250.83</v>
      </c>
      <c r="D35" s="100">
        <v>180</v>
      </c>
      <c r="E35" s="115" t="s">
        <v>10</v>
      </c>
      <c r="F35" s="100" t="s">
        <v>10</v>
      </c>
      <c r="G35" s="100">
        <f>(235+227.5+232.5)/3</f>
        <v>231.66666666666666</v>
      </c>
      <c r="I35" s="6"/>
      <c r="J35" s="6"/>
      <c r="K35" s="6"/>
      <c r="L35" s="6"/>
      <c r="M35" s="6"/>
    </row>
    <row r="36" spans="1:13" ht="14" x14ac:dyDescent="0.3">
      <c r="A36" s="36" t="s">
        <v>53</v>
      </c>
      <c r="B36" s="100">
        <v>300.11</v>
      </c>
      <c r="C36" s="100">
        <v>239.38</v>
      </c>
      <c r="D36" s="100">
        <v>185</v>
      </c>
      <c r="E36" s="115" t="s">
        <v>10</v>
      </c>
      <c r="F36" s="100" t="s">
        <v>10</v>
      </c>
      <c r="G36" s="100">
        <v>248.13</v>
      </c>
      <c r="I36" s="6"/>
      <c r="J36" s="6"/>
      <c r="K36" s="6"/>
      <c r="L36" s="6"/>
      <c r="M36" s="6"/>
    </row>
    <row r="37" spans="1:13" ht="14" x14ac:dyDescent="0.3">
      <c r="A37" s="36" t="s">
        <v>54</v>
      </c>
      <c r="B37" s="100">
        <v>295.27999999999997</v>
      </c>
      <c r="C37" s="100">
        <v>250.63</v>
      </c>
      <c r="D37" s="100">
        <v>188.13</v>
      </c>
      <c r="E37" s="115" t="s">
        <v>10</v>
      </c>
      <c r="F37" s="100">
        <v>253.67</v>
      </c>
      <c r="G37" s="100">
        <v>262.5</v>
      </c>
      <c r="I37" s="6"/>
      <c r="J37" s="6"/>
      <c r="K37" s="6"/>
      <c r="L37" s="6"/>
      <c r="M37" s="6"/>
    </row>
    <row r="38" spans="1:13" ht="14" x14ac:dyDescent="0.3">
      <c r="A38" s="36" t="s">
        <v>55</v>
      </c>
      <c r="B38" s="100">
        <v>312.38</v>
      </c>
      <c r="C38" s="100">
        <v>259</v>
      </c>
      <c r="D38" s="100">
        <v>180</v>
      </c>
      <c r="E38" s="115" t="s">
        <v>10</v>
      </c>
      <c r="F38" s="100">
        <v>274.75</v>
      </c>
      <c r="G38" s="100">
        <v>263</v>
      </c>
      <c r="I38" s="6"/>
      <c r="J38" s="6"/>
      <c r="K38" s="6"/>
      <c r="L38" s="6"/>
      <c r="M38" s="6"/>
    </row>
    <row r="39" spans="1:13" ht="14" x14ac:dyDescent="0.3">
      <c r="A39" s="36" t="s">
        <v>56</v>
      </c>
      <c r="B39" s="100">
        <v>295.39999999999998</v>
      </c>
      <c r="C39" s="100">
        <v>281.88</v>
      </c>
      <c r="D39" s="100">
        <v>183.75</v>
      </c>
      <c r="E39" s="115" t="s">
        <v>10</v>
      </c>
      <c r="F39" s="100">
        <v>274.52999999999997</v>
      </c>
      <c r="G39" s="100">
        <v>260</v>
      </c>
      <c r="I39" s="6"/>
      <c r="J39" s="6"/>
      <c r="K39" s="6"/>
      <c r="L39" s="6"/>
      <c r="M39" s="6"/>
    </row>
    <row r="40" spans="1:13" ht="14" x14ac:dyDescent="0.3">
      <c r="A40" s="36" t="s">
        <v>57</v>
      </c>
      <c r="B40" s="100">
        <v>288.56</v>
      </c>
      <c r="C40" s="100">
        <v>251.88</v>
      </c>
      <c r="D40" s="100">
        <v>180.63</v>
      </c>
      <c r="E40" s="115" t="s">
        <v>10</v>
      </c>
      <c r="F40" s="100">
        <v>276.25</v>
      </c>
      <c r="G40" s="100">
        <v>257.5</v>
      </c>
      <c r="I40" s="6"/>
      <c r="J40" s="6"/>
      <c r="K40" s="6"/>
      <c r="L40" s="6"/>
      <c r="M40" s="6"/>
    </row>
    <row r="41" spans="1:13" ht="14" x14ac:dyDescent="0.3">
      <c r="A41" s="36" t="s">
        <v>58</v>
      </c>
      <c r="B41" s="100">
        <v>288.66000000000003</v>
      </c>
      <c r="C41" s="100">
        <v>245.5</v>
      </c>
      <c r="D41" s="100">
        <v>187.5</v>
      </c>
      <c r="E41" s="115" t="s">
        <v>10</v>
      </c>
      <c r="F41" s="100">
        <v>270.02999999999997</v>
      </c>
      <c r="G41" s="100">
        <v>245.63</v>
      </c>
      <c r="I41" s="6"/>
      <c r="J41" s="6"/>
      <c r="K41" s="6"/>
      <c r="L41" s="6"/>
      <c r="M41" s="6"/>
    </row>
    <row r="42" spans="1:13" ht="14" x14ac:dyDescent="0.3">
      <c r="A42" s="35" t="s">
        <v>60</v>
      </c>
      <c r="B42" s="106">
        <v>291.25</v>
      </c>
      <c r="C42" s="106">
        <v>245</v>
      </c>
      <c r="D42" s="106">
        <v>202.5</v>
      </c>
      <c r="E42" s="117" t="s">
        <v>10</v>
      </c>
      <c r="F42" s="106">
        <v>271.11</v>
      </c>
      <c r="G42" s="106">
        <v>250</v>
      </c>
      <c r="I42" s="6"/>
      <c r="J42" s="6"/>
      <c r="K42" s="6"/>
      <c r="L42" s="6"/>
      <c r="M42" s="6"/>
    </row>
    <row r="43" spans="1:13" ht="16.5" x14ac:dyDescent="0.3">
      <c r="A43" s="77" t="s">
        <v>140</v>
      </c>
      <c r="B43" s="118"/>
      <c r="C43" s="118"/>
      <c r="D43" s="118"/>
      <c r="E43" s="118"/>
      <c r="F43" s="118"/>
      <c r="G43" s="118"/>
      <c r="I43" s="11"/>
      <c r="J43" s="6"/>
      <c r="K43" s="6"/>
      <c r="L43" s="6"/>
      <c r="M43" s="6"/>
    </row>
    <row r="44" spans="1:13" ht="16.5" x14ac:dyDescent="0.3">
      <c r="A44" s="77" t="s">
        <v>136</v>
      </c>
      <c r="B44" s="119"/>
      <c r="C44" s="119"/>
      <c r="D44" s="119"/>
      <c r="E44" s="119"/>
      <c r="F44" s="119"/>
      <c r="G44" s="119"/>
      <c r="I44" s="11"/>
      <c r="J44" s="6"/>
      <c r="K44" s="6"/>
      <c r="L44" s="6"/>
      <c r="M44" s="6"/>
    </row>
    <row r="45" spans="1:13" ht="14" x14ac:dyDescent="0.3">
      <c r="A45" s="36" t="s">
        <v>49</v>
      </c>
      <c r="B45" s="119"/>
      <c r="C45" s="119"/>
      <c r="D45" s="119"/>
      <c r="E45" s="119"/>
      <c r="F45" s="119"/>
      <c r="G45" s="119"/>
      <c r="H45" s="1"/>
      <c r="I45" s="11"/>
      <c r="J45" s="6"/>
      <c r="K45" s="6"/>
      <c r="L45" s="6"/>
      <c r="M45" s="6"/>
    </row>
    <row r="46" spans="1:13" ht="14.5" x14ac:dyDescent="0.35">
      <c r="A46" s="36" t="s">
        <v>137</v>
      </c>
      <c r="B46" s="36"/>
      <c r="C46" s="36"/>
      <c r="D46" s="36"/>
      <c r="E46" s="36"/>
      <c r="F46" s="119"/>
      <c r="G46" s="119"/>
      <c r="I46" s="11"/>
      <c r="J46" s="6"/>
      <c r="K46" s="6"/>
      <c r="L46" s="6"/>
      <c r="M46" s="6"/>
    </row>
    <row r="47" spans="1:13" ht="14" x14ac:dyDescent="0.3">
      <c r="A47" s="40" t="s">
        <v>20</v>
      </c>
      <c r="B47" s="69">
        <f ca="1">NOW()</f>
        <v>44057.393124305556</v>
      </c>
      <c r="C47" s="36"/>
      <c r="D47" s="36"/>
      <c r="E47" s="36"/>
      <c r="F47" s="119"/>
      <c r="G47" s="119"/>
      <c r="I47" s="12"/>
      <c r="J47" s="8"/>
      <c r="K47" s="8"/>
      <c r="L47" s="8"/>
      <c r="M47" s="8"/>
    </row>
    <row r="48" spans="1:13" ht="14" x14ac:dyDescent="0.3">
      <c r="F48" s="119"/>
      <c r="G48" s="119"/>
      <c r="I48" s="12"/>
      <c r="J48" s="8"/>
      <c r="K48" s="8"/>
      <c r="L48" s="8"/>
      <c r="M48" s="8"/>
    </row>
    <row r="49" spans="6:13" ht="14" x14ac:dyDescent="0.3">
      <c r="F49" s="119"/>
      <c r="G49" s="119"/>
      <c r="I49" s="11"/>
      <c r="J49" s="11"/>
      <c r="K49" s="6"/>
      <c r="L49" s="6"/>
      <c r="M49" s="6"/>
    </row>
    <row r="50" spans="6:13" x14ac:dyDescent="0.25">
      <c r="I50" s="11"/>
      <c r="J50" s="11"/>
      <c r="K50" s="6"/>
      <c r="L50" s="6"/>
      <c r="M50" s="6"/>
    </row>
    <row r="51" spans="6:13" x14ac:dyDescent="0.25">
      <c r="I51" s="11"/>
      <c r="J51" s="11"/>
      <c r="K51" s="6"/>
      <c r="L51" s="6"/>
      <c r="M51" s="6"/>
    </row>
    <row r="52" spans="6:13" x14ac:dyDescent="0.25">
      <c r="I52" s="11"/>
      <c r="J52" s="11"/>
      <c r="K52" s="6"/>
      <c r="L52" s="6"/>
      <c r="M52" s="6"/>
    </row>
    <row r="53" spans="6:13" x14ac:dyDescent="0.25">
      <c r="I53" s="11"/>
      <c r="J53" s="11"/>
      <c r="K53" s="6"/>
      <c r="L53" s="6"/>
      <c r="M53" s="6"/>
    </row>
    <row r="54" spans="6:13" x14ac:dyDescent="0.25">
      <c r="I54" s="11"/>
      <c r="J54" s="11"/>
      <c r="K54" s="6"/>
      <c r="L54" s="6"/>
      <c r="M54" s="6"/>
    </row>
    <row r="56" spans="6:13" x14ac:dyDescent="0.25">
      <c r="I56" s="9"/>
      <c r="J56" s="9"/>
      <c r="K56" s="9"/>
      <c r="L56" s="9"/>
      <c r="M56" s="9"/>
    </row>
    <row r="57" spans="6:13" x14ac:dyDescent="0.25">
      <c r="I57" s="9"/>
      <c r="J57" s="9"/>
      <c r="K57" s="9"/>
      <c r="L57" s="9"/>
      <c r="M57" s="9"/>
    </row>
    <row r="58" spans="6:13" x14ac:dyDescent="0.25">
      <c r="J58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53"/>
  <sheetViews>
    <sheetView workbookViewId="0">
      <selection activeCell="B3" sqref="B3"/>
    </sheetView>
  </sheetViews>
  <sheetFormatPr defaultRowHeight="12.5" x14ac:dyDescent="0.25"/>
  <cols>
    <col min="1" max="1" width="17" style="150" customWidth="1"/>
    <col min="2" max="6" width="10.7265625" style="155" customWidth="1"/>
    <col min="7" max="7" width="10.7265625" style="1" customWidth="1"/>
    <col min="9" max="9" width="10.7265625" style="16" bestFit="1" customWidth="1"/>
  </cols>
  <sheetData>
    <row r="1" spans="1:15" x14ac:dyDescent="0.25">
      <c r="A1" s="135" t="s">
        <v>180</v>
      </c>
      <c r="B1" s="135"/>
      <c r="C1" s="135"/>
      <c r="D1" s="135"/>
      <c r="E1" s="135"/>
      <c r="H1" s="135"/>
      <c r="I1" s="122"/>
      <c r="L1" s="10"/>
      <c r="M1" s="19"/>
    </row>
    <row r="2" spans="1:15" ht="14" x14ac:dyDescent="0.3">
      <c r="A2" s="135" t="s">
        <v>179</v>
      </c>
      <c r="B2" s="135"/>
      <c r="C2" s="135"/>
      <c r="D2" s="135"/>
      <c r="E2" s="135"/>
      <c r="I2" s="36"/>
    </row>
    <row r="3" spans="1:15" ht="14" x14ac:dyDescent="0.3">
      <c r="B3" s="36"/>
      <c r="C3" s="36"/>
      <c r="D3" s="36"/>
      <c r="E3" s="36"/>
      <c r="H3" s="135"/>
      <c r="I3"/>
    </row>
    <row r="4" spans="1:15" ht="15.5" x14ac:dyDescent="0.35">
      <c r="A4" s="36" t="s">
        <v>181</v>
      </c>
      <c r="B4" s="166">
        <v>38.087089824328807</v>
      </c>
      <c r="C4" s="135"/>
      <c r="D4" s="135"/>
      <c r="E4" s="135"/>
      <c r="H4" s="144"/>
      <c r="I4" s="129"/>
      <c r="L4" s="131"/>
      <c r="M4" s="132"/>
    </row>
    <row r="5" spans="1:15" ht="15.5" x14ac:dyDescent="0.35">
      <c r="A5" s="36" t="s">
        <v>182</v>
      </c>
      <c r="B5" s="166">
        <v>39.61194929770469</v>
      </c>
      <c r="C5" s="166"/>
      <c r="D5" s="166"/>
      <c r="E5" s="165"/>
      <c r="H5" s="144"/>
      <c r="I5" s="129"/>
      <c r="L5" s="131"/>
      <c r="M5" s="132"/>
    </row>
    <row r="6" spans="1:15" ht="15.5" x14ac:dyDescent="0.35">
      <c r="A6" s="36" t="s">
        <v>183</v>
      </c>
      <c r="B6" s="166">
        <v>38.017393823192684</v>
      </c>
      <c r="C6" s="166"/>
      <c r="D6" s="166"/>
      <c r="E6" s="165"/>
      <c r="H6" s="144"/>
      <c r="I6" s="129"/>
      <c r="L6" s="131"/>
      <c r="M6" s="132"/>
    </row>
    <row r="7" spans="1:15" ht="15.5" x14ac:dyDescent="0.35">
      <c r="A7" s="36" t="s">
        <v>184</v>
      </c>
      <c r="B7" s="166">
        <v>33.857345880015451</v>
      </c>
      <c r="C7" s="166"/>
      <c r="D7" s="166"/>
      <c r="E7" s="165"/>
      <c r="H7" s="144"/>
      <c r="I7" s="129"/>
      <c r="L7" s="131"/>
      <c r="M7" s="132"/>
    </row>
    <row r="8" spans="1:15" ht="15.5" x14ac:dyDescent="0.35">
      <c r="A8" s="36" t="s">
        <v>185</v>
      </c>
      <c r="B8" s="166">
        <v>42.237350928905592</v>
      </c>
      <c r="C8" s="166"/>
      <c r="D8" s="166"/>
      <c r="E8" s="165"/>
      <c r="H8" s="144"/>
      <c r="I8" s="129"/>
      <c r="L8" s="131"/>
      <c r="M8" s="132"/>
    </row>
    <row r="9" spans="1:15" ht="15.5" x14ac:dyDescent="0.35">
      <c r="A9" s="36" t="s">
        <v>186</v>
      </c>
      <c r="B9" s="166">
        <v>43.06384471796887</v>
      </c>
      <c r="C9" s="166"/>
      <c r="D9" s="166"/>
      <c r="E9" s="165"/>
      <c r="H9" s="144"/>
      <c r="I9" s="129"/>
      <c r="K9" s="132"/>
      <c r="L9" s="131"/>
      <c r="M9" s="132"/>
    </row>
    <row r="10" spans="1:15" ht="15.5" x14ac:dyDescent="0.35">
      <c r="A10" s="36" t="s">
        <v>187</v>
      </c>
      <c r="B10" s="166">
        <v>42.850406155330958</v>
      </c>
      <c r="C10" s="166"/>
      <c r="D10" s="166"/>
      <c r="E10" s="165"/>
      <c r="H10" s="144"/>
      <c r="I10" s="129"/>
      <c r="K10" s="132"/>
      <c r="L10" s="131"/>
      <c r="M10" s="132"/>
    </row>
    <row r="11" spans="1:15" ht="15.5" x14ac:dyDescent="0.35">
      <c r="A11" s="36" t="s">
        <v>188</v>
      </c>
      <c r="B11" s="166">
        <v>41.734745736289092</v>
      </c>
      <c r="C11" s="166"/>
      <c r="D11" s="166"/>
      <c r="E11" s="165"/>
      <c r="H11" s="144"/>
      <c r="I11" s="129"/>
      <c r="K11" s="132"/>
      <c r="L11" s="131"/>
    </row>
    <row r="12" spans="1:15" ht="15.5" x14ac:dyDescent="0.35">
      <c r="A12" s="36" t="s">
        <v>189</v>
      </c>
      <c r="B12" s="166">
        <v>39.729074329481392</v>
      </c>
      <c r="C12" s="166"/>
      <c r="D12" s="166"/>
      <c r="E12" s="165"/>
      <c r="H12" s="144"/>
      <c r="I12" s="129"/>
      <c r="K12" s="132"/>
      <c r="L12" s="131"/>
    </row>
    <row r="13" spans="1:15" ht="15.5" x14ac:dyDescent="0.35">
      <c r="A13" s="36" t="s">
        <v>190</v>
      </c>
      <c r="B13" s="166">
        <v>44.007371811658722</v>
      </c>
      <c r="C13" s="166"/>
      <c r="D13" s="166"/>
      <c r="E13" s="165"/>
      <c r="H13" s="144"/>
      <c r="I13" s="129"/>
      <c r="K13" s="132"/>
      <c r="L13" s="131"/>
    </row>
    <row r="14" spans="1:15" ht="15.5" x14ac:dyDescent="0.35">
      <c r="A14" s="36" t="s">
        <v>48</v>
      </c>
      <c r="B14" s="166">
        <v>43.483957707871035</v>
      </c>
      <c r="C14" s="166"/>
      <c r="D14" s="166"/>
      <c r="E14" s="165"/>
      <c r="H14" s="144"/>
      <c r="I14" s="129"/>
      <c r="K14" s="132"/>
      <c r="L14" s="131"/>
    </row>
    <row r="15" spans="1:15" ht="15.5" x14ac:dyDescent="0.35">
      <c r="A15" s="36" t="s">
        <v>59</v>
      </c>
      <c r="B15" s="166">
        <v>41.980847430058553</v>
      </c>
      <c r="C15" s="166"/>
      <c r="D15" s="166"/>
      <c r="E15" s="165"/>
      <c r="H15" s="144"/>
      <c r="I15" s="132"/>
      <c r="K15" s="132"/>
    </row>
    <row r="16" spans="1:15" ht="15.5" x14ac:dyDescent="0.35">
      <c r="A16" s="36" t="s">
        <v>81</v>
      </c>
      <c r="B16" s="166">
        <v>39.951197730615675</v>
      </c>
      <c r="C16" s="166"/>
      <c r="D16" s="166"/>
      <c r="E16" s="165"/>
      <c r="H16" s="130"/>
      <c r="I16" s="132"/>
      <c r="M16" s="129"/>
      <c r="N16" s="129"/>
      <c r="O16" s="129"/>
    </row>
    <row r="17" spans="1:14" ht="15.5" x14ac:dyDescent="0.35">
      <c r="A17" s="36" t="s">
        <v>88</v>
      </c>
      <c r="B17" s="166">
        <v>44.036099851770231</v>
      </c>
      <c r="C17" s="163"/>
      <c r="D17" s="163"/>
      <c r="E17" s="163"/>
      <c r="F17" s="163"/>
      <c r="G17" s="163"/>
      <c r="H17" s="130"/>
      <c r="I17" s="132"/>
      <c r="M17" s="13"/>
      <c r="N17" s="13"/>
    </row>
    <row r="18" spans="1:14" ht="15.5" x14ac:dyDescent="0.35">
      <c r="A18" s="36" t="s">
        <v>91</v>
      </c>
      <c r="B18" s="166">
        <v>47.548994685937707</v>
      </c>
      <c r="C18" s="163"/>
      <c r="D18" s="163"/>
      <c r="E18" s="163"/>
      <c r="F18" s="163"/>
      <c r="G18" s="163"/>
      <c r="H18" s="130"/>
      <c r="I18" s="132"/>
      <c r="K18" s="131"/>
      <c r="L18" s="131"/>
      <c r="M18" s="13"/>
      <c r="N18" s="13"/>
    </row>
    <row r="19" spans="1:14" ht="15.5" x14ac:dyDescent="0.35">
      <c r="A19" s="36" t="s">
        <v>92</v>
      </c>
      <c r="B19" s="166">
        <v>48.038694918157127</v>
      </c>
      <c r="C19" s="163"/>
      <c r="D19" s="163"/>
      <c r="E19" s="163"/>
      <c r="F19" s="163"/>
      <c r="G19" s="163"/>
      <c r="H19" s="130"/>
      <c r="I19" s="132"/>
      <c r="K19" s="9"/>
      <c r="L19" s="131"/>
      <c r="M19" s="13"/>
      <c r="N19" s="13"/>
    </row>
    <row r="20" spans="1:14" ht="15.5" x14ac:dyDescent="0.35">
      <c r="A20" s="36" t="s">
        <v>107</v>
      </c>
      <c r="B20" s="166">
        <v>51.949024254588544</v>
      </c>
      <c r="C20" s="163"/>
      <c r="D20" s="163"/>
      <c r="E20" s="163"/>
      <c r="F20" s="163"/>
      <c r="G20" s="163"/>
      <c r="H20" s="130"/>
      <c r="I20" s="132"/>
      <c r="K20" s="9"/>
      <c r="L20" s="131"/>
      <c r="M20" s="13"/>
      <c r="N20" s="13"/>
    </row>
    <row r="21" spans="1:14" ht="15.5" x14ac:dyDescent="0.35">
      <c r="A21" s="36" t="s">
        <v>109</v>
      </c>
      <c r="B21" s="166">
        <v>49.268868240602174</v>
      </c>
      <c r="C21" s="163"/>
      <c r="D21" s="163"/>
      <c r="E21" s="163"/>
      <c r="F21" s="163"/>
      <c r="G21" s="163"/>
      <c r="H21" s="130"/>
      <c r="I21" s="132"/>
      <c r="K21" s="9"/>
      <c r="L21" s="131"/>
      <c r="M21" s="13"/>
      <c r="N21" s="13"/>
    </row>
    <row r="22" spans="1:14" ht="15.5" x14ac:dyDescent="0.35">
      <c r="A22" s="36" t="s">
        <v>142</v>
      </c>
      <c r="B22" s="166">
        <v>50.553120076717583</v>
      </c>
      <c r="C22" s="163"/>
      <c r="D22" s="163"/>
      <c r="E22" s="163"/>
      <c r="F22" s="163"/>
      <c r="G22" s="163"/>
      <c r="H22" s="130"/>
      <c r="I22" s="132"/>
      <c r="K22" s="9"/>
      <c r="L22" s="131"/>
      <c r="M22" s="13"/>
      <c r="N22" s="13"/>
    </row>
    <row r="23" spans="1:14" ht="15.5" x14ac:dyDescent="0.35">
      <c r="A23" s="36" t="s">
        <v>147</v>
      </c>
      <c r="B23" s="166">
        <v>47.394177529319158</v>
      </c>
      <c r="C23" s="163"/>
      <c r="D23" s="163"/>
      <c r="E23" s="163"/>
      <c r="F23" s="163"/>
      <c r="G23" s="163"/>
      <c r="H23" s="130"/>
      <c r="I23" s="9"/>
      <c r="K23" s="9"/>
      <c r="L23" s="131"/>
      <c r="M23" s="13"/>
      <c r="N23" s="13"/>
    </row>
    <row r="24" spans="1:14" ht="15.5" x14ac:dyDescent="0.35">
      <c r="A24" s="36" t="s">
        <v>175</v>
      </c>
      <c r="B24" s="166">
        <v>53.298000481811613</v>
      </c>
      <c r="C24" s="163"/>
      <c r="D24" s="163"/>
      <c r="E24" s="163"/>
      <c r="F24" s="163"/>
      <c r="G24" s="163"/>
      <c r="H24" s="130"/>
      <c r="I24" s="9"/>
      <c r="K24" s="9"/>
      <c r="L24" s="131"/>
      <c r="M24" s="13"/>
      <c r="N24" s="13"/>
    </row>
    <row r="25" spans="1:14" ht="15.5" x14ac:dyDescent="0.35">
      <c r="C25" s="163"/>
      <c r="D25" s="163"/>
      <c r="E25" s="163"/>
      <c r="F25" s="163"/>
      <c r="G25" s="163"/>
      <c r="H25" s="130"/>
      <c r="I25" s="9"/>
      <c r="K25" s="9"/>
      <c r="L25" s="131"/>
      <c r="M25" s="13"/>
      <c r="N25" s="13"/>
    </row>
    <row r="26" spans="1:14" ht="15.5" x14ac:dyDescent="0.35">
      <c r="C26" s="163"/>
      <c r="D26" s="163"/>
      <c r="E26" s="163"/>
      <c r="F26" s="163"/>
      <c r="G26" s="163"/>
      <c r="H26" s="130"/>
      <c r="I26" s="9"/>
      <c r="K26" s="9"/>
      <c r="L26" s="131"/>
      <c r="M26" s="13"/>
      <c r="N26" s="13"/>
    </row>
    <row r="27" spans="1:14" ht="15.5" x14ac:dyDescent="0.35">
      <c r="A27" s="153"/>
      <c r="B27" s="163"/>
      <c r="C27" s="163"/>
      <c r="D27" s="163"/>
      <c r="E27" s="163"/>
      <c r="F27" s="163"/>
      <c r="G27" s="163"/>
      <c r="H27" s="130"/>
      <c r="I27" s="9"/>
      <c r="K27" s="9"/>
      <c r="L27" s="131"/>
      <c r="M27" s="13"/>
      <c r="N27" s="13"/>
    </row>
    <row r="28" spans="1:14" ht="15.5" x14ac:dyDescent="0.35">
      <c r="A28" s="153"/>
      <c r="B28" s="163"/>
      <c r="C28" s="163"/>
      <c r="D28" s="163"/>
      <c r="E28" s="163"/>
      <c r="F28" s="163"/>
      <c r="G28" s="163"/>
      <c r="H28" s="130"/>
      <c r="I28" s="9"/>
      <c r="K28" s="9"/>
      <c r="L28" s="131"/>
      <c r="M28" s="13"/>
      <c r="N28" s="13"/>
    </row>
    <row r="29" spans="1:14" ht="15.5" x14ac:dyDescent="0.35">
      <c r="A29" s="153"/>
      <c r="B29" s="163"/>
      <c r="C29" s="163"/>
      <c r="D29" s="163"/>
      <c r="E29" s="163"/>
      <c r="F29" s="163"/>
      <c r="G29" s="163"/>
      <c r="H29" s="130"/>
      <c r="I29" s="9"/>
      <c r="K29" s="9"/>
      <c r="L29" s="131"/>
    </row>
    <row r="30" spans="1:14" x14ac:dyDescent="0.25">
      <c r="A30" s="153"/>
      <c r="G30" s="148"/>
      <c r="H30" s="9"/>
      <c r="I30" s="9"/>
      <c r="K30" s="9"/>
      <c r="L30" s="131"/>
    </row>
    <row r="31" spans="1:14" x14ac:dyDescent="0.25">
      <c r="A31" s="153"/>
      <c r="G31" s="148"/>
      <c r="H31" s="131"/>
      <c r="I31" s="131"/>
      <c r="K31" s="131"/>
      <c r="L31" s="131"/>
    </row>
    <row r="32" spans="1:14" x14ac:dyDescent="0.25">
      <c r="A32" s="153"/>
      <c r="G32" s="148"/>
      <c r="H32" s="131"/>
      <c r="I32" s="131"/>
      <c r="K32" s="131"/>
      <c r="L32" s="131"/>
    </row>
    <row r="33" spans="1:12" x14ac:dyDescent="0.25">
      <c r="A33" s="153"/>
      <c r="G33" s="148"/>
      <c r="H33" s="131"/>
      <c r="I33" s="131"/>
      <c r="K33" s="131"/>
      <c r="L33" s="131"/>
    </row>
    <row r="34" spans="1:12" x14ac:dyDescent="0.25">
      <c r="A34" s="153"/>
      <c r="G34" s="148"/>
      <c r="H34" s="13"/>
      <c r="I34" s="13"/>
      <c r="K34" s="13"/>
    </row>
    <row r="35" spans="1:12" x14ac:dyDescent="0.25">
      <c r="A35" s="153"/>
      <c r="G35" s="148"/>
      <c r="H35" s="13"/>
      <c r="I35" s="13"/>
      <c r="K35" s="13"/>
    </row>
    <row r="36" spans="1:12" x14ac:dyDescent="0.25">
      <c r="A36" s="153"/>
      <c r="G36" s="148"/>
      <c r="H36" s="13"/>
      <c r="I36" s="13"/>
      <c r="K36" s="13"/>
    </row>
    <row r="37" spans="1:12" x14ac:dyDescent="0.25">
      <c r="A37" s="153"/>
      <c r="G37" s="148"/>
      <c r="H37" s="13"/>
      <c r="I37" s="13"/>
      <c r="K37" s="13"/>
    </row>
    <row r="38" spans="1:12" x14ac:dyDescent="0.25">
      <c r="A38" s="153"/>
      <c r="G38" s="148"/>
      <c r="H38" s="13"/>
      <c r="I38" s="13"/>
      <c r="K38" s="13"/>
    </row>
    <row r="39" spans="1:12" x14ac:dyDescent="0.25">
      <c r="A39" s="153"/>
      <c r="G39" s="148"/>
      <c r="H39" s="13"/>
      <c r="I39" s="13"/>
      <c r="K39" s="13"/>
    </row>
    <row r="40" spans="1:12" x14ac:dyDescent="0.25">
      <c r="A40" s="153"/>
      <c r="G40" s="148"/>
      <c r="H40" s="13"/>
      <c r="I40" s="13"/>
      <c r="K40" s="13"/>
    </row>
    <row r="41" spans="1:12" x14ac:dyDescent="0.25">
      <c r="A41" s="153"/>
      <c r="G41" s="148"/>
      <c r="H41" s="13"/>
      <c r="I41" s="13"/>
      <c r="K41" s="13"/>
    </row>
    <row r="42" spans="1:12" x14ac:dyDescent="0.25">
      <c r="A42" s="153"/>
      <c r="G42" s="148"/>
      <c r="H42" s="13"/>
      <c r="I42" s="13"/>
      <c r="K42" s="13"/>
    </row>
    <row r="43" spans="1:12" x14ac:dyDescent="0.25">
      <c r="A43" s="153"/>
      <c r="G43" s="148"/>
      <c r="H43" s="13"/>
      <c r="I43" s="13"/>
      <c r="K43" s="13"/>
    </row>
    <row r="44" spans="1:12" x14ac:dyDescent="0.25">
      <c r="A44" s="153"/>
      <c r="G44" s="120"/>
      <c r="I44" s="120"/>
    </row>
    <row r="45" spans="1:12" x14ac:dyDescent="0.25">
      <c r="A45" s="153"/>
      <c r="G45" s="120"/>
      <c r="I45" s="120"/>
    </row>
    <row r="46" spans="1:12" x14ac:dyDescent="0.25">
      <c r="A46" s="153"/>
      <c r="G46" s="120"/>
      <c r="I46" s="120"/>
    </row>
    <row r="47" spans="1:12" x14ac:dyDescent="0.25">
      <c r="A47" s="153"/>
      <c r="G47" s="120"/>
      <c r="I47" s="120"/>
    </row>
    <row r="48" spans="1:12" x14ac:dyDescent="0.25">
      <c r="A48" s="153"/>
      <c r="G48" s="120"/>
      <c r="I48" s="120"/>
    </row>
    <row r="49" spans="1:9" x14ac:dyDescent="0.25">
      <c r="A49" s="153"/>
      <c r="G49" s="120"/>
      <c r="I49" s="120"/>
    </row>
    <row r="50" spans="1:9" x14ac:dyDescent="0.25">
      <c r="A50" s="153"/>
      <c r="G50" s="120"/>
      <c r="I50" s="120"/>
    </row>
    <row r="51" spans="1:9" x14ac:dyDescent="0.25">
      <c r="A51" s="154"/>
      <c r="G51" s="120"/>
      <c r="I51" s="120"/>
    </row>
    <row r="52" spans="1:9" x14ac:dyDescent="0.25">
      <c r="A52" s="154"/>
      <c r="G52" s="120"/>
      <c r="I52" s="120"/>
    </row>
    <row r="53" spans="1:9" x14ac:dyDescent="0.25">
      <c r="A53" s="154"/>
      <c r="G53" s="120"/>
      <c r="I53" s="120"/>
    </row>
    <row r="54" spans="1:9" x14ac:dyDescent="0.25">
      <c r="A54" s="154"/>
      <c r="G54" s="120"/>
      <c r="I54" s="120"/>
    </row>
    <row r="55" spans="1:9" x14ac:dyDescent="0.25">
      <c r="A55" s="154"/>
      <c r="G55" s="120"/>
      <c r="I55" s="120"/>
    </row>
    <row r="56" spans="1:9" x14ac:dyDescent="0.25">
      <c r="A56" s="154"/>
      <c r="G56" s="120"/>
      <c r="I56" s="120"/>
    </row>
    <row r="57" spans="1:9" x14ac:dyDescent="0.25">
      <c r="A57" s="154"/>
      <c r="G57" s="120"/>
      <c r="I57" s="120"/>
    </row>
    <row r="58" spans="1:9" x14ac:dyDescent="0.25">
      <c r="A58" s="154"/>
      <c r="G58" s="120"/>
      <c r="I58" s="120"/>
    </row>
    <row r="59" spans="1:9" x14ac:dyDescent="0.25">
      <c r="A59" s="154"/>
      <c r="G59" s="120"/>
      <c r="I59" s="120"/>
    </row>
    <row r="60" spans="1:9" x14ac:dyDescent="0.25">
      <c r="A60" s="154"/>
      <c r="G60" s="120"/>
      <c r="I60" s="120"/>
    </row>
    <row r="61" spans="1:9" x14ac:dyDescent="0.25">
      <c r="A61" s="154"/>
      <c r="G61" s="120"/>
      <c r="I61" s="120"/>
    </row>
    <row r="62" spans="1:9" x14ac:dyDescent="0.25">
      <c r="A62" s="154"/>
      <c r="G62" s="120"/>
      <c r="I62" s="120"/>
    </row>
    <row r="63" spans="1:9" x14ac:dyDescent="0.25">
      <c r="A63" s="154"/>
      <c r="G63" s="120"/>
      <c r="I63" s="120"/>
    </row>
    <row r="64" spans="1:9" x14ac:dyDescent="0.25">
      <c r="A64" s="154"/>
      <c r="G64" s="120"/>
      <c r="I64" s="120"/>
    </row>
    <row r="65" spans="1:9" x14ac:dyDescent="0.25">
      <c r="A65" s="154"/>
      <c r="G65" s="120"/>
      <c r="I65" s="120"/>
    </row>
    <row r="66" spans="1:9" x14ac:dyDescent="0.25">
      <c r="A66" s="154"/>
      <c r="G66" s="120"/>
      <c r="I66" s="120"/>
    </row>
    <row r="67" spans="1:9" x14ac:dyDescent="0.25">
      <c r="A67" s="154"/>
      <c r="G67" s="120"/>
      <c r="I67" s="120"/>
    </row>
    <row r="68" spans="1:9" x14ac:dyDescent="0.25">
      <c r="A68" s="154"/>
      <c r="G68" s="120"/>
      <c r="I68" s="120"/>
    </row>
    <row r="69" spans="1:9" x14ac:dyDescent="0.25">
      <c r="A69" s="154"/>
      <c r="G69" s="120"/>
      <c r="I69" s="120"/>
    </row>
    <row r="70" spans="1:9" x14ac:dyDescent="0.25">
      <c r="A70" s="154"/>
      <c r="G70" s="120"/>
      <c r="I70" s="120"/>
    </row>
    <row r="71" spans="1:9" x14ac:dyDescent="0.25">
      <c r="A71" s="154"/>
      <c r="G71" s="120"/>
      <c r="I71" s="120"/>
    </row>
    <row r="72" spans="1:9" x14ac:dyDescent="0.25">
      <c r="A72" s="154"/>
      <c r="G72" s="120"/>
      <c r="I72" s="120"/>
    </row>
    <row r="73" spans="1:9" x14ac:dyDescent="0.25">
      <c r="A73" s="154"/>
      <c r="G73" s="120"/>
      <c r="I73" s="120"/>
    </row>
    <row r="74" spans="1:9" x14ac:dyDescent="0.25">
      <c r="A74" s="154"/>
      <c r="G74" s="120"/>
      <c r="I74" s="120"/>
    </row>
    <row r="75" spans="1:9" x14ac:dyDescent="0.25">
      <c r="A75" s="154"/>
      <c r="G75" s="120"/>
      <c r="I75" s="120"/>
    </row>
    <row r="76" spans="1:9" x14ac:dyDescent="0.25">
      <c r="A76" s="154"/>
      <c r="G76" s="120"/>
      <c r="I76" s="120"/>
    </row>
    <row r="77" spans="1:9" x14ac:dyDescent="0.25">
      <c r="A77" s="154"/>
      <c r="G77" s="120"/>
      <c r="I77" s="120"/>
    </row>
    <row r="78" spans="1:9" x14ac:dyDescent="0.25">
      <c r="A78" s="154"/>
      <c r="G78" s="120"/>
      <c r="I78" s="120"/>
    </row>
    <row r="79" spans="1:9" x14ac:dyDescent="0.25">
      <c r="A79" s="154"/>
      <c r="G79" s="120"/>
      <c r="I79" s="120"/>
    </row>
    <row r="80" spans="1:9" x14ac:dyDescent="0.25">
      <c r="A80" s="154"/>
      <c r="G80" s="120"/>
      <c r="I80" s="120"/>
    </row>
    <row r="81" spans="1:9" x14ac:dyDescent="0.25">
      <c r="A81" s="154"/>
      <c r="G81" s="120"/>
      <c r="I81" s="120"/>
    </row>
    <row r="82" spans="1:9" x14ac:dyDescent="0.25">
      <c r="A82" s="154"/>
      <c r="G82" s="120"/>
      <c r="I82" s="120"/>
    </row>
    <row r="83" spans="1:9" x14ac:dyDescent="0.25">
      <c r="A83" s="154"/>
      <c r="G83" s="120"/>
      <c r="I83" s="120"/>
    </row>
    <row r="84" spans="1:9" x14ac:dyDescent="0.25">
      <c r="A84" s="154"/>
      <c r="G84" s="120"/>
      <c r="I84" s="120"/>
    </row>
    <row r="85" spans="1:9" x14ac:dyDescent="0.25">
      <c r="A85" s="154"/>
      <c r="G85" s="120"/>
      <c r="I85" s="120"/>
    </row>
    <row r="86" spans="1:9" x14ac:dyDescent="0.25">
      <c r="A86" s="154"/>
      <c r="G86" s="120"/>
      <c r="I86" s="120"/>
    </row>
    <row r="87" spans="1:9" x14ac:dyDescent="0.25">
      <c r="A87" s="154"/>
      <c r="G87" s="120"/>
      <c r="I87" s="120"/>
    </row>
    <row r="88" spans="1:9" x14ac:dyDescent="0.25">
      <c r="A88" s="154"/>
      <c r="G88" s="120"/>
      <c r="I88" s="120"/>
    </row>
    <row r="89" spans="1:9" x14ac:dyDescent="0.25">
      <c r="A89" s="154"/>
      <c r="G89" s="120"/>
      <c r="I89" s="120"/>
    </row>
    <row r="90" spans="1:9" x14ac:dyDescent="0.25">
      <c r="A90" s="154"/>
      <c r="G90" s="120"/>
      <c r="I90" s="120"/>
    </row>
    <row r="91" spans="1:9" x14ac:dyDescent="0.25">
      <c r="A91" s="154"/>
      <c r="G91" s="120"/>
      <c r="I91" s="120"/>
    </row>
    <row r="92" spans="1:9" x14ac:dyDescent="0.25">
      <c r="A92" s="154"/>
      <c r="G92" s="120"/>
      <c r="I92" s="120"/>
    </row>
    <row r="93" spans="1:9" x14ac:dyDescent="0.25">
      <c r="A93" s="154"/>
      <c r="G93" s="120"/>
      <c r="I93" s="120"/>
    </row>
    <row r="94" spans="1:9" x14ac:dyDescent="0.25">
      <c r="A94" s="154"/>
      <c r="G94" s="120"/>
      <c r="I94" s="120"/>
    </row>
    <row r="95" spans="1:9" x14ac:dyDescent="0.25">
      <c r="A95" s="154"/>
      <c r="G95" s="120"/>
      <c r="I95" s="120"/>
    </row>
    <row r="96" spans="1:9" x14ac:dyDescent="0.25">
      <c r="A96" s="154"/>
      <c r="G96" s="120"/>
      <c r="I96" s="120"/>
    </row>
    <row r="97" spans="1:9" x14ac:dyDescent="0.25">
      <c r="A97" s="154"/>
      <c r="G97" s="120"/>
      <c r="I97" s="120"/>
    </row>
    <row r="98" spans="1:9" x14ac:dyDescent="0.25">
      <c r="A98" s="154"/>
      <c r="G98" s="120"/>
      <c r="I98" s="120"/>
    </row>
    <row r="99" spans="1:9" x14ac:dyDescent="0.25">
      <c r="A99" s="154"/>
      <c r="G99" s="120"/>
      <c r="I99" s="120"/>
    </row>
    <row r="100" spans="1:9" x14ac:dyDescent="0.25">
      <c r="A100" s="154"/>
      <c r="G100" s="120"/>
      <c r="I100" s="120"/>
    </row>
    <row r="101" spans="1:9" x14ac:dyDescent="0.25">
      <c r="A101" s="154"/>
      <c r="G101" s="120"/>
      <c r="I101" s="120"/>
    </row>
    <row r="102" spans="1:9" x14ac:dyDescent="0.25">
      <c r="A102" s="154"/>
      <c r="G102" s="120"/>
      <c r="I102" s="120"/>
    </row>
    <row r="103" spans="1:9" x14ac:dyDescent="0.25">
      <c r="A103" s="154"/>
      <c r="G103" s="120"/>
      <c r="I103" s="120"/>
    </row>
    <row r="104" spans="1:9" x14ac:dyDescent="0.25">
      <c r="A104" s="154"/>
      <c r="G104" s="120"/>
      <c r="I104" s="120"/>
    </row>
    <row r="105" spans="1:9" x14ac:dyDescent="0.25">
      <c r="A105" s="154"/>
      <c r="G105" s="120"/>
      <c r="I105" s="120"/>
    </row>
    <row r="106" spans="1:9" x14ac:dyDescent="0.25">
      <c r="A106" s="154"/>
      <c r="G106" s="120"/>
      <c r="I106" s="120"/>
    </row>
    <row r="107" spans="1:9" x14ac:dyDescent="0.25">
      <c r="A107" s="154"/>
      <c r="G107" s="120"/>
      <c r="I107" s="120"/>
    </row>
    <row r="108" spans="1:9" x14ac:dyDescent="0.25">
      <c r="A108" s="154"/>
      <c r="G108" s="120"/>
      <c r="I108" s="120"/>
    </row>
    <row r="109" spans="1:9" x14ac:dyDescent="0.25">
      <c r="A109" s="154"/>
      <c r="G109" s="120"/>
      <c r="I109" s="120"/>
    </row>
    <row r="110" spans="1:9" x14ac:dyDescent="0.25">
      <c r="A110" s="154"/>
      <c r="G110" s="120"/>
      <c r="I110" s="120"/>
    </row>
    <row r="111" spans="1:9" x14ac:dyDescent="0.25">
      <c r="A111" s="154"/>
      <c r="G111" s="120"/>
      <c r="I111" s="120"/>
    </row>
    <row r="112" spans="1:9" x14ac:dyDescent="0.25">
      <c r="A112" s="154"/>
      <c r="G112" s="120"/>
      <c r="I112" s="120"/>
    </row>
    <row r="113" spans="1:9" x14ac:dyDescent="0.25">
      <c r="A113" s="154"/>
      <c r="G113" s="120"/>
      <c r="I113" s="120"/>
    </row>
    <row r="114" spans="1:9" x14ac:dyDescent="0.25">
      <c r="A114" s="154"/>
      <c r="G114" s="120"/>
      <c r="I114" s="120"/>
    </row>
    <row r="115" spans="1:9" x14ac:dyDescent="0.25">
      <c r="A115" s="154"/>
      <c r="G115" s="120"/>
      <c r="I115" s="120"/>
    </row>
    <row r="116" spans="1:9" x14ac:dyDescent="0.25">
      <c r="A116" s="154"/>
      <c r="G116" s="120"/>
      <c r="I116" s="120"/>
    </row>
    <row r="117" spans="1:9" x14ac:dyDescent="0.25">
      <c r="A117" s="154"/>
      <c r="G117" s="120"/>
      <c r="I117" s="120"/>
    </row>
    <row r="118" spans="1:9" x14ac:dyDescent="0.25">
      <c r="A118" s="154"/>
      <c r="G118" s="120"/>
      <c r="I118" s="120"/>
    </row>
    <row r="119" spans="1:9" x14ac:dyDescent="0.25">
      <c r="A119" s="154"/>
      <c r="G119" s="120"/>
      <c r="I119" s="120"/>
    </row>
    <row r="120" spans="1:9" x14ac:dyDescent="0.25">
      <c r="A120" s="154"/>
      <c r="G120" s="120"/>
      <c r="I120" s="120"/>
    </row>
    <row r="121" spans="1:9" x14ac:dyDescent="0.25">
      <c r="A121" s="154"/>
      <c r="G121" s="120"/>
      <c r="I121" s="120"/>
    </row>
    <row r="122" spans="1:9" x14ac:dyDescent="0.25">
      <c r="A122" s="154"/>
      <c r="G122" s="120"/>
      <c r="I122" s="120"/>
    </row>
    <row r="123" spans="1:9" x14ac:dyDescent="0.25">
      <c r="A123" s="154"/>
      <c r="G123" s="120"/>
      <c r="I123" s="120"/>
    </row>
    <row r="124" spans="1:9" x14ac:dyDescent="0.25">
      <c r="A124" s="154"/>
      <c r="G124" s="120"/>
      <c r="I124" s="120"/>
    </row>
    <row r="125" spans="1:9" x14ac:dyDescent="0.25">
      <c r="A125" s="154"/>
      <c r="G125" s="120"/>
      <c r="I125" s="120"/>
    </row>
    <row r="126" spans="1:9" x14ac:dyDescent="0.25">
      <c r="A126" s="154"/>
      <c r="G126" s="120"/>
      <c r="I126" s="120"/>
    </row>
    <row r="127" spans="1:9" x14ac:dyDescent="0.25">
      <c r="A127" s="154"/>
      <c r="G127" s="120"/>
      <c r="I127" s="120"/>
    </row>
    <row r="128" spans="1:9" x14ac:dyDescent="0.25">
      <c r="A128" s="154"/>
      <c r="G128" s="120"/>
      <c r="I128" s="120"/>
    </row>
    <row r="129" spans="1:9" x14ac:dyDescent="0.25">
      <c r="A129" s="154"/>
      <c r="G129" s="120"/>
      <c r="I129" s="120"/>
    </row>
    <row r="130" spans="1:9" x14ac:dyDescent="0.25">
      <c r="A130" s="154"/>
      <c r="G130" s="120"/>
      <c r="I130" s="120"/>
    </row>
    <row r="131" spans="1:9" x14ac:dyDescent="0.25">
      <c r="A131" s="154"/>
      <c r="G131" s="120"/>
    </row>
    <row r="132" spans="1:9" x14ac:dyDescent="0.25">
      <c r="A132" s="154"/>
      <c r="G132" s="120"/>
      <c r="I132" s="120"/>
    </row>
    <row r="133" spans="1:9" x14ac:dyDescent="0.25">
      <c r="A133" s="154"/>
      <c r="G133" s="120"/>
      <c r="I133" s="120"/>
    </row>
    <row r="134" spans="1:9" x14ac:dyDescent="0.25">
      <c r="A134" s="154"/>
      <c r="G134" s="120"/>
      <c r="I134" s="120"/>
    </row>
    <row r="135" spans="1:9" x14ac:dyDescent="0.25">
      <c r="A135" s="154"/>
      <c r="G135" s="120"/>
      <c r="I135" s="120"/>
    </row>
    <row r="136" spans="1:9" x14ac:dyDescent="0.25">
      <c r="A136" s="154"/>
      <c r="G136" s="120"/>
      <c r="I136" s="120"/>
    </row>
    <row r="137" spans="1:9" x14ac:dyDescent="0.25">
      <c r="A137" s="154"/>
      <c r="G137" s="120"/>
      <c r="I137" s="120"/>
    </row>
    <row r="138" spans="1:9" x14ac:dyDescent="0.25">
      <c r="A138" s="154"/>
      <c r="G138" s="120"/>
      <c r="I138" s="120"/>
    </row>
    <row r="139" spans="1:9" x14ac:dyDescent="0.25">
      <c r="A139" s="154"/>
      <c r="G139" s="120"/>
      <c r="I139" s="120"/>
    </row>
    <row r="140" spans="1:9" x14ac:dyDescent="0.25">
      <c r="A140" s="154"/>
      <c r="G140" s="120"/>
      <c r="I140" s="120"/>
    </row>
    <row r="141" spans="1:9" x14ac:dyDescent="0.25">
      <c r="A141" s="154"/>
      <c r="G141" s="120"/>
      <c r="I141" s="120"/>
    </row>
    <row r="142" spans="1:9" x14ac:dyDescent="0.25">
      <c r="A142" s="154"/>
      <c r="G142" s="120"/>
      <c r="I142" s="120"/>
    </row>
    <row r="143" spans="1:9" x14ac:dyDescent="0.25">
      <c r="A143" s="154"/>
      <c r="G143" s="120"/>
      <c r="I143" s="120"/>
    </row>
    <row r="144" spans="1:9" x14ac:dyDescent="0.25">
      <c r="A144" s="154"/>
      <c r="G144" s="120"/>
      <c r="I144" s="120"/>
    </row>
    <row r="145" spans="1:9" x14ac:dyDescent="0.25">
      <c r="A145" s="154"/>
      <c r="G145" s="120"/>
      <c r="I145" s="120"/>
    </row>
    <row r="146" spans="1:9" x14ac:dyDescent="0.25">
      <c r="A146" s="154"/>
      <c r="G146" s="120"/>
      <c r="I146" s="120"/>
    </row>
    <row r="147" spans="1:9" x14ac:dyDescent="0.25">
      <c r="A147" s="154"/>
      <c r="G147" s="120"/>
      <c r="I147" s="120"/>
    </row>
    <row r="148" spans="1:9" x14ac:dyDescent="0.25">
      <c r="A148" s="154"/>
      <c r="G148" s="120"/>
      <c r="I148" s="120"/>
    </row>
    <row r="149" spans="1:9" x14ac:dyDescent="0.25">
      <c r="A149" s="154"/>
      <c r="G149" s="120"/>
      <c r="I149" s="120"/>
    </row>
    <row r="150" spans="1:9" x14ac:dyDescent="0.25">
      <c r="A150" s="154"/>
      <c r="G150" s="120"/>
      <c r="I150" s="120"/>
    </row>
    <row r="151" spans="1:9" x14ac:dyDescent="0.25">
      <c r="A151" s="154"/>
      <c r="G151" s="120"/>
      <c r="I151" s="120"/>
    </row>
    <row r="152" spans="1:9" x14ac:dyDescent="0.25">
      <c r="A152" s="154"/>
      <c r="G152" s="120"/>
      <c r="I152" s="120"/>
    </row>
    <row r="153" spans="1:9" x14ac:dyDescent="0.25">
      <c r="A153" s="154"/>
      <c r="G153" s="120"/>
      <c r="I153" s="120"/>
    </row>
    <row r="154" spans="1:9" x14ac:dyDescent="0.25">
      <c r="A154" s="154"/>
      <c r="G154" s="120"/>
      <c r="I154" s="120"/>
    </row>
    <row r="155" spans="1:9" x14ac:dyDescent="0.25">
      <c r="A155" s="154"/>
      <c r="G155" s="120"/>
      <c r="I155" s="120"/>
    </row>
    <row r="156" spans="1:9" x14ac:dyDescent="0.25">
      <c r="A156" s="154"/>
      <c r="G156" s="120"/>
      <c r="I156" s="120"/>
    </row>
    <row r="157" spans="1:9" x14ac:dyDescent="0.25">
      <c r="A157" s="154"/>
      <c r="G157" s="120"/>
      <c r="I157" s="120"/>
    </row>
    <row r="158" spans="1:9" x14ac:dyDescent="0.25">
      <c r="A158" s="154"/>
      <c r="G158" s="120"/>
    </row>
    <row r="159" spans="1:9" x14ac:dyDescent="0.25">
      <c r="A159" s="154"/>
      <c r="G159" s="120"/>
      <c r="I159" s="120"/>
    </row>
    <row r="160" spans="1:9" x14ac:dyDescent="0.25">
      <c r="A160" s="154"/>
      <c r="G160" s="120"/>
      <c r="I160" s="120"/>
    </row>
    <row r="161" spans="1:9" x14ac:dyDescent="0.25">
      <c r="A161" s="154"/>
      <c r="G161" s="120"/>
      <c r="I161" s="120"/>
    </row>
    <row r="162" spans="1:9" x14ac:dyDescent="0.25">
      <c r="A162" s="154"/>
      <c r="G162" s="120"/>
      <c r="I162" s="120"/>
    </row>
    <row r="163" spans="1:9" x14ac:dyDescent="0.25">
      <c r="A163" s="154"/>
      <c r="G163" s="120"/>
      <c r="I163" s="120"/>
    </row>
    <row r="164" spans="1:9" x14ac:dyDescent="0.25">
      <c r="A164" s="154"/>
      <c r="G164" s="120"/>
      <c r="I164" s="120"/>
    </row>
    <row r="165" spans="1:9" x14ac:dyDescent="0.25">
      <c r="A165" s="154"/>
      <c r="G165" s="120"/>
      <c r="I165" s="120"/>
    </row>
    <row r="166" spans="1:9" x14ac:dyDescent="0.25">
      <c r="A166" s="154"/>
      <c r="G166" s="120"/>
      <c r="I166" s="120"/>
    </row>
    <row r="167" spans="1:9" x14ac:dyDescent="0.25">
      <c r="A167" s="154"/>
      <c r="G167" s="120"/>
      <c r="I167" s="120"/>
    </row>
    <row r="168" spans="1:9" x14ac:dyDescent="0.25">
      <c r="A168" s="154"/>
      <c r="G168" s="120"/>
    </row>
    <row r="169" spans="1:9" x14ac:dyDescent="0.25">
      <c r="A169" s="154"/>
      <c r="G169" s="120"/>
      <c r="I169" s="120"/>
    </row>
    <row r="170" spans="1:9" x14ac:dyDescent="0.25">
      <c r="A170" s="154"/>
      <c r="G170" s="120"/>
      <c r="I170" s="120"/>
    </row>
    <row r="171" spans="1:9" x14ac:dyDescent="0.25">
      <c r="A171" s="154"/>
      <c r="G171" s="120"/>
      <c r="I171" s="120"/>
    </row>
    <row r="172" spans="1:9" x14ac:dyDescent="0.25">
      <c r="A172" s="154"/>
      <c r="G172" s="120"/>
      <c r="I172" s="120"/>
    </row>
    <row r="173" spans="1:9" x14ac:dyDescent="0.25">
      <c r="A173" s="154"/>
      <c r="G173" s="120"/>
      <c r="I173" s="120"/>
    </row>
    <row r="174" spans="1:9" x14ac:dyDescent="0.25">
      <c r="A174" s="154"/>
      <c r="G174" s="120"/>
      <c r="I174" s="120"/>
    </row>
    <row r="175" spans="1:9" x14ac:dyDescent="0.25">
      <c r="A175" s="154"/>
      <c r="G175" s="120"/>
      <c r="I175" s="120"/>
    </row>
    <row r="176" spans="1:9" x14ac:dyDescent="0.25">
      <c r="A176" s="154"/>
      <c r="G176" s="120"/>
      <c r="I176" s="120"/>
    </row>
    <row r="177" spans="1:9" x14ac:dyDescent="0.25">
      <c r="A177" s="154"/>
      <c r="G177" s="120"/>
      <c r="I177" s="120"/>
    </row>
    <row r="178" spans="1:9" x14ac:dyDescent="0.25">
      <c r="A178" s="154"/>
      <c r="G178" s="120"/>
      <c r="I178" s="120"/>
    </row>
    <row r="179" spans="1:9" x14ac:dyDescent="0.25">
      <c r="A179" s="154"/>
      <c r="G179" s="120"/>
      <c r="I179" s="120"/>
    </row>
    <row r="180" spans="1:9" x14ac:dyDescent="0.25">
      <c r="A180" s="154"/>
      <c r="G180" s="120"/>
      <c r="I180" s="120"/>
    </row>
    <row r="181" spans="1:9" x14ac:dyDescent="0.25">
      <c r="A181" s="154"/>
      <c r="G181" s="120"/>
      <c r="I181" s="120"/>
    </row>
    <row r="182" spans="1:9" x14ac:dyDescent="0.25">
      <c r="A182" s="154"/>
      <c r="G182" s="120"/>
      <c r="I182" s="120"/>
    </row>
    <row r="183" spans="1:9" x14ac:dyDescent="0.25">
      <c r="A183" s="154"/>
      <c r="G183" s="120"/>
      <c r="I183" s="120"/>
    </row>
    <row r="184" spans="1:9" x14ac:dyDescent="0.25">
      <c r="A184" s="154"/>
      <c r="G184" s="120"/>
      <c r="I184" s="120"/>
    </row>
    <row r="185" spans="1:9" x14ac:dyDescent="0.25">
      <c r="A185" s="154"/>
      <c r="G185" s="120"/>
      <c r="I185" s="120"/>
    </row>
    <row r="186" spans="1:9" x14ac:dyDescent="0.25">
      <c r="A186" s="154"/>
      <c r="G186" s="120"/>
      <c r="I186" s="120"/>
    </row>
    <row r="187" spans="1:9" x14ac:dyDescent="0.25">
      <c r="A187" s="154"/>
      <c r="G187" s="120"/>
      <c r="I187" s="120"/>
    </row>
    <row r="188" spans="1:9" x14ac:dyDescent="0.25">
      <c r="A188" s="154"/>
      <c r="G188" s="120"/>
      <c r="I188" s="120"/>
    </row>
    <row r="189" spans="1:9" x14ac:dyDescent="0.25">
      <c r="A189" s="154"/>
      <c r="G189" s="120"/>
      <c r="I189" s="120"/>
    </row>
    <row r="190" spans="1:9" x14ac:dyDescent="0.25">
      <c r="A190" s="154"/>
      <c r="G190" s="120"/>
      <c r="I190" s="120"/>
    </row>
    <row r="191" spans="1:9" x14ac:dyDescent="0.25">
      <c r="A191" s="154"/>
      <c r="G191" s="120"/>
      <c r="I191" s="120"/>
    </row>
    <row r="192" spans="1:9" x14ac:dyDescent="0.25">
      <c r="A192" s="154"/>
      <c r="G192" s="120"/>
      <c r="I192" s="120"/>
    </row>
    <row r="193" spans="1:9" x14ac:dyDescent="0.25">
      <c r="A193" s="154"/>
      <c r="G193" s="120"/>
      <c r="I193" s="120"/>
    </row>
    <row r="194" spans="1:9" x14ac:dyDescent="0.25">
      <c r="A194" s="154"/>
      <c r="G194" s="120"/>
      <c r="I194" s="120"/>
    </row>
    <row r="195" spans="1:9" x14ac:dyDescent="0.25">
      <c r="A195" s="154"/>
      <c r="G195" s="120"/>
      <c r="I195" s="120"/>
    </row>
    <row r="196" spans="1:9" x14ac:dyDescent="0.25">
      <c r="A196" s="154"/>
      <c r="G196" s="120"/>
      <c r="I196" s="120"/>
    </row>
    <row r="197" spans="1:9" x14ac:dyDescent="0.25">
      <c r="A197" s="154"/>
      <c r="G197" s="120"/>
      <c r="I197" s="120"/>
    </row>
    <row r="198" spans="1:9" x14ac:dyDescent="0.25">
      <c r="A198" s="154"/>
      <c r="G198" s="120"/>
      <c r="I198" s="120"/>
    </row>
    <row r="199" spans="1:9" x14ac:dyDescent="0.25">
      <c r="A199" s="154"/>
      <c r="G199" s="120"/>
      <c r="I199" s="120"/>
    </row>
    <row r="200" spans="1:9" x14ac:dyDescent="0.25">
      <c r="A200" s="154"/>
      <c r="G200" s="120"/>
      <c r="I200" s="120"/>
    </row>
    <row r="201" spans="1:9" x14ac:dyDescent="0.25">
      <c r="A201" s="154"/>
      <c r="G201" s="120"/>
      <c r="I201" s="120"/>
    </row>
    <row r="202" spans="1:9" x14ac:dyDescent="0.25">
      <c r="A202" s="154"/>
      <c r="G202" s="120"/>
      <c r="I202" s="120"/>
    </row>
    <row r="203" spans="1:9" x14ac:dyDescent="0.25">
      <c r="A203" s="154"/>
      <c r="G203" s="120"/>
      <c r="I203" s="120"/>
    </row>
    <row r="204" spans="1:9" x14ac:dyDescent="0.25">
      <c r="A204" s="154"/>
      <c r="G204" s="120"/>
      <c r="I204" s="120"/>
    </row>
    <row r="205" spans="1:9" x14ac:dyDescent="0.25">
      <c r="A205" s="154"/>
      <c r="G205" s="120"/>
      <c r="I205" s="120"/>
    </row>
    <row r="206" spans="1:9" x14ac:dyDescent="0.25">
      <c r="A206" s="154"/>
      <c r="G206" s="120"/>
      <c r="I206" s="120"/>
    </row>
    <row r="207" spans="1:9" x14ac:dyDescent="0.25">
      <c r="A207" s="154"/>
      <c r="G207" s="120"/>
      <c r="I207" s="120"/>
    </row>
    <row r="208" spans="1:9" x14ac:dyDescent="0.25">
      <c r="A208" s="154"/>
      <c r="G208" s="120"/>
      <c r="I208" s="120"/>
    </row>
    <row r="209" spans="1:9" x14ac:dyDescent="0.25">
      <c r="A209" s="154"/>
      <c r="G209" s="120"/>
      <c r="I209" s="120"/>
    </row>
    <row r="210" spans="1:9" x14ac:dyDescent="0.25">
      <c r="A210" s="154"/>
      <c r="G210" s="120"/>
      <c r="I210" s="120"/>
    </row>
    <row r="211" spans="1:9" x14ac:dyDescent="0.25">
      <c r="A211" s="154"/>
      <c r="G211" s="120"/>
      <c r="I211" s="120"/>
    </row>
    <row r="212" spans="1:9" x14ac:dyDescent="0.25">
      <c r="A212" s="154"/>
      <c r="G212" s="120"/>
      <c r="I212" s="120"/>
    </row>
    <row r="213" spans="1:9" x14ac:dyDescent="0.25">
      <c r="A213" s="154"/>
      <c r="G213" s="120"/>
      <c r="I213" s="120"/>
    </row>
    <row r="214" spans="1:9" x14ac:dyDescent="0.25">
      <c r="A214" s="154"/>
      <c r="G214" s="120"/>
      <c r="I214" s="120"/>
    </row>
    <row r="215" spans="1:9" x14ac:dyDescent="0.25">
      <c r="A215" s="154"/>
      <c r="G215" s="120"/>
    </row>
    <row r="216" spans="1:9" x14ac:dyDescent="0.25">
      <c r="A216" s="154"/>
      <c r="G216" s="120"/>
    </row>
    <row r="217" spans="1:9" x14ac:dyDescent="0.25">
      <c r="A217" s="154"/>
      <c r="G217" s="120"/>
    </row>
    <row r="218" spans="1:9" x14ac:dyDescent="0.25">
      <c r="A218" s="154"/>
      <c r="G218" s="120"/>
    </row>
    <row r="219" spans="1:9" x14ac:dyDescent="0.25">
      <c r="A219" s="154"/>
      <c r="G219" s="149"/>
    </row>
    <row r="220" spans="1:9" x14ac:dyDescent="0.25">
      <c r="A220" s="154"/>
      <c r="G220" s="149"/>
    </row>
    <row r="221" spans="1:9" x14ac:dyDescent="0.25">
      <c r="A221" s="154"/>
      <c r="G221" s="149"/>
    </row>
    <row r="222" spans="1:9" x14ac:dyDescent="0.25">
      <c r="A222" s="154"/>
      <c r="G222" s="149"/>
    </row>
    <row r="223" spans="1:9" x14ac:dyDescent="0.25">
      <c r="A223" s="154"/>
      <c r="G223" s="149"/>
    </row>
    <row r="224" spans="1:9" x14ac:dyDescent="0.25">
      <c r="A224" s="154"/>
      <c r="G224" s="149"/>
    </row>
    <row r="225" spans="1:7" x14ac:dyDescent="0.25">
      <c r="A225" s="154"/>
      <c r="G225" s="149"/>
    </row>
    <row r="226" spans="1:7" x14ac:dyDescent="0.25">
      <c r="A226" s="154"/>
      <c r="G226" s="149"/>
    </row>
    <row r="227" spans="1:7" x14ac:dyDescent="0.25">
      <c r="A227" s="154"/>
      <c r="G227" s="149"/>
    </row>
    <row r="228" spans="1:7" x14ac:dyDescent="0.25">
      <c r="A228" s="154"/>
      <c r="G228" s="149"/>
    </row>
    <row r="229" spans="1:7" x14ac:dyDescent="0.25">
      <c r="A229" s="154"/>
      <c r="G229" s="149"/>
    </row>
    <row r="230" spans="1:7" x14ac:dyDescent="0.25">
      <c r="A230" s="154"/>
      <c r="G230" s="149"/>
    </row>
    <row r="231" spans="1:7" x14ac:dyDescent="0.25">
      <c r="A231" s="154"/>
      <c r="G231" s="149"/>
    </row>
    <row r="232" spans="1:7" x14ac:dyDescent="0.25">
      <c r="A232" s="154"/>
      <c r="G232" s="149"/>
    </row>
    <row r="233" spans="1:7" x14ac:dyDescent="0.25">
      <c r="A233" s="154"/>
      <c r="G233" s="149"/>
    </row>
    <row r="234" spans="1:7" x14ac:dyDescent="0.25">
      <c r="A234" s="154"/>
      <c r="G234" s="149"/>
    </row>
    <row r="235" spans="1:7" x14ac:dyDescent="0.25">
      <c r="A235" s="154"/>
      <c r="G235" s="149"/>
    </row>
    <row r="236" spans="1:7" x14ac:dyDescent="0.25">
      <c r="A236" s="154"/>
      <c r="G236" s="149"/>
    </row>
    <row r="237" spans="1:7" x14ac:dyDescent="0.25">
      <c r="A237" s="154"/>
      <c r="G237" s="149"/>
    </row>
    <row r="238" spans="1:7" x14ac:dyDescent="0.25">
      <c r="A238" s="154"/>
      <c r="G238" s="149"/>
    </row>
    <row r="239" spans="1:7" x14ac:dyDescent="0.25">
      <c r="A239" s="154"/>
      <c r="G239" s="149"/>
    </row>
    <row r="240" spans="1:7" x14ac:dyDescent="0.25">
      <c r="A240" s="154"/>
      <c r="G240" s="149"/>
    </row>
    <row r="241" spans="1:7" x14ac:dyDescent="0.25">
      <c r="A241" s="154"/>
      <c r="G241" s="149"/>
    </row>
    <row r="242" spans="1:7" x14ac:dyDescent="0.25">
      <c r="A242" s="154"/>
      <c r="G242" s="149"/>
    </row>
    <row r="243" spans="1:7" x14ac:dyDescent="0.25">
      <c r="A243" s="154"/>
      <c r="G243" s="149"/>
    </row>
    <row r="244" spans="1:7" x14ac:dyDescent="0.25">
      <c r="A244" s="154"/>
      <c r="G244" s="149"/>
    </row>
    <row r="245" spans="1:7" x14ac:dyDescent="0.25">
      <c r="A245" s="154"/>
      <c r="G245" s="149"/>
    </row>
    <row r="246" spans="1:7" x14ac:dyDescent="0.25">
      <c r="A246" s="154"/>
      <c r="G246" s="149"/>
    </row>
    <row r="247" spans="1:7" x14ac:dyDescent="0.25">
      <c r="A247" s="154"/>
      <c r="G247" s="149"/>
    </row>
    <row r="248" spans="1:7" x14ac:dyDescent="0.25">
      <c r="A248" s="154"/>
      <c r="G248" s="149"/>
    </row>
    <row r="249" spans="1:7" x14ac:dyDescent="0.25">
      <c r="A249" s="154"/>
      <c r="G249" s="149"/>
    </row>
    <row r="250" spans="1:7" x14ac:dyDescent="0.25">
      <c r="A250" s="154"/>
      <c r="G250" s="149"/>
    </row>
    <row r="251" spans="1:7" x14ac:dyDescent="0.25">
      <c r="A251" s="154"/>
      <c r="G251" s="149"/>
    </row>
    <row r="252" spans="1:7" x14ac:dyDescent="0.25">
      <c r="A252" s="154"/>
      <c r="G252" s="149"/>
    </row>
    <row r="253" spans="1:7" x14ac:dyDescent="0.25">
      <c r="A253" s="15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2020-08-14T13:27:59Z</dcterms:modified>
  <cp:category>Oilseeds</cp:category>
</cp:coreProperties>
</file>