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21015" windowHeight="15045" tabRatio="633" activeTab="1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8" r:id="rId9"/>
    <sheet name="Oil Crops Chart Gallery Fig 1" sheetId="13" r:id="rId10"/>
    <sheet name="Oil Crops Chart Gallery Fig 2" sheetId="12" r:id="rId11"/>
  </sheets>
  <definedNames>
    <definedName name="_xlnm.Print_Area" localSheetId="1">'Table 1'!$A$1:$N$40</definedName>
    <definedName name="_xlnm.Print_Area" localSheetId="7">'Table 10'!$A$1:$G$39</definedName>
    <definedName name="_xlnm.Print_Area" localSheetId="2">'Table 2'!$A$1:$J$31</definedName>
    <definedName name="_xlnm.Print_Area" localSheetId="3">'Table 3'!$A$1:$M$46</definedName>
    <definedName name="_xlnm.Print_Area" localSheetId="5">'Table 8'!$A$1:$G$37</definedName>
    <definedName name="_xlnm.Print_Area" localSheetId="6">'Table 9'!$A$1:$I$39</definedName>
    <definedName name="_xlnm.Print_Area" localSheetId="4">'Tables 4-7'!$A$1:$O$52</definedName>
    <definedName name="WASDE_Updated" localSheetId="0">Contents!#REF!</definedName>
  </definedNames>
  <calcPr calcId="152511"/>
</workbook>
</file>

<file path=xl/calcChain.xml><?xml version="1.0" encoding="utf-8"?>
<calcChain xmlns="http://schemas.openxmlformats.org/spreadsheetml/2006/main">
  <c r="B52" i="3" l="1"/>
  <c r="C9" i="8" l="1"/>
  <c r="C8" i="8"/>
  <c r="C7" i="8"/>
  <c r="C6" i="8"/>
  <c r="C5" i="8"/>
  <c r="C4" i="8"/>
  <c r="D15" i="13"/>
  <c r="C6" i="13"/>
  <c r="C5" i="13"/>
  <c r="C4" i="13"/>
  <c r="B15" i="13"/>
  <c r="B14" i="13"/>
  <c r="B13" i="13"/>
  <c r="B12" i="13"/>
  <c r="B11" i="13"/>
  <c r="B10" i="13"/>
  <c r="B9" i="13"/>
  <c r="B8" i="13"/>
  <c r="B7" i="13"/>
  <c r="B6" i="13"/>
  <c r="B5" i="13"/>
  <c r="B4" i="13"/>
  <c r="E6" i="13"/>
  <c r="E5" i="13"/>
  <c r="D14" i="13"/>
  <c r="D13" i="13"/>
  <c r="D12" i="13"/>
  <c r="D11" i="13"/>
  <c r="D10" i="13"/>
  <c r="D9" i="13"/>
  <c r="D8" i="13"/>
  <c r="D7" i="13"/>
  <c r="D6" i="13"/>
  <c r="D5" i="13"/>
  <c r="E12" i="12"/>
  <c r="E11" i="12"/>
  <c r="E10" i="12"/>
  <c r="E9" i="12"/>
  <c r="E8" i="12"/>
  <c r="E7" i="12"/>
  <c r="E6" i="12"/>
  <c r="E5" i="12"/>
  <c r="C12" i="12"/>
  <c r="C11" i="12"/>
  <c r="C10" i="12"/>
  <c r="C9" i="12"/>
  <c r="C8" i="12"/>
  <c r="C7" i="12"/>
  <c r="C6" i="12"/>
  <c r="C5" i="12"/>
  <c r="C4" i="12"/>
  <c r="E4" i="12"/>
  <c r="H28" i="2" l="1"/>
  <c r="G28" i="2" s="1"/>
  <c r="D28" i="2"/>
  <c r="D29" i="9"/>
  <c r="J29" i="9"/>
  <c r="L35" i="1"/>
  <c r="G35" i="1"/>
  <c r="L29" i="9" l="1"/>
  <c r="J35" i="1"/>
  <c r="J28" i="2"/>
  <c r="C28" i="2"/>
  <c r="C30" i="9" l="1"/>
  <c r="I28" i="9"/>
  <c r="I30" i="9" s="1"/>
  <c r="J30" i="9"/>
  <c r="H30" i="9"/>
  <c r="D30" i="9"/>
  <c r="E29" i="9"/>
  <c r="K29" i="9" s="1"/>
  <c r="B29" i="9"/>
  <c r="H29" i="2"/>
  <c r="G29" i="2"/>
  <c r="D29" i="2"/>
  <c r="C29" i="2"/>
  <c r="E28" i="2"/>
  <c r="I28" i="2" s="1"/>
  <c r="I29" i="2" s="1"/>
  <c r="B28" i="2"/>
  <c r="M15" i="1"/>
  <c r="M34" i="1"/>
  <c r="K36" i="1"/>
  <c r="J36" i="1"/>
  <c r="L36" i="1"/>
  <c r="F36" i="1"/>
  <c r="G36" i="1"/>
  <c r="H36" i="1" s="1"/>
  <c r="M36" i="1" l="1"/>
  <c r="K30" i="9"/>
  <c r="G29" i="9"/>
  <c r="G30" i="9" s="1"/>
  <c r="F34" i="1"/>
  <c r="D27" i="2" l="1"/>
  <c r="H27" i="2"/>
  <c r="J28" i="9"/>
  <c r="D28" i="9"/>
  <c r="G33" i="1"/>
  <c r="L33" i="1"/>
  <c r="G35" i="6" l="1"/>
  <c r="J27" i="2" l="1"/>
  <c r="J26" i="2"/>
  <c r="C27" i="2"/>
  <c r="C26" i="2"/>
  <c r="J33" i="1"/>
  <c r="J34" i="1"/>
  <c r="J32" i="1"/>
  <c r="L28" i="9"/>
  <c r="L27" i="9"/>
  <c r="E29" i="2"/>
  <c r="B27" i="2"/>
  <c r="E27" i="2" s="1"/>
  <c r="I27" i="2" s="1"/>
  <c r="G27" i="2" s="1"/>
  <c r="L34" i="1"/>
  <c r="G34" i="1"/>
  <c r="E34" i="1"/>
  <c r="D27" i="9" l="1"/>
  <c r="J27" i="9"/>
  <c r="H26" i="2"/>
  <c r="D26" i="2"/>
  <c r="L32" i="1"/>
  <c r="G32" i="1"/>
  <c r="B28" i="9" l="1"/>
  <c r="E28" i="9" s="1"/>
  <c r="K28" i="9" s="1"/>
  <c r="G28" i="9" s="1"/>
  <c r="L23" i="9"/>
  <c r="E21" i="2"/>
  <c r="B11" i="2"/>
  <c r="B7" i="2"/>
  <c r="B12" i="9"/>
  <c r="J23" i="9" l="1"/>
  <c r="D23" i="9"/>
  <c r="D22" i="2"/>
  <c r="H22" i="2"/>
  <c r="L31" i="1"/>
  <c r="G31" i="1"/>
  <c r="B27" i="9" l="1"/>
  <c r="E27" i="9" s="1"/>
  <c r="L22" i="9"/>
  <c r="B23" i="9" s="1"/>
  <c r="E23" i="9" s="1"/>
  <c r="J22" i="9"/>
  <c r="D22" i="9"/>
  <c r="J22" i="2"/>
  <c r="B26" i="2" s="1"/>
  <c r="E26" i="2" s="1"/>
  <c r="I26" i="2" s="1"/>
  <c r="J21" i="2"/>
  <c r="C22" i="2"/>
  <c r="C21" i="2"/>
  <c r="B22" i="2"/>
  <c r="E22" i="2" s="1"/>
  <c r="I22" i="2" s="1"/>
  <c r="C24" i="9"/>
  <c r="C8" i="9" s="1"/>
  <c r="H24" i="9"/>
  <c r="H8" i="9" s="1"/>
  <c r="J31" i="1"/>
  <c r="J26" i="1"/>
  <c r="F8" i="1"/>
  <c r="D8" i="1" s="1"/>
  <c r="H34" i="1"/>
  <c r="K34" i="1" s="1"/>
  <c r="E7" i="1"/>
  <c r="G26" i="2" l="1"/>
  <c r="K27" i="9"/>
  <c r="E30" i="9"/>
  <c r="J7" i="2"/>
  <c r="B8" i="2" s="1"/>
  <c r="L8" i="9"/>
  <c r="G22" i="2"/>
  <c r="K23" i="9"/>
  <c r="G23" i="9" s="1"/>
  <c r="I23" i="9" s="1"/>
  <c r="B41" i="1"/>
  <c r="G27" i="9" l="1"/>
  <c r="H21" i="2"/>
  <c r="D21" i="2"/>
  <c r="G26" i="1"/>
  <c r="L26" i="1"/>
  <c r="I27" i="9" l="1"/>
  <c r="J20" i="2"/>
  <c r="C20" i="2"/>
  <c r="J25" i="1"/>
  <c r="L21" i="9"/>
  <c r="N7" i="1" l="1"/>
  <c r="E27" i="1" l="1"/>
  <c r="B22" i="9" l="1"/>
  <c r="E22" i="9" s="1"/>
  <c r="K22" i="9" s="1"/>
  <c r="B21" i="2"/>
  <c r="I21" i="2" s="1"/>
  <c r="G21" i="2" s="1"/>
  <c r="F28" i="1"/>
  <c r="F7" i="1" s="1"/>
  <c r="G22" i="9" l="1"/>
  <c r="I22" i="9" s="1"/>
  <c r="D20" i="2" l="1"/>
  <c r="H20" i="2"/>
  <c r="D21" i="9"/>
  <c r="J21" i="9"/>
  <c r="L20" i="9"/>
  <c r="B21" i="9" s="1"/>
  <c r="L25" i="1"/>
  <c r="G25" i="1"/>
  <c r="E21" i="9" l="1"/>
  <c r="K21" i="9" s="1"/>
  <c r="G21" i="9" s="1"/>
  <c r="K47" i="3"/>
  <c r="K46" i="3"/>
  <c r="I21" i="9" l="1"/>
  <c r="J20" i="9"/>
  <c r="D20" i="9"/>
  <c r="H19" i="2"/>
  <c r="D19" i="2"/>
  <c r="L24" i="1"/>
  <c r="L27" i="1" s="1"/>
  <c r="G24" i="1"/>
  <c r="G27" i="1" s="1"/>
  <c r="H27" i="1" s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D19" i="9"/>
  <c r="H18" i="2"/>
  <c r="D18" i="2"/>
  <c r="L22" i="1"/>
  <c r="G22" i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D14" i="9"/>
  <c r="D13" i="9"/>
  <c r="D12" i="9"/>
  <c r="J14" i="9"/>
  <c r="J13" i="9"/>
  <c r="J12" i="9"/>
  <c r="H13" i="2"/>
  <c r="H12" i="2"/>
  <c r="H11" i="2"/>
  <c r="D13" i="2"/>
  <c r="D12" i="2"/>
  <c r="D11" i="2"/>
  <c r="G14" i="1"/>
  <c r="G13" i="1"/>
  <c r="G12" i="1"/>
  <c r="L16" i="1"/>
  <c r="L14" i="1"/>
  <c r="L13" i="1"/>
  <c r="L12" i="1"/>
  <c r="I18" i="2" l="1"/>
  <c r="G18" i="2"/>
  <c r="D17" i="9"/>
  <c r="C16" i="2"/>
  <c r="J16" i="2"/>
  <c r="B17" i="2" s="1"/>
  <c r="D16" i="2"/>
  <c r="H16" i="2"/>
  <c r="L46" i="3" l="1"/>
  <c r="N46" i="3"/>
  <c r="H47" i="3"/>
  <c r="N47" i="3" s="1"/>
  <c r="L47" i="3" s="1"/>
  <c r="H46" i="3"/>
  <c r="E48" i="3"/>
  <c r="H48" i="3" s="1"/>
  <c r="N48" i="3" s="1"/>
  <c r="L48" i="3" s="1"/>
  <c r="E47" i="3"/>
  <c r="D48" i="3"/>
  <c r="D47" i="3"/>
  <c r="D46" i="3"/>
  <c r="B35" i="3"/>
  <c r="B34" i="3"/>
  <c r="E34" i="3" s="1"/>
  <c r="I34" i="3" s="1"/>
  <c r="G34" i="3" s="1"/>
  <c r="B22" i="3"/>
  <c r="E22" i="3" s="1"/>
  <c r="I22" i="3" s="1"/>
  <c r="G22" i="3" s="1"/>
  <c r="B21" i="3"/>
  <c r="B9" i="3"/>
  <c r="E9" i="3" s="1"/>
  <c r="J9" i="3" s="1"/>
  <c r="I9" i="3" s="1"/>
  <c r="B8" i="3"/>
  <c r="E8" i="3" s="1"/>
  <c r="J8" i="3" s="1"/>
  <c r="I8" i="3" s="1"/>
  <c r="G20" i="3"/>
  <c r="J7" i="3"/>
  <c r="I7" i="3" s="1"/>
  <c r="I20" i="3"/>
  <c r="E35" i="3"/>
  <c r="I35" i="3" s="1"/>
  <c r="G35" i="3" s="1"/>
  <c r="E33" i="3"/>
  <c r="I33" i="3" s="1"/>
  <c r="G33" i="3" s="1"/>
  <c r="E21" i="3"/>
  <c r="I21" i="3" s="1"/>
  <c r="G21" i="3" s="1"/>
  <c r="E20" i="3"/>
  <c r="E7" i="3"/>
  <c r="B18" i="9" l="1"/>
  <c r="J17" i="9"/>
  <c r="J18" i="9"/>
  <c r="D18" i="9"/>
  <c r="L21" i="1"/>
  <c r="L23" i="1" s="1"/>
  <c r="G21" i="1"/>
  <c r="G23" i="1" s="1"/>
  <c r="H23" i="1" s="1"/>
  <c r="M23" i="1" s="1"/>
  <c r="K23" i="1" s="1"/>
  <c r="H17" i="2"/>
  <c r="D17" i="2"/>
  <c r="E17" i="2" s="1"/>
  <c r="I17" i="2" s="1"/>
  <c r="G17" i="2" s="1"/>
  <c r="E18" i="9" l="1"/>
  <c r="K18" i="9" s="1"/>
  <c r="G18" i="9" s="1"/>
  <c r="B9" i="9"/>
  <c r="E9" i="9" s="1"/>
  <c r="K9" i="9" s="1"/>
  <c r="G9" i="9" s="1"/>
  <c r="I9" i="9" s="1"/>
  <c r="B8" i="9"/>
  <c r="E8" i="1"/>
  <c r="H8" i="1" s="1"/>
  <c r="M8" i="1" s="1"/>
  <c r="K8" i="1" s="1"/>
  <c r="H6" i="1"/>
  <c r="M6" i="1" s="1"/>
  <c r="K6" i="1" s="1"/>
  <c r="E8" i="2"/>
  <c r="I8" i="2" s="1"/>
  <c r="G8" i="2" s="1"/>
  <c r="D7" i="1"/>
  <c r="D6" i="1"/>
  <c r="I18" i="9" l="1"/>
  <c r="H15" i="2"/>
  <c r="D15" i="2"/>
  <c r="J16" i="9"/>
  <c r="D16" i="9"/>
  <c r="L18" i="1"/>
  <c r="G18" i="1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14" i="2"/>
  <c r="D23" i="2" s="1"/>
  <c r="D7" i="2" s="1"/>
  <c r="H14" i="2"/>
  <c r="H23" i="2" s="1"/>
  <c r="H7" i="2" s="1"/>
  <c r="J15" i="9"/>
  <c r="J24" i="9" s="1"/>
  <c r="J8" i="9" s="1"/>
  <c r="D15" i="9"/>
  <c r="D24" i="9" s="1"/>
  <c r="D8" i="9" s="1"/>
  <c r="E8" i="9" s="1"/>
  <c r="K8" i="9" s="1"/>
  <c r="L17" i="1"/>
  <c r="L19" i="1" s="1"/>
  <c r="G17" i="1"/>
  <c r="G8" i="9" l="1"/>
  <c r="I8" i="9" s="1"/>
  <c r="J12" i="1"/>
  <c r="G16" i="1" l="1"/>
  <c r="G19" i="1" s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s="1"/>
  <c r="C7" i="2" s="1"/>
  <c r="E7" i="2" s="1"/>
  <c r="I7" i="2" s="1"/>
  <c r="G7" i="2" s="1"/>
  <c r="B13" i="9" l="1"/>
  <c r="E13" i="9" s="1"/>
  <c r="K13" i="9" s="1"/>
  <c r="G13" i="9" s="1"/>
  <c r="I13" i="9" s="1"/>
  <c r="B12" i="2"/>
  <c r="E12" i="2" s="1"/>
  <c r="I12" i="2" s="1"/>
  <c r="G12" i="2" s="1"/>
  <c r="J15" i="1"/>
  <c r="J28" i="1" s="1"/>
  <c r="J7" i="1" s="1"/>
  <c r="L15" i="1"/>
  <c r="L28" i="1" s="1"/>
  <c r="L7" i="1" s="1"/>
  <c r="G15" i="1"/>
  <c r="G28" i="1" s="1"/>
  <c r="G7" i="1" l="1"/>
  <c r="H7" i="1" s="1"/>
  <c r="M7" i="1" s="1"/>
  <c r="K7" i="1" s="1"/>
  <c r="H28" i="1"/>
  <c r="E11" i="2"/>
  <c r="E24" i="9"/>
  <c r="H15" i="1"/>
  <c r="M28" i="1" s="1"/>
  <c r="B41" i="6"/>
  <c r="B40" i="5"/>
  <c r="B40" i="4"/>
  <c r="B33" i="9"/>
  <c r="B32" i="2"/>
  <c r="A5" i="10"/>
  <c r="E7" i="9"/>
  <c r="K7" i="9" s="1"/>
  <c r="E6" i="2"/>
  <c r="I6" i="2" s="1"/>
  <c r="G6" i="2" s="1"/>
  <c r="I11" i="2" l="1"/>
  <c r="I23" i="2" s="1"/>
  <c r="E23" i="2"/>
  <c r="G7" i="9"/>
  <c r="I7" i="9" s="1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<sst xmlns="http://schemas.openxmlformats.org/spreadsheetml/2006/main" count="514" uniqueCount="193">
  <si>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</si>
  <si>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</si>
  <si>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</si>
  <si>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</si>
  <si>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</si>
  <si>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</si>
  <si>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</si>
  <si>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</si>
  <si>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</si>
  <si>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</si>
  <si>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</si>
  <si>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</si>
  <si>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</si>
  <si>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</si>
  <si>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</si>
  <si>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</si>
  <si>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</si>
  <si>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</si>
  <si>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</si>
  <si>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</si>
  <si>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</si>
  <si>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</si>
  <si>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</si>
  <si>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</si>
  <si>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</si>
  <si>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</si>
  <si>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</si>
  <si>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</si>
  <si>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</si>
  <si>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</si>
  <si>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</si>
  <si>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</si>
  <si>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</si>
  <si>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</si>
  <si>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</si>
  <si>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</si>
  <si>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</si>
  <si>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</si>
  <si>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</si>
  <si>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</si>
  <si>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</si>
  <si>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</si>
  <si>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</si>
  <si>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</si>
  <si>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</si>
  <si>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</si>
  <si>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</si>
  <si>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</si>
  <si>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</si>
  <si>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</si>
  <si>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</si>
  <si>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</si>
  <si>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</si>
  <si>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</si>
  <si>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</si>
  <si>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</si>
  <si>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</si>
  <si>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</si>
  <si>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</si>
  <si>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</si>
  <si>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</si>
  <si>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</si>
  <si>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</si>
  <si>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</si>
  <si>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</si>
  <si>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</si>
  <si>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</si>
  <si>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</si>
  <si>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</si>
  <si>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</si>
  <si>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</si>
  <si>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</si>
  <si>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</si>
  <si>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</si>
  <si>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</si>
  <si>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</si>
  <si>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</si>
  <si>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</si>
  <si>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</si>
  <si>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</si>
  <si>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</si>
  <si>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</si>
  <si>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</si>
  <si>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</si>
  <si>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</si>
  <si>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</si>
  <si>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</si>
  <si>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</si>
  <si>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</si>
  <si>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</si>
  <si>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</si>
  <si>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</si>
  <si>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</si>
  <si>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</si>
  <si>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</si>
  <si>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</si>
  <si>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</si>
  <si>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</si>
  <si>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</si>
  <si>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</si>
  <si>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</si>
  <si>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</si>
  <si>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</si>
  <si>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</si>
  <si>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</si>
  <si>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</si>
  <si>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</si>
  <si>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</si>
  <si>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</si>
  <si>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</si>
  <si>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</si>
  <si>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</si>
  <si>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</si>
  <si>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</si>
  <si>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</si>
  <si>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</si>
  <si>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</si>
  <si>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</si>
  <si>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</si>
  <si>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</si>
  <si>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</si>
  <si>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</si>
  <si>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</si>
  <si>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</si>
  <si>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</si>
  <si>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</si>
  <si>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</si>
  <si>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</si>
  <si>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</si>
  <si>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</si>
  <si>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</si>
  <si>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</si>
  <si>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</si>
  <si>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</si>
  <si>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</si>
  <si>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</si>
  <si>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</si>
  <si>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</si>
  <si>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</si>
  <si>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</si>
  <si>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</si>
  <si>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</si>
  <si>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</si>
  <si>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</si>
  <si>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</si>
  <si>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</si>
  <si>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</si>
  <si>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</si>
  <si>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</si>
  <si>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</si>
  <si>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</si>
  <si>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</si>
  <si>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</si>
  <si>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</si>
  <si>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</si>
  <si>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export sales commitments</t>
  </si>
  <si>
    <t>All other</t>
  </si>
  <si>
    <t>Soybean</t>
  </si>
  <si>
    <t>exports</t>
  </si>
  <si>
    <t xml:space="preserve">U.S. </t>
  </si>
  <si>
    <t>(China)</t>
  </si>
  <si>
    <t>Brazil</t>
  </si>
  <si>
    <t>(Total)</t>
  </si>
  <si>
    <t>2019/20F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</si>
  <si>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</si>
  <si>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</si>
  <si>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</si>
  <si>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</si>
  <si>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</si>
  <si>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</si>
  <si>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</si>
  <si>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</si>
  <si>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</si>
  <si>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</si>
  <si>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</si>
  <si>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use</t>
  </si>
  <si>
    <t>(right axis)</t>
  </si>
  <si>
    <t>Soybeans</t>
  </si>
  <si>
    <t>agricultural products</t>
  </si>
  <si>
    <t>U.S. exports</t>
  </si>
  <si>
    <t>to China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</si>
  <si>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</si>
  <si>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</si>
  <si>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</si>
  <si>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</si>
  <si>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</si>
  <si>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</si>
  <si>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</si>
  <si>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t xml:space="preserve">Contact: Mark Ash at mark.ash@usda.gov   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</si>
  <si>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</si>
  <si>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</si>
  <si>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</si>
  <si>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 xml:space="preserve">Source:  USDA, Foreign Agricultural Service, </t>
    </r>
    <r>
      <rPr>
        <i/>
        <sz val="11"/>
        <rFont val="Arial"/>
        <family val="2"/>
      </rPr>
      <t>Production, Supply, and Distribution Online.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</si>
</sst>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[$-409]d\-mmm;@"/>
    <numFmt numFmtId="176" formatCode="0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0" fontId="1" fillId="0" borderId="0" xfId="0" applyFont="1"/>
    <xf numFmtId="0" fontId="1" fillId="0" borderId="0" xfId="1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" fillId="0" borderId="0" xfId="10" applyFont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0" fillId="0" borderId="0" xfId="0" applyNumberFormat="1" applyProtection="1"/>
    <xf numFmtId="2" fontId="1" fillId="0" borderId="0" xfId="0" applyNumberFormat="1" applyFont="1"/>
    <xf numFmtId="2" fontId="0" fillId="0" borderId="0" xfId="0" applyNumberFormat="1" applyBorder="1"/>
    <xf numFmtId="175" fontId="1" fillId="0" borderId="0" xfId="0" applyNumberFormat="1" applyFont="1" applyBorder="1"/>
    <xf numFmtId="175" fontId="0" fillId="0" borderId="0" xfId="0" applyNumberFormat="1" applyBorder="1"/>
    <xf numFmtId="1" fontId="0" fillId="0" borderId="0" xfId="12" applyNumberFormat="1" applyFont="1"/>
    <xf numFmtId="171" fontId="13" fillId="0" borderId="0" xfId="0" applyNumberFormat="1" applyFont="1" applyBorder="1"/>
    <xf numFmtId="176" fontId="17" fillId="0" borderId="0" xfId="0" quotePrefix="1" applyNumberFormat="1" applyFont="1" applyAlignment="1" applyProtection="1">
      <alignment horizontal="right"/>
    </xf>
    <xf numFmtId="176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66" fontId="0" fillId="0" borderId="0" xfId="1" applyNumberFormat="1" applyFont="1"/>
    <xf numFmtId="2" fontId="1" fillId="0" borderId="0" xfId="1" applyNumberFormat="1" applyFont="1" applyBorder="1" applyAlignment="1">
      <alignment wrapText="1"/>
    </xf>
    <xf numFmtId="2" fontId="2" fillId="0" borderId="0" xfId="10" applyNumberFormat="1" applyBorder="1" applyAlignment="1">
      <alignment wrapText="1"/>
    </xf>
    <xf numFmtId="171" fontId="13" fillId="0" borderId="0" xfId="1" applyNumberFormat="1" applyFont="1" applyBorder="1" applyAlignment="1">
      <alignment horizontal="left" indent="1"/>
    </xf>
    <xf numFmtId="164" fontId="1" fillId="0" borderId="0" xfId="1" applyNumberFormat="1" applyFont="1" applyProtection="1"/>
    <xf numFmtId="171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colors>
    <mruColors>
      <color rgb="FF0000FF"/>
      <color rgb="FFFFCF01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3" algn="l" rtl="0">
              <a:defRPr sz="105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$40 Billion trade deal may swell U.S. soybean sales to China in 2020 and 2021 </a:t>
            </a:r>
            <a:endParaRPr lang="en-US" sz="1050"/>
          </a:p>
        </c:rich>
      </c:tx>
      <c:layout>
        <c:manualLayout>
          <c:xMode val="edge"/>
          <c:yMode val="edge"/>
          <c:x val="2.9615954329162329E-2"/>
          <c:y val="6.2138069364808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Cover!$B$1</c:f>
              <c:strCache>
                <c:ptCount val="1"/>
                <c:pt idx="0">
                  <c:v>Soybeans</c:v>
                </c:pt>
              </c:strCache>
            </c:strRef>
          </c:tx>
          <c:spPr>
            <a:pattFill prst="wdDn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Cover!$A$4:$A$9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Cover!$B$4:$B$9</c:f>
              <c:numCache>
                <c:formatCode>0.00</c:formatCode>
                <c:ptCount val="6"/>
                <c:pt idx="0">
                  <c:v>14.476293</c:v>
                </c:pt>
                <c:pt idx="1">
                  <c:v>10.488690999999999</c:v>
                </c:pt>
                <c:pt idx="2">
                  <c:v>14.202579</c:v>
                </c:pt>
                <c:pt idx="3">
                  <c:v>12.224418</c:v>
                </c:pt>
                <c:pt idx="4">
                  <c:v>3.1192289999999998</c:v>
                </c:pt>
                <c:pt idx="5">
                  <c:v>7.9888769999999996</c:v>
                </c:pt>
              </c:numCache>
            </c:numRef>
          </c:val>
        </c:ser>
        <c:ser>
          <c:idx val="0"/>
          <c:order val="1"/>
          <c:tx>
            <c:strRef>
              <c:f>Cover!$C$1:$C$2</c:f>
              <c:strCache>
                <c:ptCount val="2"/>
                <c:pt idx="0">
                  <c:v>All other</c:v>
                </c:pt>
                <c:pt idx="1">
                  <c:v>agricultural products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Cover!$A$4:$A$9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Cover!$C$4:$C$9</c:f>
              <c:numCache>
                <c:formatCode>0.00</c:formatCode>
                <c:ptCount val="6"/>
                <c:pt idx="0">
                  <c:v>9.7429380000000005</c:v>
                </c:pt>
                <c:pt idx="1">
                  <c:v>9.7414850000000008</c:v>
                </c:pt>
                <c:pt idx="2">
                  <c:v>7.1918819999999997</c:v>
                </c:pt>
                <c:pt idx="3">
                  <c:v>7.2514749999999992</c:v>
                </c:pt>
                <c:pt idx="4">
                  <c:v>6.0273960000000004</c:v>
                </c:pt>
                <c:pt idx="5">
                  <c:v>5.8605179999999999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37134160"/>
        <c:axId val="-537146672"/>
      </c:barChart>
      <c:dateAx>
        <c:axId val="-53713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Source: USDA, Foreign Agricultural Service, </a:t>
                </a:r>
                <a:r>
                  <a:rPr lang="en-US" i="1"/>
                  <a:t>Global Agricultural Trade System</a:t>
                </a:r>
                <a:r>
                  <a:rPr lang="en-US" i="1" baseline="0"/>
                  <a:t>.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5.461349329205719E-2"/>
              <c:y val="0.9256543423591857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7146672"/>
        <c:crosses val="autoZero"/>
        <c:auto val="1"/>
        <c:lblOffset val="100"/>
        <c:baseTimeUnit val="days"/>
        <c:minorTimeUnit val="months"/>
      </c:dateAx>
      <c:valAx>
        <c:axId val="-537146672"/>
        <c:scaling>
          <c:orientation val="minMax"/>
          <c:max val="4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Billion $</a:t>
                </a:r>
              </a:p>
            </c:rich>
          </c:tx>
          <c:layout>
            <c:manualLayout>
              <c:xMode val="edge"/>
              <c:yMode val="edge"/>
              <c:x val="3.2149278290418623E-2"/>
              <c:y val="0.1356110850239124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7134160"/>
        <c:crosses val="autoZero"/>
        <c:crossBetween val="between"/>
        <c:majorUnit val="10"/>
        <c:min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2231448119039885"/>
          <c:y val="0.21266916133657865"/>
          <c:w val="0.2158947181712883"/>
          <c:h val="0.1214003259248888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Although domestic use of soybean oil starts slowly in 2019/20, exports display strength</a:t>
            </a:r>
            <a:r>
              <a:rPr lang="en-US" sz="1050" b="1" baseline="0"/>
              <a:t> </a:t>
            </a:r>
            <a:endParaRPr lang="en-US" sz="1050" b="1"/>
          </a:p>
        </c:rich>
      </c:tx>
      <c:layout>
        <c:manualLayout>
          <c:xMode val="edge"/>
          <c:yMode val="edge"/>
          <c:x val="7.4644442055296509E-2"/>
          <c:y val="5.6908324586699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2072426781483"/>
          <c:y val="0.19511964750582575"/>
          <c:w val="0.72607747510518172"/>
          <c:h val="0.6557910876144708"/>
        </c:manualLayout>
      </c:layout>
      <c:lineChart>
        <c:grouping val="standard"/>
        <c:varyColors val="0"/>
        <c:ser>
          <c:idx val="1"/>
          <c:order val="0"/>
          <c:tx>
            <c:strRef>
              <c:f>'Oil Crops Chart Gallery Fig 1'!$B$1:$B$3</c:f>
              <c:strCache>
                <c:ptCount val="3"/>
                <c:pt idx="0">
                  <c:v>2018/19</c:v>
                </c:pt>
                <c:pt idx="1">
                  <c:v>Domestic</c:v>
                </c:pt>
                <c:pt idx="2">
                  <c:v>use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'Oil Crops Chart Gallery Fig 1'!$A$4:$A$15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1'!$B$4:$B$15</c:f>
              <c:numCache>
                <c:formatCode>_(* #,##0.0_);_(* \(#,##0.0\);_(* "-"??_);_(@_)</c:formatCode>
                <c:ptCount val="12"/>
                <c:pt idx="0">
                  <c:v>1.9711017975406999</c:v>
                </c:pt>
                <c:pt idx="1">
                  <c:v>3.9983539289604701</c:v>
                </c:pt>
                <c:pt idx="2">
                  <c:v>5.9748924239852501</c:v>
                </c:pt>
                <c:pt idx="3">
                  <c:v>7.8417885126917799</c:v>
                </c:pt>
                <c:pt idx="4">
                  <c:v>9.5341727900257798</c:v>
                </c:pt>
                <c:pt idx="5">
                  <c:v>11.30335394108285</c:v>
                </c:pt>
                <c:pt idx="6">
                  <c:v>13.148600546736271</c:v>
                </c:pt>
                <c:pt idx="7">
                  <c:v>15.132263748443981</c:v>
                </c:pt>
                <c:pt idx="8">
                  <c:v>16.88790553312073</c:v>
                </c:pt>
                <c:pt idx="9">
                  <c:v>18.81517212761689</c:v>
                </c:pt>
                <c:pt idx="10">
                  <c:v>20.964662188877462</c:v>
                </c:pt>
                <c:pt idx="11">
                  <c:v>22.872328476166263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'Oil Crops Chart Gallery Fig 1'!$C$1:$C$3</c:f>
              <c:strCache>
                <c:ptCount val="3"/>
                <c:pt idx="0">
                  <c:v>2019/20</c:v>
                </c:pt>
                <c:pt idx="1">
                  <c:v>Domestic</c:v>
                </c:pt>
                <c:pt idx="2">
                  <c:v>use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strRef>
              <c:f>'Oil Crops Chart Gallery Fig 1'!$A$4:$A$15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1'!$C$4:$C$15</c:f>
              <c:numCache>
                <c:formatCode>_(* #,##0.0_);_(* \(#,##0.0\);_(* "-"??_);_(@_)</c:formatCode>
                <c:ptCount val="12"/>
                <c:pt idx="0">
                  <c:v>1.88094527559532</c:v>
                </c:pt>
                <c:pt idx="1">
                  <c:v>3.59776332265622</c:v>
                </c:pt>
                <c:pt idx="2">
                  <c:v>5.3461750594434703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7133072"/>
        <c:axId val="-537145584"/>
      </c:lineChart>
      <c:lineChart>
        <c:grouping val="standard"/>
        <c:varyColors val="0"/>
        <c:ser>
          <c:idx val="2"/>
          <c:order val="2"/>
          <c:tx>
            <c:strRef>
              <c:f>'Oil Crops Chart Gallery Fig 1'!$D$1:$D$3</c:f>
              <c:strCache>
                <c:ptCount val="3"/>
                <c:pt idx="0">
                  <c:v>2018/19</c:v>
                </c:pt>
                <c:pt idx="1">
                  <c:v>Exports</c:v>
                </c:pt>
                <c:pt idx="2">
                  <c:v>(right axis)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'Oil Crops Chart Gallery Fig 1'!$A$4:$A$15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1'!$D$4:$D$15</c:f>
              <c:numCache>
                <c:formatCode>_(* #,##0.0_);_(* \(#,##0.0\);_(* "-"??_);_(@_)</c:formatCode>
                <c:ptCount val="12"/>
                <c:pt idx="0">
                  <c:v>146.20482768288602</c:v>
                </c:pt>
                <c:pt idx="1">
                  <c:v>361.27820398962604</c:v>
                </c:pt>
                <c:pt idx="2">
                  <c:v>519.00698108460597</c:v>
                </c:pt>
                <c:pt idx="3">
                  <c:v>740.06654105248197</c:v>
                </c:pt>
                <c:pt idx="4">
                  <c:v>831.80498291100002</c:v>
                </c:pt>
                <c:pt idx="5">
                  <c:v>1103.6440599662519</c:v>
                </c:pt>
                <c:pt idx="6">
                  <c:v>1251.8470754589239</c:v>
                </c:pt>
                <c:pt idx="7">
                  <c:v>1457.5810931580779</c:v>
                </c:pt>
                <c:pt idx="8">
                  <c:v>1552.9735174072139</c:v>
                </c:pt>
                <c:pt idx="9">
                  <c:v>1727.2919339563859</c:v>
                </c:pt>
                <c:pt idx="10">
                  <c:v>1892.878832638836</c:v>
                </c:pt>
                <c:pt idx="11">
                  <c:v>1941.35002010271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'Oil Crops Chart Gallery Fig 1'!$E$1:$E$3</c:f>
              <c:strCache>
                <c:ptCount val="3"/>
                <c:pt idx="0">
                  <c:v>2019/20</c:v>
                </c:pt>
                <c:pt idx="1">
                  <c:v>Exports</c:v>
                </c:pt>
                <c:pt idx="2">
                  <c:v>(right axis)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'Oil Crops Chart Gallery Fig 1'!$A$4:$A$15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</c:v>
                </c:pt>
                <c:pt idx="6">
                  <c:v>Apr</c:v>
                </c:pt>
                <c:pt idx="7">
                  <c:v>May</c:v>
                </c:pt>
                <c:pt idx="8">
                  <c:v>Jun</c:v>
                </c:pt>
                <c:pt idx="9">
                  <c:v>Jul</c:v>
                </c:pt>
                <c:pt idx="10">
                  <c:v>Aug</c:v>
                </c:pt>
                <c:pt idx="11">
                  <c:v>Sep</c:v>
                </c:pt>
              </c:strCache>
            </c:strRef>
          </c:cat>
          <c:val>
            <c:numRef>
              <c:f>'Oil Crops Chart Gallery Fig 1'!$E$4:$E$15</c:f>
              <c:numCache>
                <c:formatCode>_(* #,##0.0_);_(* \(#,##0.0\);_(* "-"??_);_(@_)</c:formatCode>
                <c:ptCount val="12"/>
                <c:pt idx="0">
                  <c:v>252.53776576879199</c:v>
                </c:pt>
                <c:pt idx="1">
                  <c:v>499.89661651880999</c:v>
                </c:pt>
                <c:pt idx="2">
                  <c:v>684.155722167666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37143408"/>
        <c:axId val="-537144496"/>
      </c:lineChart>
      <c:catAx>
        <c:axId val="-53713307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Sources: USDA, National Agricultural Statistics Service, </a:t>
                </a:r>
                <a:r>
                  <a:rPr lang="en-US" sz="800" i="1"/>
                  <a:t>Fats &amp; Oils: Oilseed Crushing, Production, Consumption and Stocks, </a:t>
                </a:r>
                <a:r>
                  <a:rPr lang="en-US" sz="800"/>
                  <a:t>and Foreign Agricultural Service, </a:t>
                </a:r>
                <a:r>
                  <a:rPr lang="en-US" sz="800" i="1"/>
                  <a:t>Global Agricultural Trade System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8.1262493219679238E-2"/>
              <c:y val="0.94608098273831487"/>
            </c:manualLayout>
          </c:layout>
          <c:overlay val="0"/>
        </c:title>
        <c:numFmt formatCode="mmm\-d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7145584"/>
        <c:crosses val="autoZero"/>
        <c:auto val="1"/>
        <c:lblAlgn val="ctr"/>
        <c:lblOffset val="300"/>
        <c:noMultiLvlLbl val="1"/>
      </c:catAx>
      <c:valAx>
        <c:axId val="-537145584"/>
        <c:scaling>
          <c:orientation val="minMax"/>
          <c:max val="25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Billion pounds</a:t>
                </a:r>
              </a:p>
            </c:rich>
          </c:tx>
          <c:layout>
            <c:manualLayout>
              <c:xMode val="edge"/>
              <c:yMode val="edge"/>
              <c:x val="7.4149688008613518E-2"/>
              <c:y val="0.12412901521244631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7133072"/>
        <c:crosses val="autoZero"/>
        <c:crossBetween val="between"/>
        <c:majorUnit val="5"/>
        <c:minorUnit val="1"/>
      </c:valAx>
      <c:valAx>
        <c:axId val="-537144496"/>
        <c:scaling>
          <c:orientation val="minMax"/>
          <c:max val="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pounds</a:t>
                </a:r>
              </a:p>
            </c:rich>
          </c:tx>
          <c:layout>
            <c:manualLayout>
              <c:xMode val="edge"/>
              <c:yMode val="edge"/>
              <c:x val="0.79297463569510152"/>
              <c:y val="0.1353948842408941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60000"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  <c:crossAx val="-537143408"/>
        <c:crosses val="max"/>
        <c:crossBetween val="between"/>
      </c:valAx>
      <c:catAx>
        <c:axId val="-53714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53714449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0.12423594786128395"/>
          <c:y val="0.19785265629504845"/>
          <c:w val="0.4900984053773581"/>
          <c:h val="9.49313076692066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Bumper crop to keep Brazilian soybean exports </a:t>
            </a:r>
            <a:r>
              <a:rPr lang="en-US" sz="1050" baseline="0"/>
              <a:t>highly competitive</a:t>
            </a:r>
            <a:r>
              <a:rPr lang="en-US" sz="1050"/>
              <a:t> </a:t>
            </a:r>
          </a:p>
        </c:rich>
      </c:tx>
      <c:layout>
        <c:manualLayout>
          <c:xMode val="edge"/>
          <c:yMode val="edge"/>
          <c:x val="5.2168719093080455E-2"/>
          <c:y val="6.20847181343656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lineChart>
        <c:grouping val="standard"/>
        <c:varyColors val="0"/>
        <c:ser>
          <c:idx val="2"/>
          <c:order val="2"/>
          <c:tx>
            <c:strRef>
              <c:f>'Oil Crops Chart Gallery Fig 2'!$D$1:$D$2</c:f>
              <c:strCache>
                <c:ptCount val="2"/>
                <c:pt idx="0">
                  <c:v>Brazil</c:v>
                </c:pt>
                <c:pt idx="1">
                  <c:v>(China)</c:v>
                </c:pt>
              </c:strCache>
            </c:strRef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'Oil Crops Chart Gallery Fig 2'!$A$4:$A$13</c:f>
              <c:strCache>
                <c:ptCount val="10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2019/20F</c:v>
                </c:pt>
              </c:strCache>
            </c:strRef>
          </c:cat>
          <c:val>
            <c:numRef>
              <c:f>'Oil Crops Chart Gallery Fig 2'!$D$4:$D$13</c:f>
              <c:numCache>
                <c:formatCode>_(* #,##0.000_);_(* \(#,##0.000\);_(* "-"??_);_(@_)</c:formatCode>
                <c:ptCount val="10"/>
                <c:pt idx="0">
                  <c:v>19.734000000000002</c:v>
                </c:pt>
                <c:pt idx="1">
                  <c:v>25.032</c:v>
                </c:pt>
                <c:pt idx="2">
                  <c:v>31.381</c:v>
                </c:pt>
                <c:pt idx="3">
                  <c:v>33.604999999999997</c:v>
                </c:pt>
                <c:pt idx="4">
                  <c:v>38.143999999999998</c:v>
                </c:pt>
                <c:pt idx="5">
                  <c:v>40.215000000000003</c:v>
                </c:pt>
                <c:pt idx="6">
                  <c:v>49.253</c:v>
                </c:pt>
                <c:pt idx="7">
                  <c:v>61.058</c:v>
                </c:pt>
                <c:pt idx="8">
                  <c:v>59.427999999999997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'Oil Crops Chart Gallery Fig 2'!$E$1:$E$2</c:f>
              <c:strCache>
                <c:ptCount val="2"/>
                <c:pt idx="0">
                  <c:v>Brazil</c:v>
                </c:pt>
                <c:pt idx="1">
                  <c:v>(Total)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cat>
            <c:strRef>
              <c:f>'Oil Crops Chart Gallery Fig 2'!$A$4:$A$13</c:f>
              <c:strCache>
                <c:ptCount val="10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2019/20F</c:v>
                </c:pt>
              </c:strCache>
            </c:strRef>
          </c:cat>
          <c:val>
            <c:numRef>
              <c:f>'Oil Crops Chart Gallery Fig 2'!$E$4:$E$13</c:f>
              <c:numCache>
                <c:formatCode>_(* #,##0.000_);_(* \(#,##0.000\);_(* "-"??_);_(@_)</c:formatCode>
                <c:ptCount val="10"/>
                <c:pt idx="0">
                  <c:v>22.951000000000001</c:v>
                </c:pt>
                <c:pt idx="1">
                  <c:v>36.256999999999998</c:v>
                </c:pt>
                <c:pt idx="2">
                  <c:v>41.904000000000003</c:v>
                </c:pt>
                <c:pt idx="3">
                  <c:v>46.829000000000001</c:v>
                </c:pt>
                <c:pt idx="4">
                  <c:v>50.612000000000002</c:v>
                </c:pt>
                <c:pt idx="5">
                  <c:v>54.383000000000003</c:v>
                </c:pt>
                <c:pt idx="6">
                  <c:v>63.137</c:v>
                </c:pt>
                <c:pt idx="7">
                  <c:v>76.135999999999996</c:v>
                </c:pt>
                <c:pt idx="8">
                  <c:v>74.593999999999994</c:v>
                </c:pt>
                <c:pt idx="9" formatCode="General">
                  <c:v>77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'Oil Crops Chart Gallery Fig 2'!$B$1:$B$2</c:f>
              <c:strCache>
                <c:ptCount val="2"/>
                <c:pt idx="0">
                  <c:v>U.S. </c:v>
                </c:pt>
                <c:pt idx="1">
                  <c:v>(China)</c:v>
                </c:pt>
              </c:strCache>
            </c:strRef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none"/>
          </c:marker>
          <c:cat>
            <c:strRef>
              <c:f>'Oil Crops Chart Gallery Fig 2'!$A$4:$A$13</c:f>
              <c:strCache>
                <c:ptCount val="10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2019/20F</c:v>
                </c:pt>
              </c:strCache>
            </c:strRef>
          </c:cat>
          <c:val>
            <c:numRef>
              <c:f>'Oil Crops Chart Gallery Fig 2'!$B$4:$B$13</c:f>
              <c:numCache>
                <c:formatCode>_(* #,##0.000_);_(* \(#,##0.000\);_(* "-"??_);_(@_)</c:formatCode>
                <c:ptCount val="10"/>
                <c:pt idx="0">
                  <c:v>24.415775</c:v>
                </c:pt>
                <c:pt idx="1">
                  <c:v>23.177954</c:v>
                </c:pt>
                <c:pt idx="2">
                  <c:v>20.990638399999998</c:v>
                </c:pt>
                <c:pt idx="3">
                  <c:v>27.300837899999998</c:v>
                </c:pt>
                <c:pt idx="4">
                  <c:v>29.522639699999999</c:v>
                </c:pt>
                <c:pt idx="5">
                  <c:v>30.550578200000004</c:v>
                </c:pt>
                <c:pt idx="6">
                  <c:v>36.249423</c:v>
                </c:pt>
                <c:pt idx="7">
                  <c:v>28.2025717</c:v>
                </c:pt>
                <c:pt idx="8">
                  <c:v>13.323043999999999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'Oil Crops Chart Gallery Fig 2'!$C$1:$C$2</c:f>
              <c:strCache>
                <c:ptCount val="2"/>
                <c:pt idx="0">
                  <c:v>U.S. </c:v>
                </c:pt>
                <c:pt idx="1">
                  <c:v>(Total)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'Oil Crops Chart Gallery Fig 2'!$A$4:$A$13</c:f>
              <c:strCache>
                <c:ptCount val="10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2019/20F</c:v>
                </c:pt>
              </c:strCache>
            </c:strRef>
          </c:cat>
          <c:val>
            <c:numRef>
              <c:f>'Oil Crops Chart Gallery Fig 2'!$C$4:$C$13</c:f>
              <c:numCache>
                <c:formatCode>_(* #,##0.000_);_(* \(#,##0.000\);_(* "-"??_);_(@_)</c:formatCode>
                <c:ptCount val="10"/>
                <c:pt idx="0">
                  <c:v>40.959000000000003</c:v>
                </c:pt>
                <c:pt idx="1">
                  <c:v>37.186</c:v>
                </c:pt>
                <c:pt idx="2">
                  <c:v>36.128999999999998</c:v>
                </c:pt>
                <c:pt idx="3">
                  <c:v>44.594000000000001</c:v>
                </c:pt>
                <c:pt idx="4">
                  <c:v>50.136000000000003</c:v>
                </c:pt>
                <c:pt idx="5">
                  <c:v>52.869</c:v>
                </c:pt>
                <c:pt idx="6">
                  <c:v>58.963000000000001</c:v>
                </c:pt>
                <c:pt idx="7">
                  <c:v>58.070999999999998</c:v>
                </c:pt>
                <c:pt idx="8">
                  <c:v>47.564</c:v>
                </c:pt>
                <c:pt idx="9" formatCode="General">
                  <c:v>49.667999999999999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37140688"/>
        <c:axId val="-537140144"/>
      </c:lineChart>
      <c:catAx>
        <c:axId val="-53714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</a:t>
                </a:r>
                <a:r>
                  <a:rPr lang="en-US" baseline="0"/>
                  <a:t>USDA, Foreign Agricultural Service, </a:t>
                </a:r>
                <a:r>
                  <a:rPr lang="en-US" i="1" baseline="0"/>
                  <a:t>Production, Supply, and Distribution Online</a:t>
                </a:r>
                <a:r>
                  <a:rPr lang="en-US"/>
                  <a:t>.</a:t>
                </a:r>
              </a:p>
            </c:rich>
          </c:tx>
          <c:layout>
            <c:manualLayout>
              <c:xMode val="edge"/>
              <c:yMode val="edge"/>
              <c:x val="5.183551812461485E-2"/>
              <c:y val="0.9098152110690643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7140144"/>
        <c:crosses val="autoZero"/>
        <c:auto val="0"/>
        <c:lblAlgn val="ctr"/>
        <c:lblOffset val="100"/>
        <c:noMultiLvlLbl val="0"/>
      </c:catAx>
      <c:valAx>
        <c:axId val="-537140144"/>
        <c:scaling>
          <c:orientation val="minMax"/>
          <c:max val="8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5.5656993526938744E-2"/>
              <c:y val="0.1193271555132423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37140688"/>
        <c:crosses val="autoZero"/>
        <c:crossBetween val="between"/>
        <c:majorUnit val="10"/>
        <c:min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9.8386367700351002E-2"/>
          <c:y val="0.19319619337872093"/>
          <c:w val="0.20442493777237011"/>
          <c:h val="0.1558845199813508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240724</xdr:colOff>
      <xdr:row>3</xdr:row>
      <xdr:rowOff>38966</xdr:rowOff>
    </xdr:from>
    <xdr:to>
      <xdr:col>14</xdr:col>
      <xdr:colOff>272763</xdr:colOff>
      <xdr:row>29</xdr:row>
      <xdr:rowOff>18184</xdr:rowOff>
    </xdr:to>
    <xdr:graphicFrame macro="">
      <xdr:nvGraphicFramePr>
        <xdr:cNvPr id="3077" name="Chart 4" descr="A chart of the annual value of U.S. sales of soybeans and agricultural products to China." title="$40 Billion trade deal may swell U.S. soybean sales to China in 2020 and 20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398317</xdr:colOff>
      <xdr:row>3</xdr:row>
      <xdr:rowOff>95251</xdr:rowOff>
    </xdr:from>
    <xdr:to>
      <xdr:col>4</xdr:col>
      <xdr:colOff>329045</xdr:colOff>
      <xdr:row>4</xdr:row>
      <xdr:rowOff>112569</xdr:rowOff>
    </xdr:to>
    <xdr:sp macro="" textlink="">
      <xdr:nvSpPr>
        <xdr:cNvPr id="2" name="TextBox 1"/>
        <xdr:cNvSpPr txBox="1"/>
      </xdr:nvSpPr>
      <xdr:spPr>
        <a:xfrm>
          <a:off x="2381249" y="606137"/>
          <a:ext cx="632114" cy="181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454025</xdr:colOff>
      <xdr:row>0</xdr:row>
      <xdr:rowOff>22225</xdr:rowOff>
    </xdr:from>
    <xdr:to>
      <xdr:col>17</xdr:col>
      <xdr:colOff>19339</xdr:colOff>
      <xdr:row>26</xdr:row>
      <xdr:rowOff>77643</xdr:rowOff>
    </xdr:to>
    <xdr:graphicFrame macro="">
      <xdr:nvGraphicFramePr>
        <xdr:cNvPr id="2" name="Chart 4" descr="A chart of cumulative U.S. exports and domestic use of soybean oil for 2018/19 and 2019/20." title="Although domestic use of soybean oil starts slowly in 2019/20, exports display strength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333374</xdr:colOff>
      <xdr:row>0</xdr:row>
      <xdr:rowOff>57150</xdr:rowOff>
    </xdr:from>
    <xdr:to>
      <xdr:col>7</xdr:col>
      <xdr:colOff>333374</xdr:colOff>
      <xdr:row>1</xdr:row>
      <xdr:rowOff>47625</xdr:rowOff>
    </xdr:to>
    <xdr:sp macro="" textlink="">
      <xdr:nvSpPr>
        <xdr:cNvPr id="3" name="TextBox 2"/>
        <xdr:cNvSpPr txBox="1"/>
      </xdr:nvSpPr>
      <xdr:spPr>
        <a:xfrm>
          <a:off x="4933949" y="57150"/>
          <a:ext cx="7143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432954</xdr:colOff>
      <xdr:row>0</xdr:row>
      <xdr:rowOff>25976</xdr:rowOff>
    </xdr:from>
    <xdr:to>
      <xdr:col>16</xdr:col>
      <xdr:colOff>137679</xdr:colOff>
      <xdr:row>24</xdr:row>
      <xdr:rowOff>87456</xdr:rowOff>
    </xdr:to>
    <xdr:graphicFrame macro="">
      <xdr:nvGraphicFramePr>
        <xdr:cNvPr id="3" name="Chart 4" descr="A chart of annual Brazil and U.S. soybean exports for the world total and China." title="Bumper crop to keep Brazilian soybean exports highly competitiv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158753</xdr:colOff>
      <xdr:row>0</xdr:row>
      <xdr:rowOff>83702</xdr:rowOff>
    </xdr:from>
    <xdr:to>
      <xdr:col>7</xdr:col>
      <xdr:colOff>31754</xdr:colOff>
      <xdr:row>1</xdr:row>
      <xdr:rowOff>121225</xdr:rowOff>
    </xdr:to>
    <xdr:sp macro="" textlink="">
      <xdr:nvSpPr>
        <xdr:cNvPr id="2" name="TextBox 1"/>
        <xdr:cNvSpPr txBox="1"/>
      </xdr:nvSpPr>
      <xdr:spPr>
        <a:xfrm>
          <a:off x="3760935" y="83702"/>
          <a:ext cx="574387" cy="2193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workbookViewId="0">
      <selection activeCell="A2" sqref="A2"/>
    </sheetView>
  </sheetViews>
  <sheetFormatPr defaultColWidth="9.7109375" defaultRowHeight="12.75" x14ac:dyDescent="0.2"/>
  <cols>
    <col min="1" max="1" width="64.7109375" style="30" customWidth="1"/>
    <col min="2" max="16384" width="9.7109375" style="22"/>
  </cols>
  <sheetData>
    <row r="1" spans="1:3" ht="44.25" customHeight="1" x14ac:dyDescent="0.2">
      <c r="A1" s="21"/>
    </row>
    <row r="2" spans="1:3" ht="18" x14ac:dyDescent="0.25">
      <c r="A2" s="23" t="s">
        <v>112</v>
      </c>
    </row>
    <row r="3" spans="1:3" s="25" customFormat="1" ht="11.25" x14ac:dyDescent="0.2">
      <c r="A3" s="24"/>
    </row>
    <row r="4" spans="1:3" x14ac:dyDescent="0.2">
      <c r="A4" s="26" t="s">
        <v>113</v>
      </c>
    </row>
    <row r="5" spans="1:3" x14ac:dyDescent="0.2">
      <c r="A5" s="34">
        <f ca="1">TODAY()</f>
        <v>43874</v>
      </c>
      <c r="B5" s="27"/>
    </row>
    <row r="6" spans="1:3" s="25" customFormat="1" x14ac:dyDescent="0.2">
      <c r="A6" s="24"/>
      <c r="B6" s="27"/>
      <c r="C6" s="28"/>
    </row>
    <row r="7" spans="1:3" x14ac:dyDescent="0.2">
      <c r="A7" s="33" t="s">
        <v>181</v>
      </c>
      <c r="B7" s="29"/>
      <c r="C7" s="25"/>
    </row>
    <row r="8" spans="1:3" x14ac:dyDescent="0.2">
      <c r="A8" s="33" t="s">
        <v>182</v>
      </c>
      <c r="B8" s="31"/>
    </row>
    <row r="9" spans="1:3" x14ac:dyDescent="0.2">
      <c r="A9" s="33" t="s">
        <v>183</v>
      </c>
      <c r="B9" s="31"/>
    </row>
    <row r="10" spans="1:3" x14ac:dyDescent="0.2">
      <c r="A10" s="33" t="s">
        <v>184</v>
      </c>
      <c r="B10" s="31"/>
    </row>
    <row r="11" spans="1:3" x14ac:dyDescent="0.2">
      <c r="A11" s="33" t="s">
        <v>185</v>
      </c>
      <c r="B11" s="31"/>
    </row>
    <row r="12" spans="1:3" x14ac:dyDescent="0.2">
      <c r="A12" s="33" t="s">
        <v>186</v>
      </c>
      <c r="B12" s="31"/>
    </row>
    <row r="13" spans="1:3" x14ac:dyDescent="0.2">
      <c r="A13" s="33" t="s">
        <v>187</v>
      </c>
      <c r="B13" s="31"/>
    </row>
    <row r="14" spans="1:3" x14ac:dyDescent="0.2">
      <c r="A14" s="33" t="s">
        <v>45</v>
      </c>
      <c r="B14" s="31"/>
    </row>
    <row r="15" spans="1:3" x14ac:dyDescent="0.2">
      <c r="A15" s="33" t="s">
        <v>18</v>
      </c>
      <c r="B15" s="31"/>
    </row>
    <row r="16" spans="1:3" x14ac:dyDescent="0.2">
      <c r="A16" s="33" t="s">
        <v>37</v>
      </c>
      <c r="B16" s="31"/>
    </row>
    <row r="17" spans="1:2" x14ac:dyDescent="0.2">
      <c r="A17" s="32" t="s">
        <v>188</v>
      </c>
      <c r="B17" s="31"/>
    </row>
    <row r="18" spans="1:2" x14ac:dyDescent="0.2">
      <c r="A18" s="32"/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workbookViewId="0"/>
  </sheetViews>
  <sheetFormatPr defaultRowHeight="12.75" x14ac:dyDescent="0.2"/>
  <cols>
    <col min="1" max="1" width="17" style="157" customWidth="1"/>
    <col min="2" max="4" width="10.7109375" style="162" customWidth="1"/>
    <col min="5" max="5" width="10.7109375" style="1" customWidth="1"/>
    <col min="7" max="7" width="10.7109375" style="16" bestFit="1" customWidth="1"/>
  </cols>
  <sheetData>
    <row r="1" spans="1:13" ht="14.25" x14ac:dyDescent="0.2">
      <c r="A1" s="156" t="s">
        <v>38</v>
      </c>
      <c r="B1" s="36" t="s">
        <v>149</v>
      </c>
      <c r="C1" s="36" t="s">
        <v>154</v>
      </c>
      <c r="D1" s="36" t="s">
        <v>149</v>
      </c>
      <c r="E1" s="36" t="s">
        <v>154</v>
      </c>
      <c r="F1" s="138"/>
      <c r="G1" s="123"/>
      <c r="J1" s="10"/>
      <c r="K1" s="19"/>
    </row>
    <row r="2" spans="1:13" ht="14.25" x14ac:dyDescent="0.2">
      <c r="A2" s="156" t="s">
        <v>155</v>
      </c>
      <c r="B2" s="167" t="s">
        <v>9</v>
      </c>
      <c r="C2" s="167" t="s">
        <v>9</v>
      </c>
      <c r="D2" s="162" t="s">
        <v>4</v>
      </c>
      <c r="E2" s="162" t="s">
        <v>4</v>
      </c>
      <c r="G2" s="36"/>
    </row>
    <row r="3" spans="1:13" x14ac:dyDescent="0.2">
      <c r="B3" s="167" t="s">
        <v>175</v>
      </c>
      <c r="C3" s="167" t="s">
        <v>175</v>
      </c>
      <c r="D3" s="162" t="s">
        <v>176</v>
      </c>
      <c r="E3" s="162" t="s">
        <v>176</v>
      </c>
      <c r="F3" s="138"/>
      <c r="G3"/>
    </row>
    <row r="4" spans="1:13" x14ac:dyDescent="0.2">
      <c r="A4" s="162" t="s">
        <v>164</v>
      </c>
      <c r="B4" s="162">
        <f>1.9711017975407</f>
        <v>1.9711017975406999</v>
      </c>
      <c r="C4" s="162">
        <f>1.88094527559532</f>
        <v>1.88094527559532</v>
      </c>
      <c r="D4" s="162">
        <v>146.20482768288602</v>
      </c>
      <c r="E4" s="162">
        <v>252.53776576879199</v>
      </c>
      <c r="F4" s="149"/>
      <c r="G4" s="131"/>
      <c r="J4" s="133"/>
      <c r="K4" s="134"/>
    </row>
    <row r="5" spans="1:13" x14ac:dyDescent="0.2">
      <c r="A5" s="162" t="s">
        <v>165</v>
      </c>
      <c r="B5" s="162">
        <f>2.02725213141977+B4</f>
        <v>3.9983539289604701</v>
      </c>
      <c r="C5" s="162">
        <f>1.7168180470609+C4</f>
        <v>3.59776332265622</v>
      </c>
      <c r="D5" s="162">
        <f>215.07337630674+D4</f>
        <v>361.27820398962604</v>
      </c>
      <c r="E5" s="162">
        <f>247.358850750018+E4</f>
        <v>499.89661651880999</v>
      </c>
      <c r="F5" s="149"/>
      <c r="G5" s="131"/>
      <c r="J5" s="133"/>
      <c r="K5" s="134"/>
    </row>
    <row r="6" spans="1:13" x14ac:dyDescent="0.2">
      <c r="A6" s="162" t="s">
        <v>166</v>
      </c>
      <c r="B6" s="162">
        <f>1.97653849502478+B5</f>
        <v>5.9748924239852501</v>
      </c>
      <c r="C6" s="162">
        <f>1.74841173678725+C5</f>
        <v>5.3461750594434703</v>
      </c>
      <c r="D6" s="162">
        <f>157.72877709498+D5</f>
        <v>519.00698108460597</v>
      </c>
      <c r="E6" s="162">
        <f>184.259105648856+E5</f>
        <v>684.155722167666</v>
      </c>
      <c r="F6" s="149"/>
      <c r="G6" s="131"/>
      <c r="J6" s="133"/>
      <c r="K6" s="134"/>
    </row>
    <row r="7" spans="1:13" x14ac:dyDescent="0.2">
      <c r="A7" s="162" t="s">
        <v>167</v>
      </c>
      <c r="B7" s="162">
        <f>1.86689608870653+B6</f>
        <v>7.8417885126917799</v>
      </c>
      <c r="D7" s="162">
        <f>221.059559967876+D6</f>
        <v>740.06654105248197</v>
      </c>
      <c r="E7" s="162"/>
      <c r="F7" s="149"/>
      <c r="G7" s="131"/>
      <c r="J7" s="133"/>
      <c r="K7" s="134"/>
    </row>
    <row r="8" spans="1:13" x14ac:dyDescent="0.2">
      <c r="A8" s="162" t="s">
        <v>168</v>
      </c>
      <c r="B8" s="162">
        <f>1.692384277334+B7</f>
        <v>9.5341727900257798</v>
      </c>
      <c r="D8" s="162">
        <f>91.738441858518+D7</f>
        <v>831.80498291100002</v>
      </c>
      <c r="E8" s="162"/>
      <c r="F8" s="149"/>
      <c r="G8" s="131"/>
      <c r="J8" s="133"/>
      <c r="K8" s="134"/>
    </row>
    <row r="9" spans="1:13" x14ac:dyDescent="0.2">
      <c r="A9" s="162" t="s">
        <v>169</v>
      </c>
      <c r="B9" s="162">
        <f>1.76918115105707+B8</f>
        <v>11.30335394108285</v>
      </c>
      <c r="D9" s="162">
        <f>271.839077055252+D8</f>
        <v>1103.6440599662519</v>
      </c>
      <c r="E9" s="162"/>
      <c r="F9" s="149"/>
      <c r="G9" s="131"/>
      <c r="I9" s="134"/>
      <c r="J9" s="133"/>
      <c r="K9" s="134"/>
    </row>
    <row r="10" spans="1:13" x14ac:dyDescent="0.2">
      <c r="A10" s="162" t="s">
        <v>170</v>
      </c>
      <c r="B10" s="162">
        <f>1.84524660565342+B9</f>
        <v>13.148600546736271</v>
      </c>
      <c r="D10" s="162">
        <f>148.203015492672+D9</f>
        <v>1251.8470754589239</v>
      </c>
      <c r="E10" s="162"/>
      <c r="F10" s="149"/>
      <c r="G10" s="131"/>
      <c r="I10" s="134"/>
      <c r="J10" s="133"/>
      <c r="K10" s="134"/>
    </row>
    <row r="11" spans="1:13" x14ac:dyDescent="0.2">
      <c r="A11" s="162" t="s">
        <v>58</v>
      </c>
      <c r="B11" s="162">
        <f>1.98366320170771+B10</f>
        <v>15.132263748443981</v>
      </c>
      <c r="D11" s="162">
        <f>205.734017699154+D10</f>
        <v>1457.5810931580779</v>
      </c>
      <c r="E11" s="162"/>
      <c r="F11" s="149"/>
      <c r="G11" s="131"/>
      <c r="I11" s="134"/>
      <c r="J11" s="133"/>
    </row>
    <row r="12" spans="1:13" x14ac:dyDescent="0.2">
      <c r="A12" s="162" t="s">
        <v>171</v>
      </c>
      <c r="B12" s="162">
        <f>1.75564178467675+B11</f>
        <v>16.88790553312073</v>
      </c>
      <c r="D12" s="162">
        <f>95.392424249136+D11</f>
        <v>1552.9735174072139</v>
      </c>
      <c r="E12" s="162"/>
      <c r="F12" s="149"/>
      <c r="G12" s="131"/>
      <c r="I12" s="134"/>
      <c r="J12" s="133"/>
    </row>
    <row r="13" spans="1:13" x14ac:dyDescent="0.2">
      <c r="A13" s="162" t="s">
        <v>172</v>
      </c>
      <c r="B13" s="162">
        <f>1.92726659449616+B12</f>
        <v>18.81517212761689</v>
      </c>
      <c r="D13" s="162">
        <f>174.318416549172+D12</f>
        <v>1727.2919339563859</v>
      </c>
      <c r="E13" s="153"/>
      <c r="F13" s="149"/>
      <c r="G13" s="131"/>
      <c r="I13" s="134"/>
      <c r="J13" s="133"/>
    </row>
    <row r="14" spans="1:13" x14ac:dyDescent="0.2">
      <c r="A14" s="162" t="s">
        <v>173</v>
      </c>
      <c r="B14" s="162">
        <f>2.14949006126057+B13</f>
        <v>20.964662188877462</v>
      </c>
      <c r="D14" s="162">
        <f>165.58689868245+D13</f>
        <v>1892.878832638836</v>
      </c>
      <c r="E14" s="153"/>
      <c r="F14" s="149"/>
      <c r="G14" s="131"/>
      <c r="I14" s="134"/>
      <c r="J14" s="133"/>
    </row>
    <row r="15" spans="1:13" x14ac:dyDescent="0.2">
      <c r="A15" s="162" t="s">
        <v>174</v>
      </c>
      <c r="B15" s="162">
        <f>1.9076662872888+B14</f>
        <v>22.872328476166263</v>
      </c>
      <c r="D15" s="162">
        <f>48.471187463874+D14</f>
        <v>1941.35002010271</v>
      </c>
      <c r="E15" s="153"/>
      <c r="F15" s="149"/>
      <c r="G15" s="134"/>
      <c r="I15" s="134"/>
    </row>
    <row r="16" spans="1:13" x14ac:dyDescent="0.2">
      <c r="A16" s="160"/>
      <c r="E16" s="154"/>
      <c r="F16" s="132"/>
      <c r="G16" s="134"/>
      <c r="K16" s="131"/>
      <c r="L16" s="131"/>
      <c r="M16" s="131"/>
    </row>
    <row r="17" spans="1:12" x14ac:dyDescent="0.2">
      <c r="A17" s="160"/>
      <c r="E17" s="155"/>
      <c r="F17" s="132"/>
      <c r="G17" s="134"/>
      <c r="K17" s="13"/>
      <c r="L17" s="13"/>
    </row>
    <row r="18" spans="1:12" x14ac:dyDescent="0.2">
      <c r="A18" s="160"/>
      <c r="E18" s="155"/>
      <c r="F18" s="132"/>
      <c r="G18" s="134"/>
      <c r="I18" s="133"/>
      <c r="J18" s="133"/>
      <c r="K18" s="13"/>
      <c r="L18" s="13"/>
    </row>
    <row r="19" spans="1:12" x14ac:dyDescent="0.2">
      <c r="A19" s="160"/>
      <c r="E19" s="155"/>
      <c r="F19" s="132"/>
      <c r="G19" s="134"/>
      <c r="I19" s="9"/>
      <c r="J19" s="133"/>
      <c r="K19" s="13"/>
      <c r="L19" s="13"/>
    </row>
    <row r="20" spans="1:12" x14ac:dyDescent="0.2">
      <c r="A20" s="160"/>
      <c r="E20" s="155"/>
      <c r="F20" s="132"/>
      <c r="G20" s="134"/>
      <c r="I20" s="9"/>
      <c r="J20" s="133"/>
      <c r="K20" s="13"/>
      <c r="L20" s="13"/>
    </row>
    <row r="21" spans="1:12" x14ac:dyDescent="0.2">
      <c r="A21" s="160"/>
      <c r="E21" s="155"/>
      <c r="F21" s="132"/>
      <c r="G21" s="134"/>
      <c r="I21" s="9"/>
      <c r="J21" s="133"/>
      <c r="K21" s="13"/>
      <c r="L21" s="13"/>
    </row>
    <row r="22" spans="1:12" x14ac:dyDescent="0.2">
      <c r="A22" s="160"/>
      <c r="E22" s="155"/>
      <c r="F22" s="132"/>
      <c r="G22" s="134"/>
      <c r="I22" s="9"/>
      <c r="J22" s="133"/>
      <c r="K22" s="13"/>
      <c r="L22" s="13"/>
    </row>
    <row r="23" spans="1:12" x14ac:dyDescent="0.2">
      <c r="A23" s="160"/>
      <c r="E23" s="155"/>
      <c r="F23" s="132"/>
      <c r="G23" s="9"/>
      <c r="I23" s="9"/>
      <c r="J23" s="133"/>
      <c r="K23" s="13"/>
      <c r="L23" s="13"/>
    </row>
    <row r="24" spans="1:12" x14ac:dyDescent="0.2">
      <c r="A24" s="160"/>
      <c r="E24" s="155"/>
      <c r="F24" s="132"/>
      <c r="G24" s="9"/>
      <c r="I24" s="9"/>
      <c r="J24" s="133"/>
      <c r="K24" s="13"/>
      <c r="L24" s="13"/>
    </row>
    <row r="25" spans="1:12" x14ac:dyDescent="0.2">
      <c r="A25" s="160"/>
      <c r="E25" s="155"/>
      <c r="F25" s="132"/>
      <c r="G25" s="9"/>
      <c r="I25" s="9"/>
      <c r="J25" s="133"/>
      <c r="K25" s="13"/>
      <c r="L25" s="13"/>
    </row>
    <row r="26" spans="1:12" x14ac:dyDescent="0.2">
      <c r="A26" s="160"/>
      <c r="E26" s="155"/>
      <c r="F26" s="132"/>
      <c r="G26" s="9"/>
      <c r="I26" s="9"/>
      <c r="J26" s="133"/>
      <c r="K26" s="13"/>
      <c r="L26" s="13"/>
    </row>
    <row r="27" spans="1:12" x14ac:dyDescent="0.2">
      <c r="A27" s="160"/>
      <c r="E27" s="155"/>
      <c r="F27" s="132"/>
      <c r="G27" s="9"/>
      <c r="I27" s="9"/>
      <c r="J27" s="133"/>
      <c r="K27" s="13"/>
      <c r="L27" s="13"/>
    </row>
    <row r="28" spans="1:12" x14ac:dyDescent="0.2">
      <c r="A28" s="160"/>
      <c r="E28" s="155"/>
      <c r="F28" s="132"/>
      <c r="G28" s="9"/>
      <c r="I28" s="9"/>
      <c r="J28" s="133"/>
      <c r="K28" s="13"/>
      <c r="L28" s="13"/>
    </row>
    <row r="29" spans="1:12" x14ac:dyDescent="0.2">
      <c r="A29" s="160"/>
      <c r="E29" s="155"/>
      <c r="F29" s="132"/>
      <c r="G29" s="9"/>
      <c r="I29" s="9"/>
      <c r="J29" s="133"/>
    </row>
    <row r="30" spans="1:12" x14ac:dyDescent="0.2">
      <c r="A30" s="160"/>
      <c r="E30" s="154"/>
      <c r="F30" s="9"/>
      <c r="G30" s="9"/>
      <c r="I30" s="9"/>
      <c r="J30" s="133"/>
    </row>
    <row r="31" spans="1:12" x14ac:dyDescent="0.2">
      <c r="A31" s="160"/>
      <c r="E31" s="154"/>
      <c r="F31" s="133"/>
      <c r="G31" s="133"/>
      <c r="I31" s="133"/>
      <c r="J31" s="133"/>
    </row>
    <row r="32" spans="1:12" x14ac:dyDescent="0.2">
      <c r="A32" s="160"/>
      <c r="E32" s="154"/>
      <c r="F32" s="133"/>
      <c r="G32" s="133"/>
      <c r="I32" s="133"/>
      <c r="J32" s="133"/>
    </row>
    <row r="33" spans="1:10" x14ac:dyDescent="0.2">
      <c r="A33" s="160"/>
      <c r="E33" s="154"/>
      <c r="F33" s="133"/>
      <c r="G33" s="133"/>
      <c r="I33" s="133"/>
      <c r="J33" s="133"/>
    </row>
    <row r="34" spans="1:10" x14ac:dyDescent="0.2">
      <c r="A34" s="160"/>
      <c r="E34" s="154"/>
      <c r="F34" s="13"/>
      <c r="G34" s="13"/>
      <c r="I34" s="13"/>
    </row>
    <row r="35" spans="1:10" x14ac:dyDescent="0.2">
      <c r="A35" s="160"/>
      <c r="E35" s="154"/>
      <c r="F35" s="13"/>
      <c r="G35" s="13"/>
      <c r="I35" s="13"/>
    </row>
    <row r="36" spans="1:10" x14ac:dyDescent="0.2">
      <c r="A36" s="160"/>
      <c r="E36" s="154"/>
      <c r="F36" s="13"/>
      <c r="G36" s="13"/>
      <c r="I36" s="13"/>
    </row>
    <row r="37" spans="1:10" x14ac:dyDescent="0.2">
      <c r="A37" s="160"/>
      <c r="E37" s="154"/>
      <c r="F37" s="13"/>
      <c r="G37" s="13"/>
      <c r="I37" s="13"/>
    </row>
    <row r="38" spans="1:10" x14ac:dyDescent="0.2">
      <c r="A38" s="160"/>
      <c r="E38" s="154"/>
      <c r="F38" s="13"/>
      <c r="G38" s="13"/>
      <c r="I38" s="13"/>
    </row>
    <row r="39" spans="1:10" x14ac:dyDescent="0.2">
      <c r="A39" s="160"/>
      <c r="E39" s="154"/>
      <c r="F39" s="13"/>
      <c r="G39" s="13"/>
      <c r="I39" s="13"/>
    </row>
    <row r="40" spans="1:10" x14ac:dyDescent="0.2">
      <c r="A40" s="160"/>
      <c r="E40" s="154"/>
      <c r="F40" s="13"/>
      <c r="G40" s="13"/>
      <c r="I40" s="13"/>
    </row>
    <row r="41" spans="1:10" x14ac:dyDescent="0.2">
      <c r="A41" s="160"/>
      <c r="E41" s="154"/>
      <c r="F41" s="13"/>
      <c r="G41" s="13"/>
      <c r="I41" s="13"/>
    </row>
    <row r="42" spans="1:10" x14ac:dyDescent="0.2">
      <c r="A42" s="160"/>
      <c r="E42" s="154"/>
      <c r="F42" s="13"/>
      <c r="G42" s="13"/>
      <c r="I42" s="13"/>
    </row>
    <row r="43" spans="1:10" x14ac:dyDescent="0.2">
      <c r="A43" s="160"/>
      <c r="E43" s="154"/>
      <c r="F43" s="13"/>
      <c r="G43" s="13"/>
      <c r="I43" s="13"/>
    </row>
    <row r="44" spans="1:10" x14ac:dyDescent="0.2">
      <c r="A44" s="160"/>
      <c r="E44" s="121"/>
      <c r="G44" s="121"/>
    </row>
    <row r="45" spans="1:10" x14ac:dyDescent="0.2">
      <c r="A45" s="160"/>
      <c r="E45" s="121"/>
      <c r="G45" s="121"/>
    </row>
    <row r="46" spans="1:10" x14ac:dyDescent="0.2">
      <c r="A46" s="160"/>
      <c r="E46" s="121"/>
      <c r="G46" s="121"/>
    </row>
    <row r="47" spans="1:10" x14ac:dyDescent="0.2">
      <c r="A47" s="160"/>
      <c r="E47" s="121"/>
      <c r="G47" s="121"/>
    </row>
    <row r="48" spans="1:10" x14ac:dyDescent="0.2">
      <c r="A48" s="160"/>
      <c r="E48" s="121"/>
      <c r="G48" s="121"/>
    </row>
    <row r="49" spans="1:7" x14ac:dyDescent="0.2">
      <c r="A49" s="160"/>
      <c r="E49" s="121"/>
      <c r="G49" s="121"/>
    </row>
    <row r="50" spans="1:7" x14ac:dyDescent="0.2">
      <c r="A50" s="160"/>
      <c r="E50" s="121"/>
      <c r="G50" s="121"/>
    </row>
    <row r="51" spans="1:7" x14ac:dyDescent="0.2">
      <c r="A51" s="161"/>
      <c r="E51" s="121"/>
      <c r="G51" s="121"/>
    </row>
    <row r="52" spans="1:7" x14ac:dyDescent="0.2">
      <c r="A52" s="161"/>
      <c r="E52" s="121"/>
      <c r="G52" s="121"/>
    </row>
    <row r="53" spans="1:7" x14ac:dyDescent="0.2">
      <c r="A53" s="161"/>
      <c r="E53" s="121"/>
      <c r="G53" s="121"/>
    </row>
    <row r="54" spans="1:7" x14ac:dyDescent="0.2">
      <c r="A54" s="161"/>
      <c r="E54" s="121"/>
      <c r="G54" s="121"/>
    </row>
    <row r="55" spans="1:7" x14ac:dyDescent="0.2">
      <c r="A55" s="161"/>
      <c r="E55" s="121"/>
      <c r="G55" s="121"/>
    </row>
    <row r="56" spans="1:7" x14ac:dyDescent="0.2">
      <c r="A56" s="161"/>
      <c r="E56" s="121"/>
      <c r="G56" s="121"/>
    </row>
    <row r="57" spans="1:7" x14ac:dyDescent="0.2">
      <c r="A57" s="161"/>
      <c r="E57" s="121"/>
      <c r="G57" s="121"/>
    </row>
    <row r="58" spans="1:7" x14ac:dyDescent="0.2">
      <c r="A58" s="161"/>
      <c r="E58" s="121"/>
      <c r="G58" s="121"/>
    </row>
    <row r="59" spans="1:7" x14ac:dyDescent="0.2">
      <c r="A59" s="161"/>
      <c r="E59" s="121"/>
      <c r="G59" s="121"/>
    </row>
    <row r="60" spans="1:7" x14ac:dyDescent="0.2">
      <c r="A60" s="161"/>
      <c r="E60" s="121"/>
      <c r="G60" s="121"/>
    </row>
    <row r="61" spans="1:7" x14ac:dyDescent="0.2">
      <c r="A61" s="161"/>
      <c r="E61" s="121"/>
      <c r="G61" s="121"/>
    </row>
    <row r="62" spans="1:7" x14ac:dyDescent="0.2">
      <c r="A62" s="161"/>
      <c r="E62" s="121"/>
      <c r="G62" s="121"/>
    </row>
    <row r="63" spans="1:7" x14ac:dyDescent="0.2">
      <c r="A63" s="161"/>
      <c r="E63" s="121"/>
      <c r="G63" s="121"/>
    </row>
    <row r="64" spans="1:7" x14ac:dyDescent="0.2">
      <c r="A64" s="161"/>
      <c r="E64" s="121"/>
      <c r="G64" s="121"/>
    </row>
    <row r="65" spans="1:7" x14ac:dyDescent="0.2">
      <c r="A65" s="161"/>
      <c r="E65" s="121"/>
      <c r="G65" s="121"/>
    </row>
    <row r="66" spans="1:7" x14ac:dyDescent="0.2">
      <c r="A66" s="161"/>
      <c r="E66" s="121"/>
      <c r="G66" s="121"/>
    </row>
    <row r="67" spans="1:7" x14ac:dyDescent="0.2">
      <c r="A67" s="161"/>
      <c r="E67" s="121"/>
      <c r="G67" s="121"/>
    </row>
    <row r="68" spans="1:7" x14ac:dyDescent="0.2">
      <c r="A68" s="161"/>
      <c r="E68" s="121"/>
      <c r="G68" s="121"/>
    </row>
    <row r="69" spans="1:7" x14ac:dyDescent="0.2">
      <c r="A69" s="161"/>
      <c r="E69" s="121"/>
      <c r="G69" s="121"/>
    </row>
    <row r="70" spans="1:7" x14ac:dyDescent="0.2">
      <c r="A70" s="161"/>
      <c r="E70" s="121"/>
      <c r="G70" s="121"/>
    </row>
    <row r="71" spans="1:7" x14ac:dyDescent="0.2">
      <c r="A71" s="161"/>
      <c r="E71" s="121"/>
      <c r="G71" s="121"/>
    </row>
    <row r="72" spans="1:7" x14ac:dyDescent="0.2">
      <c r="A72" s="161"/>
      <c r="E72" s="121"/>
      <c r="G72" s="121"/>
    </row>
    <row r="73" spans="1:7" x14ac:dyDescent="0.2">
      <c r="A73" s="161"/>
      <c r="E73" s="121"/>
      <c r="G73" s="121"/>
    </row>
    <row r="74" spans="1:7" x14ac:dyDescent="0.2">
      <c r="A74" s="161"/>
      <c r="E74" s="121"/>
      <c r="G74" s="121"/>
    </row>
    <row r="75" spans="1:7" x14ac:dyDescent="0.2">
      <c r="A75" s="161"/>
      <c r="E75" s="121"/>
      <c r="G75" s="121"/>
    </row>
    <row r="76" spans="1:7" x14ac:dyDescent="0.2">
      <c r="A76" s="161"/>
      <c r="E76" s="121"/>
      <c r="G76" s="121"/>
    </row>
    <row r="77" spans="1:7" x14ac:dyDescent="0.2">
      <c r="A77" s="161"/>
      <c r="E77" s="121"/>
      <c r="G77" s="121"/>
    </row>
    <row r="78" spans="1:7" x14ac:dyDescent="0.2">
      <c r="A78" s="161"/>
      <c r="E78" s="121"/>
      <c r="G78" s="121"/>
    </row>
    <row r="79" spans="1:7" x14ac:dyDescent="0.2">
      <c r="A79" s="161"/>
      <c r="E79" s="121"/>
      <c r="G79" s="121"/>
    </row>
    <row r="80" spans="1:7" x14ac:dyDescent="0.2">
      <c r="A80" s="161"/>
      <c r="E80" s="121"/>
      <c r="G80" s="121"/>
    </row>
    <row r="81" spans="1:7" x14ac:dyDescent="0.2">
      <c r="A81" s="161"/>
      <c r="E81" s="121"/>
      <c r="G81" s="121"/>
    </row>
    <row r="82" spans="1:7" x14ac:dyDescent="0.2">
      <c r="A82" s="161"/>
      <c r="E82" s="121"/>
      <c r="G82" s="121"/>
    </row>
    <row r="83" spans="1:7" x14ac:dyDescent="0.2">
      <c r="A83" s="161"/>
      <c r="E83" s="121"/>
      <c r="G83" s="121"/>
    </row>
    <row r="84" spans="1:7" x14ac:dyDescent="0.2">
      <c r="A84" s="161"/>
      <c r="E84" s="121"/>
      <c r="G84" s="121"/>
    </row>
    <row r="85" spans="1:7" x14ac:dyDescent="0.2">
      <c r="A85" s="161"/>
      <c r="E85" s="121"/>
      <c r="G85" s="121"/>
    </row>
    <row r="86" spans="1:7" x14ac:dyDescent="0.2">
      <c r="A86" s="161"/>
      <c r="E86" s="121"/>
      <c r="G86" s="121"/>
    </row>
    <row r="87" spans="1:7" x14ac:dyDescent="0.2">
      <c r="A87" s="161"/>
      <c r="E87" s="121"/>
      <c r="G87" s="121"/>
    </row>
    <row r="88" spans="1:7" x14ac:dyDescent="0.2">
      <c r="A88" s="161"/>
      <c r="E88" s="121"/>
      <c r="G88" s="121"/>
    </row>
    <row r="89" spans="1:7" x14ac:dyDescent="0.2">
      <c r="A89" s="161"/>
      <c r="E89" s="121"/>
      <c r="G89" s="121"/>
    </row>
    <row r="90" spans="1:7" x14ac:dyDescent="0.2">
      <c r="A90" s="161"/>
      <c r="E90" s="121"/>
      <c r="G90" s="121"/>
    </row>
    <row r="91" spans="1:7" x14ac:dyDescent="0.2">
      <c r="A91" s="161"/>
      <c r="E91" s="121"/>
      <c r="G91" s="121"/>
    </row>
    <row r="92" spans="1:7" x14ac:dyDescent="0.2">
      <c r="A92" s="161"/>
      <c r="E92" s="121"/>
      <c r="G92" s="121"/>
    </row>
    <row r="93" spans="1:7" x14ac:dyDescent="0.2">
      <c r="A93" s="161"/>
      <c r="E93" s="121"/>
      <c r="G93" s="121"/>
    </row>
    <row r="94" spans="1:7" x14ac:dyDescent="0.2">
      <c r="A94" s="161"/>
      <c r="E94" s="121"/>
      <c r="G94" s="121"/>
    </row>
    <row r="95" spans="1:7" x14ac:dyDescent="0.2">
      <c r="A95" s="161"/>
      <c r="E95" s="121"/>
      <c r="G95" s="121"/>
    </row>
    <row r="96" spans="1:7" x14ac:dyDescent="0.2">
      <c r="A96" s="161"/>
      <c r="E96" s="121"/>
      <c r="G96" s="121"/>
    </row>
    <row r="97" spans="1:7" x14ac:dyDescent="0.2">
      <c r="A97" s="161"/>
      <c r="E97" s="121"/>
      <c r="G97" s="121"/>
    </row>
    <row r="98" spans="1:7" x14ac:dyDescent="0.2">
      <c r="A98" s="161"/>
      <c r="E98" s="121"/>
      <c r="G98" s="121"/>
    </row>
    <row r="99" spans="1:7" x14ac:dyDescent="0.2">
      <c r="A99" s="161"/>
      <c r="E99" s="121"/>
      <c r="G99" s="121"/>
    </row>
    <row r="100" spans="1:7" x14ac:dyDescent="0.2">
      <c r="A100" s="161"/>
      <c r="E100" s="121"/>
      <c r="G100" s="121"/>
    </row>
    <row r="101" spans="1:7" x14ac:dyDescent="0.2">
      <c r="A101" s="161"/>
      <c r="E101" s="121"/>
      <c r="G101" s="121"/>
    </row>
    <row r="102" spans="1:7" x14ac:dyDescent="0.2">
      <c r="A102" s="161"/>
      <c r="E102" s="121"/>
      <c r="G102" s="121"/>
    </row>
    <row r="103" spans="1:7" x14ac:dyDescent="0.2">
      <c r="A103" s="161"/>
      <c r="E103" s="121"/>
      <c r="G103" s="121"/>
    </row>
    <row r="104" spans="1:7" x14ac:dyDescent="0.2">
      <c r="A104" s="161"/>
      <c r="E104" s="121"/>
      <c r="G104" s="121"/>
    </row>
    <row r="105" spans="1:7" x14ac:dyDescent="0.2">
      <c r="A105" s="161"/>
      <c r="E105" s="121"/>
      <c r="G105" s="121"/>
    </row>
    <row r="106" spans="1:7" x14ac:dyDescent="0.2">
      <c r="A106" s="161"/>
      <c r="E106" s="121"/>
      <c r="G106" s="121"/>
    </row>
    <row r="107" spans="1:7" x14ac:dyDescent="0.2">
      <c r="A107" s="161"/>
      <c r="E107" s="121"/>
      <c r="G107" s="121"/>
    </row>
    <row r="108" spans="1:7" x14ac:dyDescent="0.2">
      <c r="A108" s="161"/>
      <c r="E108" s="121"/>
      <c r="G108" s="121"/>
    </row>
    <row r="109" spans="1:7" x14ac:dyDescent="0.2">
      <c r="A109" s="161"/>
      <c r="E109" s="121"/>
      <c r="G109" s="121"/>
    </row>
    <row r="110" spans="1:7" x14ac:dyDescent="0.2">
      <c r="A110" s="161"/>
      <c r="E110" s="121"/>
      <c r="G110" s="121"/>
    </row>
    <row r="111" spans="1:7" x14ac:dyDescent="0.2">
      <c r="A111" s="161"/>
      <c r="E111" s="121"/>
      <c r="G111" s="121"/>
    </row>
    <row r="112" spans="1:7" x14ac:dyDescent="0.2">
      <c r="A112" s="161"/>
      <c r="E112" s="121"/>
      <c r="G112" s="121"/>
    </row>
    <row r="113" spans="1:7" x14ac:dyDescent="0.2">
      <c r="A113" s="161"/>
      <c r="E113" s="121"/>
      <c r="G113" s="121"/>
    </row>
    <row r="114" spans="1:7" x14ac:dyDescent="0.2">
      <c r="A114" s="161"/>
      <c r="E114" s="121"/>
      <c r="G114" s="121"/>
    </row>
    <row r="115" spans="1:7" x14ac:dyDescent="0.2">
      <c r="A115" s="161"/>
      <c r="E115" s="121"/>
      <c r="G115" s="121"/>
    </row>
    <row r="116" spans="1:7" x14ac:dyDescent="0.2">
      <c r="A116" s="161"/>
      <c r="E116" s="121"/>
      <c r="G116" s="121"/>
    </row>
    <row r="117" spans="1:7" x14ac:dyDescent="0.2">
      <c r="A117" s="161"/>
      <c r="E117" s="121"/>
      <c r="G117" s="121"/>
    </row>
    <row r="118" spans="1:7" x14ac:dyDescent="0.2">
      <c r="A118" s="161"/>
      <c r="E118" s="121"/>
      <c r="G118" s="121"/>
    </row>
    <row r="119" spans="1:7" x14ac:dyDescent="0.2">
      <c r="A119" s="161"/>
      <c r="E119" s="121"/>
      <c r="G119" s="121"/>
    </row>
    <row r="120" spans="1:7" x14ac:dyDescent="0.2">
      <c r="A120" s="161"/>
      <c r="E120" s="121"/>
      <c r="G120" s="121"/>
    </row>
    <row r="121" spans="1:7" x14ac:dyDescent="0.2">
      <c r="A121" s="161"/>
      <c r="E121" s="121"/>
      <c r="G121" s="121"/>
    </row>
    <row r="122" spans="1:7" x14ac:dyDescent="0.2">
      <c r="A122" s="161"/>
      <c r="E122" s="121"/>
      <c r="G122" s="121"/>
    </row>
    <row r="123" spans="1:7" x14ac:dyDescent="0.2">
      <c r="A123" s="161"/>
      <c r="E123" s="121"/>
      <c r="G123" s="121"/>
    </row>
    <row r="124" spans="1:7" x14ac:dyDescent="0.2">
      <c r="A124" s="161"/>
      <c r="E124" s="121"/>
      <c r="G124" s="121"/>
    </row>
    <row r="125" spans="1:7" x14ac:dyDescent="0.2">
      <c r="A125" s="161"/>
      <c r="E125" s="121"/>
      <c r="G125" s="121"/>
    </row>
    <row r="126" spans="1:7" x14ac:dyDescent="0.2">
      <c r="A126" s="161"/>
      <c r="E126" s="121"/>
      <c r="G126" s="121"/>
    </row>
    <row r="127" spans="1:7" x14ac:dyDescent="0.2">
      <c r="A127" s="161"/>
      <c r="E127" s="121"/>
      <c r="G127" s="121"/>
    </row>
    <row r="128" spans="1:7" x14ac:dyDescent="0.2">
      <c r="A128" s="161"/>
      <c r="E128" s="121"/>
      <c r="G128" s="121"/>
    </row>
    <row r="129" spans="1:7" x14ac:dyDescent="0.2">
      <c r="A129" s="161"/>
      <c r="E129" s="121"/>
      <c r="G129" s="121"/>
    </row>
    <row r="130" spans="1:7" x14ac:dyDescent="0.2">
      <c r="A130" s="161"/>
      <c r="E130" s="121"/>
      <c r="G130" s="121"/>
    </row>
    <row r="131" spans="1:7" x14ac:dyDescent="0.2">
      <c r="A131" s="161"/>
      <c r="E131" s="121"/>
    </row>
    <row r="132" spans="1:7" x14ac:dyDescent="0.2">
      <c r="A132" s="161"/>
      <c r="E132" s="121"/>
      <c r="G132" s="121"/>
    </row>
    <row r="133" spans="1:7" x14ac:dyDescent="0.2">
      <c r="A133" s="161"/>
      <c r="E133" s="121"/>
      <c r="G133" s="121"/>
    </row>
    <row r="134" spans="1:7" x14ac:dyDescent="0.2">
      <c r="A134" s="161"/>
      <c r="E134" s="121"/>
      <c r="G134" s="121"/>
    </row>
    <row r="135" spans="1:7" x14ac:dyDescent="0.2">
      <c r="A135" s="161"/>
      <c r="E135" s="121"/>
      <c r="G135" s="121"/>
    </row>
    <row r="136" spans="1:7" x14ac:dyDescent="0.2">
      <c r="A136" s="161"/>
      <c r="E136" s="121"/>
      <c r="G136" s="121"/>
    </row>
    <row r="137" spans="1:7" x14ac:dyDescent="0.2">
      <c r="A137" s="161"/>
      <c r="E137" s="121"/>
      <c r="G137" s="121"/>
    </row>
    <row r="138" spans="1:7" x14ac:dyDescent="0.2">
      <c r="A138" s="161"/>
      <c r="E138" s="121"/>
      <c r="G138" s="121"/>
    </row>
    <row r="139" spans="1:7" x14ac:dyDescent="0.2">
      <c r="A139" s="161"/>
      <c r="E139" s="121"/>
      <c r="G139" s="121"/>
    </row>
    <row r="140" spans="1:7" x14ac:dyDescent="0.2">
      <c r="A140" s="161"/>
      <c r="E140" s="121"/>
      <c r="G140" s="121"/>
    </row>
    <row r="141" spans="1:7" x14ac:dyDescent="0.2">
      <c r="A141" s="161"/>
      <c r="E141" s="121"/>
      <c r="G141" s="121"/>
    </row>
    <row r="142" spans="1:7" x14ac:dyDescent="0.2">
      <c r="A142" s="161"/>
      <c r="E142" s="121"/>
      <c r="G142" s="121"/>
    </row>
    <row r="143" spans="1:7" x14ac:dyDescent="0.2">
      <c r="A143" s="161"/>
      <c r="E143" s="121"/>
      <c r="G143" s="121"/>
    </row>
    <row r="144" spans="1:7" x14ac:dyDescent="0.2">
      <c r="A144" s="161"/>
      <c r="E144" s="121"/>
      <c r="G144" s="121"/>
    </row>
    <row r="145" spans="1:7" x14ac:dyDescent="0.2">
      <c r="A145" s="161"/>
      <c r="E145" s="121"/>
      <c r="G145" s="121"/>
    </row>
    <row r="146" spans="1:7" x14ac:dyDescent="0.2">
      <c r="A146" s="161"/>
      <c r="E146" s="121"/>
      <c r="G146" s="121"/>
    </row>
    <row r="147" spans="1:7" x14ac:dyDescent="0.2">
      <c r="A147" s="161"/>
      <c r="E147" s="121"/>
      <c r="G147" s="121"/>
    </row>
    <row r="148" spans="1:7" x14ac:dyDescent="0.2">
      <c r="A148" s="161"/>
      <c r="E148" s="121"/>
      <c r="G148" s="121"/>
    </row>
    <row r="149" spans="1:7" x14ac:dyDescent="0.2">
      <c r="A149" s="161"/>
      <c r="E149" s="121"/>
      <c r="G149" s="121"/>
    </row>
    <row r="150" spans="1:7" x14ac:dyDescent="0.2">
      <c r="A150" s="161"/>
      <c r="E150" s="121"/>
      <c r="G150" s="121"/>
    </row>
    <row r="151" spans="1:7" x14ac:dyDescent="0.2">
      <c r="A151" s="161"/>
      <c r="E151" s="121"/>
      <c r="G151" s="121"/>
    </row>
    <row r="152" spans="1:7" x14ac:dyDescent="0.2">
      <c r="A152" s="161"/>
      <c r="E152" s="121"/>
      <c r="G152" s="121"/>
    </row>
    <row r="153" spans="1:7" x14ac:dyDescent="0.2">
      <c r="A153" s="161"/>
      <c r="E153" s="121"/>
      <c r="G153" s="121"/>
    </row>
    <row r="154" spans="1:7" x14ac:dyDescent="0.2">
      <c r="A154" s="161"/>
      <c r="E154" s="121"/>
      <c r="G154" s="121"/>
    </row>
    <row r="155" spans="1:7" x14ac:dyDescent="0.2">
      <c r="A155" s="161"/>
      <c r="E155" s="121"/>
      <c r="G155" s="121"/>
    </row>
    <row r="156" spans="1:7" x14ac:dyDescent="0.2">
      <c r="A156" s="161"/>
      <c r="E156" s="121"/>
      <c r="G156" s="121"/>
    </row>
    <row r="157" spans="1:7" x14ac:dyDescent="0.2">
      <c r="A157" s="161"/>
      <c r="E157" s="121"/>
      <c r="G157" s="121"/>
    </row>
    <row r="158" spans="1:7" x14ac:dyDescent="0.2">
      <c r="A158" s="161"/>
      <c r="E158" s="121"/>
    </row>
    <row r="159" spans="1:7" x14ac:dyDescent="0.2">
      <c r="A159" s="161"/>
      <c r="E159" s="121"/>
      <c r="G159" s="121"/>
    </row>
    <row r="160" spans="1:7" x14ac:dyDescent="0.2">
      <c r="A160" s="161"/>
      <c r="E160" s="121"/>
      <c r="G160" s="121"/>
    </row>
    <row r="161" spans="1:7" x14ac:dyDescent="0.2">
      <c r="A161" s="161"/>
      <c r="E161" s="121"/>
      <c r="G161" s="121"/>
    </row>
    <row r="162" spans="1:7" x14ac:dyDescent="0.2">
      <c r="A162" s="161"/>
      <c r="E162" s="121"/>
      <c r="G162" s="121"/>
    </row>
    <row r="163" spans="1:7" x14ac:dyDescent="0.2">
      <c r="A163" s="161"/>
      <c r="E163" s="121"/>
      <c r="G163" s="121"/>
    </row>
    <row r="164" spans="1:7" x14ac:dyDescent="0.2">
      <c r="A164" s="161"/>
      <c r="E164" s="121"/>
      <c r="G164" s="121"/>
    </row>
    <row r="165" spans="1:7" x14ac:dyDescent="0.2">
      <c r="A165" s="161"/>
      <c r="E165" s="121"/>
      <c r="G165" s="121"/>
    </row>
    <row r="166" spans="1:7" x14ac:dyDescent="0.2">
      <c r="A166" s="161"/>
      <c r="E166" s="121"/>
      <c r="G166" s="121"/>
    </row>
    <row r="167" spans="1:7" x14ac:dyDescent="0.2">
      <c r="A167" s="161"/>
      <c r="E167" s="121"/>
      <c r="G167" s="121"/>
    </row>
    <row r="168" spans="1:7" x14ac:dyDescent="0.2">
      <c r="A168" s="161"/>
      <c r="E168" s="121"/>
    </row>
    <row r="169" spans="1:7" x14ac:dyDescent="0.2">
      <c r="A169" s="161"/>
      <c r="E169" s="121"/>
      <c r="G169" s="121"/>
    </row>
    <row r="170" spans="1:7" x14ac:dyDescent="0.2">
      <c r="A170" s="161"/>
      <c r="E170" s="121"/>
      <c r="G170" s="121"/>
    </row>
    <row r="171" spans="1:7" x14ac:dyDescent="0.2">
      <c r="A171" s="161"/>
      <c r="E171" s="121"/>
      <c r="G171" s="121"/>
    </row>
    <row r="172" spans="1:7" x14ac:dyDescent="0.2">
      <c r="A172" s="161"/>
      <c r="E172" s="121"/>
      <c r="G172" s="121"/>
    </row>
    <row r="173" spans="1:7" x14ac:dyDescent="0.2">
      <c r="A173" s="161"/>
      <c r="E173" s="121"/>
      <c r="G173" s="121"/>
    </row>
    <row r="174" spans="1:7" x14ac:dyDescent="0.2">
      <c r="A174" s="161"/>
      <c r="E174" s="121"/>
      <c r="G174" s="121"/>
    </row>
    <row r="175" spans="1:7" x14ac:dyDescent="0.2">
      <c r="A175" s="161"/>
      <c r="E175" s="121"/>
      <c r="G175" s="121"/>
    </row>
    <row r="176" spans="1:7" x14ac:dyDescent="0.2">
      <c r="A176" s="161"/>
      <c r="E176" s="121"/>
      <c r="G176" s="121"/>
    </row>
    <row r="177" spans="1:7" x14ac:dyDescent="0.2">
      <c r="A177" s="161"/>
      <c r="E177" s="121"/>
      <c r="G177" s="121"/>
    </row>
    <row r="178" spans="1:7" x14ac:dyDescent="0.2">
      <c r="A178" s="161"/>
      <c r="E178" s="121"/>
      <c r="G178" s="121"/>
    </row>
    <row r="179" spans="1:7" x14ac:dyDescent="0.2">
      <c r="A179" s="161"/>
      <c r="E179" s="121"/>
      <c r="G179" s="121"/>
    </row>
    <row r="180" spans="1:7" x14ac:dyDescent="0.2">
      <c r="A180" s="161"/>
      <c r="E180" s="121"/>
      <c r="G180" s="121"/>
    </row>
    <row r="181" spans="1:7" x14ac:dyDescent="0.2">
      <c r="A181" s="161"/>
      <c r="E181" s="121"/>
      <c r="G181" s="121"/>
    </row>
    <row r="182" spans="1:7" x14ac:dyDescent="0.2">
      <c r="A182" s="161"/>
      <c r="E182" s="121"/>
      <c r="G182" s="121"/>
    </row>
    <row r="183" spans="1:7" x14ac:dyDescent="0.2">
      <c r="A183" s="161"/>
      <c r="E183" s="121"/>
      <c r="G183" s="121"/>
    </row>
    <row r="184" spans="1:7" x14ac:dyDescent="0.2">
      <c r="A184" s="161"/>
      <c r="E184" s="121"/>
      <c r="G184" s="121"/>
    </row>
    <row r="185" spans="1:7" x14ac:dyDescent="0.2">
      <c r="A185" s="161"/>
      <c r="E185" s="121"/>
      <c r="G185" s="121"/>
    </row>
    <row r="186" spans="1:7" x14ac:dyDescent="0.2">
      <c r="A186" s="161"/>
      <c r="E186" s="121"/>
      <c r="G186" s="121"/>
    </row>
    <row r="187" spans="1:7" x14ac:dyDescent="0.2">
      <c r="A187" s="161"/>
      <c r="E187" s="121"/>
      <c r="G187" s="121"/>
    </row>
    <row r="188" spans="1:7" x14ac:dyDescent="0.2">
      <c r="A188" s="161"/>
      <c r="E188" s="121"/>
      <c r="G188" s="121"/>
    </row>
    <row r="189" spans="1:7" x14ac:dyDescent="0.2">
      <c r="A189" s="161"/>
      <c r="E189" s="121"/>
      <c r="G189" s="121"/>
    </row>
    <row r="190" spans="1:7" x14ac:dyDescent="0.2">
      <c r="A190" s="161"/>
      <c r="E190" s="121"/>
      <c r="G190" s="121"/>
    </row>
    <row r="191" spans="1:7" x14ac:dyDescent="0.2">
      <c r="A191" s="161"/>
      <c r="E191" s="121"/>
      <c r="G191" s="121"/>
    </row>
    <row r="192" spans="1:7" x14ac:dyDescent="0.2">
      <c r="A192" s="161"/>
      <c r="E192" s="121"/>
      <c r="G192" s="121"/>
    </row>
    <row r="193" spans="1:7" x14ac:dyDescent="0.2">
      <c r="A193" s="161"/>
      <c r="E193" s="121"/>
      <c r="G193" s="121"/>
    </row>
    <row r="194" spans="1:7" x14ac:dyDescent="0.2">
      <c r="A194" s="161"/>
      <c r="E194" s="121"/>
      <c r="G194" s="121"/>
    </row>
    <row r="195" spans="1:7" x14ac:dyDescent="0.2">
      <c r="A195" s="161"/>
      <c r="E195" s="121"/>
      <c r="G195" s="121"/>
    </row>
    <row r="196" spans="1:7" x14ac:dyDescent="0.2">
      <c r="A196" s="161"/>
      <c r="E196" s="121"/>
      <c r="G196" s="121"/>
    </row>
    <row r="197" spans="1:7" x14ac:dyDescent="0.2">
      <c r="A197" s="161"/>
      <c r="E197" s="121"/>
      <c r="G197" s="121"/>
    </row>
    <row r="198" spans="1:7" x14ac:dyDescent="0.2">
      <c r="A198" s="161"/>
      <c r="E198" s="121"/>
      <c r="G198" s="121"/>
    </row>
    <row r="199" spans="1:7" x14ac:dyDescent="0.2">
      <c r="A199" s="161"/>
      <c r="E199" s="121"/>
      <c r="G199" s="121"/>
    </row>
    <row r="200" spans="1:7" x14ac:dyDescent="0.2">
      <c r="A200" s="161"/>
      <c r="E200" s="121"/>
      <c r="G200" s="121"/>
    </row>
    <row r="201" spans="1:7" x14ac:dyDescent="0.2">
      <c r="A201" s="161"/>
      <c r="E201" s="121"/>
      <c r="G201" s="121"/>
    </row>
    <row r="202" spans="1:7" x14ac:dyDescent="0.2">
      <c r="A202" s="161"/>
      <c r="E202" s="121"/>
      <c r="G202" s="121"/>
    </row>
    <row r="203" spans="1:7" x14ac:dyDescent="0.2">
      <c r="A203" s="161"/>
      <c r="E203" s="121"/>
      <c r="G203" s="121"/>
    </row>
    <row r="204" spans="1:7" x14ac:dyDescent="0.2">
      <c r="A204" s="161"/>
      <c r="E204" s="121"/>
      <c r="G204" s="121"/>
    </row>
    <row r="205" spans="1:7" x14ac:dyDescent="0.2">
      <c r="A205" s="161"/>
      <c r="E205" s="121"/>
      <c r="G205" s="121"/>
    </row>
    <row r="206" spans="1:7" x14ac:dyDescent="0.2">
      <c r="A206" s="161"/>
      <c r="E206" s="121"/>
      <c r="G206" s="121"/>
    </row>
    <row r="207" spans="1:7" x14ac:dyDescent="0.2">
      <c r="A207" s="161"/>
      <c r="E207" s="121"/>
      <c r="G207" s="121"/>
    </row>
    <row r="208" spans="1:7" x14ac:dyDescent="0.2">
      <c r="A208" s="161"/>
      <c r="E208" s="121"/>
      <c r="G208" s="121"/>
    </row>
    <row r="209" spans="1:7" x14ac:dyDescent="0.2">
      <c r="A209" s="161"/>
      <c r="E209" s="121"/>
      <c r="G209" s="121"/>
    </row>
    <row r="210" spans="1:7" x14ac:dyDescent="0.2">
      <c r="A210" s="161"/>
      <c r="E210" s="121"/>
      <c r="G210" s="121"/>
    </row>
    <row r="211" spans="1:7" x14ac:dyDescent="0.2">
      <c r="A211" s="161"/>
      <c r="E211" s="121"/>
      <c r="G211" s="121"/>
    </row>
    <row r="212" spans="1:7" x14ac:dyDescent="0.2">
      <c r="A212" s="161"/>
      <c r="E212" s="121"/>
      <c r="G212" s="121"/>
    </row>
    <row r="213" spans="1:7" x14ac:dyDescent="0.2">
      <c r="A213" s="161"/>
      <c r="E213" s="121"/>
      <c r="G213" s="121"/>
    </row>
    <row r="214" spans="1:7" x14ac:dyDescent="0.2">
      <c r="A214" s="161"/>
      <c r="E214" s="121"/>
      <c r="G214" s="121"/>
    </row>
    <row r="215" spans="1:7" x14ac:dyDescent="0.2">
      <c r="A215" s="161"/>
      <c r="E215" s="121"/>
    </row>
    <row r="216" spans="1:7" x14ac:dyDescent="0.2">
      <c r="A216" s="161"/>
      <c r="E216" s="121"/>
    </row>
    <row r="217" spans="1:7" x14ac:dyDescent="0.2">
      <c r="A217" s="161"/>
      <c r="E217" s="121"/>
    </row>
    <row r="218" spans="1:7" x14ac:dyDescent="0.2">
      <c r="A218" s="161"/>
      <c r="E218" s="121"/>
    </row>
    <row r="219" spans="1:7" x14ac:dyDescent="0.2">
      <c r="A219" s="161"/>
      <c r="E219" s="155"/>
    </row>
    <row r="220" spans="1:7" x14ac:dyDescent="0.2">
      <c r="A220" s="161"/>
      <c r="E220" s="155"/>
    </row>
    <row r="221" spans="1:7" x14ac:dyDescent="0.2">
      <c r="A221" s="161"/>
      <c r="E221" s="155"/>
    </row>
    <row r="222" spans="1:7" x14ac:dyDescent="0.2">
      <c r="A222" s="161"/>
      <c r="E222" s="155"/>
    </row>
    <row r="223" spans="1:7" x14ac:dyDescent="0.2">
      <c r="A223" s="161"/>
      <c r="E223" s="155"/>
    </row>
    <row r="224" spans="1:7" x14ac:dyDescent="0.2">
      <c r="A224" s="161"/>
      <c r="E224" s="155"/>
    </row>
    <row r="225" spans="1:5" x14ac:dyDescent="0.2">
      <c r="A225" s="161"/>
      <c r="E225" s="155"/>
    </row>
    <row r="226" spans="1:5" x14ac:dyDescent="0.2">
      <c r="A226" s="161"/>
      <c r="E226" s="155"/>
    </row>
    <row r="227" spans="1:5" x14ac:dyDescent="0.2">
      <c r="A227" s="161"/>
      <c r="E227" s="155"/>
    </row>
    <row r="228" spans="1:5" x14ac:dyDescent="0.2">
      <c r="A228" s="161"/>
      <c r="E228" s="155"/>
    </row>
    <row r="229" spans="1:5" x14ac:dyDescent="0.2">
      <c r="A229" s="161"/>
      <c r="E229" s="155"/>
    </row>
    <row r="230" spans="1:5" x14ac:dyDescent="0.2">
      <c r="A230" s="161"/>
      <c r="E230" s="155"/>
    </row>
    <row r="231" spans="1:5" x14ac:dyDescent="0.2">
      <c r="A231" s="161"/>
      <c r="E231" s="155"/>
    </row>
    <row r="232" spans="1:5" x14ac:dyDescent="0.2">
      <c r="A232" s="161"/>
      <c r="E232" s="155"/>
    </row>
    <row r="233" spans="1:5" x14ac:dyDescent="0.2">
      <c r="A233" s="161"/>
      <c r="E233" s="155"/>
    </row>
    <row r="234" spans="1:5" x14ac:dyDescent="0.2">
      <c r="A234" s="161"/>
      <c r="E234" s="155"/>
    </row>
    <row r="235" spans="1:5" x14ac:dyDescent="0.2">
      <c r="A235" s="161"/>
      <c r="E235" s="155"/>
    </row>
    <row r="236" spans="1:5" x14ac:dyDescent="0.2">
      <c r="A236" s="161"/>
      <c r="E236" s="155"/>
    </row>
    <row r="237" spans="1:5" x14ac:dyDescent="0.2">
      <c r="A237" s="161"/>
      <c r="E237" s="155"/>
    </row>
    <row r="238" spans="1:5" x14ac:dyDescent="0.2">
      <c r="A238" s="161"/>
      <c r="E238" s="155"/>
    </row>
    <row r="239" spans="1:5" x14ac:dyDescent="0.2">
      <c r="A239" s="161"/>
      <c r="E239" s="155"/>
    </row>
    <row r="240" spans="1:5" x14ac:dyDescent="0.2">
      <c r="A240" s="161"/>
      <c r="E240" s="155"/>
    </row>
    <row r="241" spans="1:5" x14ac:dyDescent="0.2">
      <c r="A241" s="161"/>
      <c r="E241" s="155"/>
    </row>
    <row r="242" spans="1:5" x14ac:dyDescent="0.2">
      <c r="A242" s="161"/>
      <c r="E242" s="155"/>
    </row>
    <row r="243" spans="1:5" x14ac:dyDescent="0.2">
      <c r="A243" s="161"/>
      <c r="E243" s="155"/>
    </row>
    <row r="244" spans="1:5" x14ac:dyDescent="0.2">
      <c r="A244" s="161"/>
      <c r="E244" s="155"/>
    </row>
    <row r="245" spans="1:5" x14ac:dyDescent="0.2">
      <c r="A245" s="161"/>
      <c r="E245" s="155"/>
    </row>
    <row r="246" spans="1:5" x14ac:dyDescent="0.2">
      <c r="A246" s="161"/>
      <c r="E246" s="155"/>
    </row>
    <row r="247" spans="1:5" x14ac:dyDescent="0.2">
      <c r="A247" s="161"/>
      <c r="E247" s="155"/>
    </row>
    <row r="248" spans="1:5" x14ac:dyDescent="0.2">
      <c r="A248" s="161"/>
      <c r="E248" s="155"/>
    </row>
    <row r="249" spans="1:5" x14ac:dyDescent="0.2">
      <c r="A249" s="161"/>
      <c r="E249" s="155"/>
    </row>
    <row r="250" spans="1:5" x14ac:dyDescent="0.2">
      <c r="A250" s="161"/>
      <c r="E250" s="155"/>
    </row>
    <row r="251" spans="1:5" x14ac:dyDescent="0.2">
      <c r="A251" s="161"/>
      <c r="E251" s="155"/>
    </row>
    <row r="252" spans="1:5" x14ac:dyDescent="0.2">
      <c r="A252" s="161"/>
      <c r="E252" s="155"/>
    </row>
    <row r="253" spans="1:5" x14ac:dyDescent="0.2">
      <c r="A253" s="161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29"/>
  <sheetViews>
    <sheetView zoomScale="110" zoomScaleNormal="110" workbookViewId="0"/>
  </sheetViews>
  <sheetFormatPr defaultRowHeight="12.75" x14ac:dyDescent="0.2"/>
  <cols>
    <col min="1" max="1" width="10.5703125" customWidth="1"/>
    <col min="2" max="6" width="8.7109375" customWidth="1"/>
    <col min="7" max="12" width="10.5703125" customWidth="1"/>
  </cols>
  <sheetData>
    <row r="1" spans="1:9" ht="14.25" x14ac:dyDescent="0.2">
      <c r="A1" s="135" t="s">
        <v>157</v>
      </c>
      <c r="B1" s="138" t="s">
        <v>159</v>
      </c>
      <c r="C1" s="138" t="s">
        <v>159</v>
      </c>
      <c r="D1" s="138" t="s">
        <v>161</v>
      </c>
      <c r="E1" s="138" t="s">
        <v>161</v>
      </c>
      <c r="F1" s="138"/>
      <c r="G1" s="138"/>
      <c r="I1" s="13"/>
    </row>
    <row r="2" spans="1:9" x14ac:dyDescent="0.2">
      <c r="A2" s="138" t="s">
        <v>158</v>
      </c>
      <c r="B2" s="138" t="s">
        <v>160</v>
      </c>
      <c r="C2" s="138" t="s">
        <v>162</v>
      </c>
      <c r="D2" s="138" t="s">
        <v>160</v>
      </c>
      <c r="E2" s="138" t="s">
        <v>162</v>
      </c>
      <c r="F2" s="152"/>
      <c r="G2" s="152"/>
      <c r="I2" s="13"/>
    </row>
    <row r="3" spans="1:9" x14ac:dyDescent="0.2">
      <c r="C3" s="127"/>
      <c r="D3" s="127"/>
      <c r="E3" s="127"/>
      <c r="F3" s="127"/>
      <c r="G3" s="127"/>
      <c r="I3" s="13"/>
    </row>
    <row r="4" spans="1:9" ht="14.25" x14ac:dyDescent="0.2">
      <c r="A4" s="36" t="s">
        <v>49</v>
      </c>
      <c r="B4" s="163">
        <v>24.415775</v>
      </c>
      <c r="C4" s="163">
        <f>40.959</f>
        <v>40.959000000000003</v>
      </c>
      <c r="D4" s="163">
        <v>19.734000000000002</v>
      </c>
      <c r="E4" s="163">
        <f>22.951</f>
        <v>22.951000000000001</v>
      </c>
      <c r="F4" s="127"/>
      <c r="G4" s="136"/>
    </row>
    <row r="5" spans="1:9" ht="14.25" x14ac:dyDescent="0.2">
      <c r="A5" s="36" t="s">
        <v>60</v>
      </c>
      <c r="B5" s="163">
        <v>23.177954</v>
      </c>
      <c r="C5" s="163">
        <f>37.186</f>
        <v>37.186</v>
      </c>
      <c r="D5" s="163">
        <v>25.032</v>
      </c>
      <c r="E5" s="163">
        <f>36.257</f>
        <v>36.256999999999998</v>
      </c>
      <c r="F5" s="127"/>
    </row>
    <row r="6" spans="1:9" ht="14.25" x14ac:dyDescent="0.2">
      <c r="A6" s="36" t="s">
        <v>82</v>
      </c>
      <c r="B6" s="163">
        <v>20.990638399999998</v>
      </c>
      <c r="C6" s="163">
        <f>36.129</f>
        <v>36.128999999999998</v>
      </c>
      <c r="D6" s="163">
        <v>31.381</v>
      </c>
      <c r="E6" s="163">
        <f>41.904</f>
        <v>41.904000000000003</v>
      </c>
      <c r="F6" s="127"/>
    </row>
    <row r="7" spans="1:9" ht="14.25" x14ac:dyDescent="0.2">
      <c r="A7" s="36" t="s">
        <v>89</v>
      </c>
      <c r="B7" s="163">
        <v>27.300837899999998</v>
      </c>
      <c r="C7" s="163">
        <f>44.594</f>
        <v>44.594000000000001</v>
      </c>
      <c r="D7" s="163">
        <v>33.604999999999997</v>
      </c>
      <c r="E7" s="163">
        <f>46.829</f>
        <v>46.829000000000001</v>
      </c>
      <c r="F7" s="127"/>
    </row>
    <row r="8" spans="1:9" ht="14.25" x14ac:dyDescent="0.2">
      <c r="A8" s="36" t="s">
        <v>92</v>
      </c>
      <c r="B8" s="163">
        <v>29.522639699999999</v>
      </c>
      <c r="C8" s="163">
        <f>50.136</f>
        <v>50.136000000000003</v>
      </c>
      <c r="D8" s="163">
        <v>38.143999999999998</v>
      </c>
      <c r="E8" s="163">
        <f>50.612</f>
        <v>50.612000000000002</v>
      </c>
      <c r="F8" s="127"/>
    </row>
    <row r="9" spans="1:9" ht="14.25" x14ac:dyDescent="0.2">
      <c r="A9" s="36" t="s">
        <v>93</v>
      </c>
      <c r="B9" s="163">
        <v>30.550578200000004</v>
      </c>
      <c r="C9" s="163">
        <f>52.869</f>
        <v>52.869</v>
      </c>
      <c r="D9" s="163">
        <v>40.215000000000003</v>
      </c>
      <c r="E9" s="163">
        <f>54.383</f>
        <v>54.383000000000003</v>
      </c>
      <c r="F9" s="127"/>
    </row>
    <row r="10" spans="1:9" ht="14.25" x14ac:dyDescent="0.2">
      <c r="A10" s="36" t="s">
        <v>109</v>
      </c>
      <c r="B10" s="163">
        <v>36.249423</v>
      </c>
      <c r="C10" s="163">
        <f>58.963</f>
        <v>58.963000000000001</v>
      </c>
      <c r="D10" s="163">
        <v>49.253</v>
      </c>
      <c r="E10" s="163">
        <f>63.137</f>
        <v>63.137</v>
      </c>
      <c r="F10" s="127"/>
    </row>
    <row r="11" spans="1:9" ht="14.25" x14ac:dyDescent="0.2">
      <c r="A11" s="36" t="s">
        <v>111</v>
      </c>
      <c r="B11" s="163">
        <v>28.2025717</v>
      </c>
      <c r="C11" s="163">
        <f>58.071</f>
        <v>58.070999999999998</v>
      </c>
      <c r="D11" s="163">
        <v>61.058</v>
      </c>
      <c r="E11" s="163">
        <f>76.136</f>
        <v>76.135999999999996</v>
      </c>
    </row>
    <row r="12" spans="1:9" ht="14.25" x14ac:dyDescent="0.2">
      <c r="A12" s="36" t="s">
        <v>149</v>
      </c>
      <c r="B12" s="163">
        <v>13.323043999999999</v>
      </c>
      <c r="C12" s="163">
        <f>47.564</f>
        <v>47.564</v>
      </c>
      <c r="D12" s="163">
        <v>59.427999999999997</v>
      </c>
      <c r="E12" s="163">
        <f>74.594</f>
        <v>74.593999999999994</v>
      </c>
    </row>
    <row r="13" spans="1:9" ht="14.25" x14ac:dyDescent="0.2">
      <c r="A13" s="36" t="s">
        <v>163</v>
      </c>
      <c r="C13">
        <v>49.667999999999999</v>
      </c>
      <c r="E13">
        <v>77</v>
      </c>
    </row>
    <row r="14" spans="1:9" ht="14.25" x14ac:dyDescent="0.2">
      <c r="A14" s="36"/>
      <c r="B14" s="163"/>
      <c r="C14" s="163"/>
      <c r="D14" s="163"/>
      <c r="E14" s="163"/>
    </row>
    <row r="15" spans="1:9" x14ac:dyDescent="0.2">
      <c r="A15" s="18"/>
      <c r="B15" s="158"/>
      <c r="C15" s="127"/>
      <c r="D15" s="127"/>
      <c r="E15" s="127"/>
    </row>
    <row r="16" spans="1:9" x14ac:dyDescent="0.2">
      <c r="A16" s="18"/>
      <c r="B16" s="158"/>
      <c r="C16" s="127"/>
      <c r="D16" s="127"/>
      <c r="E16" s="127"/>
    </row>
    <row r="17" spans="1:5" x14ac:dyDescent="0.2">
      <c r="A17" s="18"/>
      <c r="B17" s="127"/>
      <c r="C17" s="127"/>
      <c r="D17" s="127"/>
      <c r="E17" s="127"/>
    </row>
    <row r="18" spans="1:5" ht="14.25" x14ac:dyDescent="0.2">
      <c r="A18" s="135"/>
      <c r="B18" s="127"/>
      <c r="C18" s="127"/>
      <c r="D18" s="127"/>
      <c r="E18" s="127"/>
    </row>
    <row r="19" spans="1:5" ht="14.25" x14ac:dyDescent="0.2">
      <c r="A19" s="135"/>
      <c r="B19" s="127"/>
      <c r="C19" s="127"/>
      <c r="D19" s="127"/>
      <c r="E19" s="127"/>
    </row>
    <row r="20" spans="1:5" ht="14.25" x14ac:dyDescent="0.2">
      <c r="A20" s="135"/>
      <c r="B20" s="127"/>
      <c r="C20" s="127"/>
      <c r="D20" s="127"/>
      <c r="E20" s="127"/>
    </row>
    <row r="21" spans="1:5" ht="14.25" x14ac:dyDescent="0.2">
      <c r="A21" s="135"/>
      <c r="B21" s="127"/>
      <c r="C21" s="127"/>
      <c r="D21" s="127"/>
      <c r="E21" s="127"/>
    </row>
    <row r="22" spans="1:5" ht="14.25" x14ac:dyDescent="0.2">
      <c r="A22" s="135"/>
      <c r="B22" s="127"/>
      <c r="C22" s="127"/>
      <c r="D22" s="127"/>
      <c r="E22" s="127"/>
    </row>
    <row r="23" spans="1:5" ht="14.25" x14ac:dyDescent="0.2">
      <c r="A23" s="135"/>
      <c r="B23" s="127"/>
      <c r="C23" s="127"/>
      <c r="D23" s="127"/>
      <c r="E23" s="127"/>
    </row>
    <row r="24" spans="1:5" ht="14.25" x14ac:dyDescent="0.2">
      <c r="A24" s="135"/>
      <c r="B24" s="127"/>
      <c r="C24" s="127"/>
      <c r="D24" s="127"/>
      <c r="E24" s="127"/>
    </row>
    <row r="25" spans="1:5" ht="14.25" x14ac:dyDescent="0.2">
      <c r="A25" s="135"/>
      <c r="B25" s="127"/>
      <c r="C25" s="127"/>
      <c r="D25" s="127"/>
      <c r="E25" s="127"/>
    </row>
    <row r="26" spans="1:5" ht="14.25" x14ac:dyDescent="0.2">
      <c r="A26" s="135"/>
      <c r="B26" s="127"/>
      <c r="C26" s="127"/>
      <c r="D26" s="127"/>
      <c r="E26" s="127"/>
    </row>
    <row r="27" spans="1:5" ht="14.25" x14ac:dyDescent="0.2">
      <c r="A27" s="135"/>
      <c r="B27" s="127"/>
      <c r="C27" s="127"/>
      <c r="D27" s="127"/>
      <c r="E27" s="127"/>
    </row>
    <row r="28" spans="1:5" ht="14.25" x14ac:dyDescent="0.2">
      <c r="A28" s="135"/>
      <c r="B28" s="126"/>
      <c r="C28" s="127"/>
      <c r="D28" s="127"/>
      <c r="E28" s="127"/>
    </row>
    <row r="29" spans="1:5" ht="14.25" x14ac:dyDescent="0.2">
      <c r="A29" s="135"/>
      <c r="B29" s="126"/>
      <c r="C29" s="126"/>
      <c r="D29" s="126"/>
      <c r="E29" s="126"/>
    </row>
    <row r="30" spans="1:5" ht="14.25" x14ac:dyDescent="0.2">
      <c r="A30" s="135"/>
      <c r="B30" s="126"/>
      <c r="C30" s="126"/>
      <c r="D30" s="126"/>
      <c r="E30" s="126"/>
    </row>
    <row r="31" spans="1:5" ht="14.25" x14ac:dyDescent="0.2">
      <c r="A31" s="135"/>
      <c r="B31" s="126"/>
      <c r="C31" s="126"/>
      <c r="D31" s="126"/>
      <c r="E31" s="126"/>
    </row>
    <row r="32" spans="1:5" ht="14.25" x14ac:dyDescent="0.2">
      <c r="A32" s="135"/>
      <c r="B32" s="126"/>
      <c r="C32" s="126"/>
      <c r="D32" s="126"/>
      <c r="E32" s="126"/>
    </row>
    <row r="33" spans="1:5" ht="14.25" x14ac:dyDescent="0.2">
      <c r="A33" s="135"/>
      <c r="B33" s="126"/>
      <c r="C33" s="126"/>
      <c r="D33" s="126"/>
      <c r="E33" s="126"/>
    </row>
    <row r="34" spans="1:5" ht="14.25" x14ac:dyDescent="0.2">
      <c r="A34" s="135"/>
      <c r="B34" s="126"/>
      <c r="C34" s="126"/>
      <c r="D34" s="126"/>
      <c r="E34" s="126"/>
    </row>
    <row r="35" spans="1:5" ht="14.25" x14ac:dyDescent="0.2">
      <c r="A35" s="135"/>
      <c r="B35" s="126"/>
      <c r="C35" s="126"/>
      <c r="D35" s="126"/>
      <c r="E35" s="126"/>
    </row>
    <row r="36" spans="1:5" ht="14.25" x14ac:dyDescent="0.2">
      <c r="A36" s="135"/>
      <c r="B36" s="126"/>
      <c r="C36" s="126"/>
      <c r="D36" s="126"/>
      <c r="E36" s="126"/>
    </row>
    <row r="37" spans="1:5" ht="14.25" x14ac:dyDescent="0.2">
      <c r="A37" s="135"/>
      <c r="B37" s="126"/>
      <c r="C37" s="126"/>
      <c r="D37" s="126"/>
      <c r="E37" s="126"/>
    </row>
    <row r="38" spans="1:5" ht="14.25" x14ac:dyDescent="0.2">
      <c r="A38" s="135"/>
      <c r="B38" s="126"/>
      <c r="C38" s="126"/>
      <c r="D38" s="126"/>
      <c r="E38" s="126"/>
    </row>
    <row r="39" spans="1:5" ht="14.25" x14ac:dyDescent="0.2">
      <c r="A39" s="135"/>
      <c r="B39" s="126"/>
      <c r="C39" s="126"/>
      <c r="D39" s="126"/>
      <c r="E39" s="126"/>
    </row>
    <row r="40" spans="1:5" ht="14.25" x14ac:dyDescent="0.2">
      <c r="A40" s="135"/>
      <c r="B40" s="126"/>
      <c r="C40" s="126"/>
      <c r="D40" s="126"/>
      <c r="E40" s="126"/>
    </row>
    <row r="41" spans="1:5" ht="14.25" x14ac:dyDescent="0.2">
      <c r="A41" s="135"/>
      <c r="B41" s="126"/>
      <c r="C41" s="126"/>
      <c r="D41" s="126"/>
      <c r="E41" s="126"/>
    </row>
    <row r="42" spans="1:5" ht="14.25" x14ac:dyDescent="0.2">
      <c r="A42" s="135"/>
      <c r="B42" s="126"/>
      <c r="C42" s="126"/>
      <c r="D42" s="126"/>
      <c r="E42" s="126"/>
    </row>
    <row r="43" spans="1:5" ht="14.25" x14ac:dyDescent="0.2">
      <c r="A43" s="135"/>
      <c r="B43" s="126"/>
      <c r="C43" s="126"/>
      <c r="D43" s="126"/>
      <c r="E43" s="126"/>
    </row>
    <row r="44" spans="1:5" ht="14.25" x14ac:dyDescent="0.2">
      <c r="A44" s="135"/>
      <c r="B44" s="126"/>
      <c r="C44" s="126"/>
      <c r="D44" s="126"/>
      <c r="E44" s="126"/>
    </row>
    <row r="45" spans="1:5" ht="14.25" x14ac:dyDescent="0.2">
      <c r="A45" s="135"/>
      <c r="B45" s="126"/>
      <c r="C45" s="126"/>
      <c r="D45" s="126"/>
      <c r="E45" s="126"/>
    </row>
    <row r="46" spans="1:5" ht="14.25" x14ac:dyDescent="0.2">
      <c r="A46" s="135"/>
      <c r="B46" s="126"/>
      <c r="C46" s="126"/>
      <c r="D46" s="126"/>
      <c r="E46" s="126"/>
    </row>
    <row r="47" spans="1:5" ht="14.25" x14ac:dyDescent="0.2">
      <c r="A47" s="135"/>
      <c r="B47" s="126"/>
      <c r="C47" s="126"/>
      <c r="D47" s="126"/>
      <c r="E47" s="126"/>
    </row>
    <row r="48" spans="1:5" ht="14.25" x14ac:dyDescent="0.2">
      <c r="A48" s="135"/>
      <c r="B48" s="126"/>
      <c r="C48" s="126"/>
      <c r="D48" s="126"/>
      <c r="E48" s="126"/>
    </row>
    <row r="49" spans="1:5" ht="14.25" x14ac:dyDescent="0.2">
      <c r="A49" s="135"/>
      <c r="B49" s="126"/>
      <c r="C49" s="126"/>
      <c r="D49" s="126"/>
      <c r="E49" s="126"/>
    </row>
    <row r="50" spans="1:5" ht="14.25" x14ac:dyDescent="0.2">
      <c r="A50" s="135"/>
      <c r="B50" s="126"/>
      <c r="C50" s="126"/>
      <c r="D50" s="126"/>
      <c r="E50" s="126"/>
    </row>
    <row r="51" spans="1:5" ht="14.25" x14ac:dyDescent="0.2">
      <c r="A51" s="135"/>
      <c r="B51" s="126"/>
      <c r="C51" s="126"/>
      <c r="D51" s="126"/>
      <c r="E51" s="126"/>
    </row>
    <row r="52" spans="1:5" ht="14.25" x14ac:dyDescent="0.2">
      <c r="A52" s="135"/>
      <c r="B52" s="126"/>
      <c r="C52" s="126"/>
      <c r="D52" s="126"/>
      <c r="E52" s="126"/>
    </row>
    <row r="53" spans="1:5" ht="14.25" x14ac:dyDescent="0.2">
      <c r="A53" s="135"/>
      <c r="B53" s="126"/>
      <c r="C53" s="126"/>
      <c r="D53" s="126"/>
      <c r="E53" s="126"/>
    </row>
    <row r="54" spans="1:5" ht="14.25" x14ac:dyDescent="0.2">
      <c r="A54" s="135"/>
      <c r="B54" s="126"/>
      <c r="C54" s="126"/>
      <c r="D54" s="126"/>
      <c r="E54" s="126"/>
    </row>
    <row r="55" spans="1:5" ht="14.25" x14ac:dyDescent="0.2">
      <c r="A55" s="135"/>
      <c r="B55" s="126"/>
      <c r="C55" s="126"/>
      <c r="D55" s="126"/>
      <c r="E55" s="126"/>
    </row>
    <row r="56" spans="1:5" ht="14.25" x14ac:dyDescent="0.2">
      <c r="A56" s="135"/>
      <c r="B56" s="126"/>
      <c r="C56" s="126"/>
      <c r="D56" s="126"/>
      <c r="E56" s="126"/>
    </row>
    <row r="57" spans="1:5" ht="14.25" x14ac:dyDescent="0.2">
      <c r="A57" s="135"/>
      <c r="B57" s="126"/>
      <c r="C57" s="126"/>
      <c r="D57" s="126"/>
      <c r="E57" s="126"/>
    </row>
    <row r="58" spans="1:5" ht="14.25" x14ac:dyDescent="0.2">
      <c r="A58" s="135"/>
      <c r="B58" s="126"/>
      <c r="C58" s="126"/>
      <c r="D58" s="126"/>
      <c r="E58" s="126"/>
    </row>
    <row r="59" spans="1:5" ht="14.25" x14ac:dyDescent="0.2">
      <c r="A59" s="135"/>
      <c r="B59" s="126"/>
      <c r="C59" s="126"/>
      <c r="D59" s="126"/>
      <c r="E59" s="126"/>
    </row>
    <row r="60" spans="1:5" ht="14.25" x14ac:dyDescent="0.2">
      <c r="A60" s="135"/>
      <c r="B60" s="126"/>
      <c r="C60" s="126"/>
      <c r="D60" s="126"/>
      <c r="E60" s="126"/>
    </row>
    <row r="61" spans="1:5" ht="14.25" x14ac:dyDescent="0.2">
      <c r="A61" s="135"/>
      <c r="B61" s="126"/>
      <c r="C61" s="126"/>
      <c r="D61" s="126"/>
      <c r="E61" s="126"/>
    </row>
    <row r="62" spans="1:5" ht="14.25" x14ac:dyDescent="0.2">
      <c r="A62" s="135"/>
      <c r="B62" s="126"/>
      <c r="C62" s="126"/>
      <c r="D62" s="126"/>
      <c r="E62" s="126"/>
    </row>
    <row r="63" spans="1:5" ht="14.25" x14ac:dyDescent="0.2">
      <c r="A63" s="135"/>
      <c r="B63" s="126"/>
      <c r="C63" s="126"/>
      <c r="D63" s="126"/>
      <c r="E63" s="126"/>
    </row>
    <row r="64" spans="1:5" ht="14.25" x14ac:dyDescent="0.2">
      <c r="A64" s="135"/>
      <c r="B64" s="126"/>
      <c r="C64" s="126"/>
      <c r="D64" s="126"/>
      <c r="E64" s="126"/>
    </row>
    <row r="65" spans="1:5" ht="14.25" x14ac:dyDescent="0.2">
      <c r="A65" s="135"/>
      <c r="B65" s="126"/>
      <c r="C65" s="126"/>
      <c r="D65" s="126"/>
      <c r="E65" s="126"/>
    </row>
    <row r="66" spans="1:5" ht="14.25" x14ac:dyDescent="0.2">
      <c r="A66" s="135"/>
      <c r="B66" s="126"/>
      <c r="C66" s="126"/>
      <c r="D66" s="126"/>
      <c r="E66" s="126"/>
    </row>
    <row r="67" spans="1:5" ht="14.25" x14ac:dyDescent="0.2">
      <c r="A67" s="135"/>
      <c r="B67" s="126"/>
      <c r="C67" s="126"/>
      <c r="D67" s="126"/>
      <c r="E67" s="126"/>
    </row>
    <row r="68" spans="1:5" ht="14.25" x14ac:dyDescent="0.2">
      <c r="A68" s="135"/>
      <c r="B68" s="126"/>
      <c r="C68" s="126"/>
      <c r="D68" s="126"/>
      <c r="E68" s="126"/>
    </row>
    <row r="69" spans="1:5" ht="14.25" x14ac:dyDescent="0.2">
      <c r="A69" s="135"/>
      <c r="B69" s="126"/>
      <c r="C69" s="126"/>
      <c r="D69" s="126"/>
      <c r="E69" s="126"/>
    </row>
    <row r="70" spans="1:5" ht="14.25" x14ac:dyDescent="0.2">
      <c r="A70" s="135"/>
      <c r="B70" s="126"/>
      <c r="C70" s="126"/>
      <c r="D70" s="126"/>
      <c r="E70" s="126"/>
    </row>
    <row r="71" spans="1:5" ht="14.25" x14ac:dyDescent="0.2">
      <c r="A71" s="135"/>
      <c r="B71" s="126"/>
      <c r="C71" s="126"/>
      <c r="D71" s="126"/>
      <c r="E71" s="126"/>
    </row>
    <row r="72" spans="1:5" ht="14.25" x14ac:dyDescent="0.2">
      <c r="A72" s="135"/>
      <c r="B72" s="126"/>
      <c r="C72" s="126"/>
      <c r="D72" s="126"/>
      <c r="E72" s="126"/>
    </row>
    <row r="73" spans="1:5" ht="14.25" x14ac:dyDescent="0.2">
      <c r="A73" s="135"/>
      <c r="B73" s="126"/>
      <c r="C73" s="126"/>
      <c r="D73" s="126"/>
      <c r="E73" s="126"/>
    </row>
    <row r="74" spans="1:5" ht="14.25" x14ac:dyDescent="0.2">
      <c r="A74" s="135"/>
      <c r="B74" s="126"/>
      <c r="C74" s="126"/>
      <c r="D74" s="126"/>
      <c r="E74" s="126"/>
    </row>
    <row r="75" spans="1:5" ht="14.25" x14ac:dyDescent="0.2">
      <c r="A75" s="135"/>
      <c r="B75" s="126"/>
      <c r="C75" s="126"/>
      <c r="D75" s="126"/>
      <c r="E75" s="126"/>
    </row>
    <row r="76" spans="1:5" ht="14.25" x14ac:dyDescent="0.2">
      <c r="A76" s="135"/>
      <c r="B76" s="126"/>
      <c r="C76" s="126"/>
      <c r="D76" s="126"/>
      <c r="E76" s="126"/>
    </row>
    <row r="77" spans="1:5" ht="14.25" x14ac:dyDescent="0.2">
      <c r="A77" s="135"/>
      <c r="B77" s="126"/>
      <c r="C77" s="126"/>
      <c r="D77" s="126"/>
      <c r="E77" s="126"/>
    </row>
    <row r="78" spans="1:5" ht="14.25" x14ac:dyDescent="0.2">
      <c r="A78" s="135"/>
      <c r="B78" s="126"/>
      <c r="C78" s="126"/>
      <c r="D78" s="126"/>
      <c r="E78" s="126"/>
    </row>
    <row r="79" spans="1:5" ht="14.25" x14ac:dyDescent="0.2">
      <c r="A79" s="135"/>
      <c r="B79" s="126"/>
      <c r="C79" s="126"/>
      <c r="D79" s="126"/>
      <c r="E79" s="126"/>
    </row>
    <row r="80" spans="1:5" ht="14.25" x14ac:dyDescent="0.2">
      <c r="A80" s="135"/>
      <c r="B80" s="126"/>
      <c r="C80" s="126"/>
      <c r="D80" s="126"/>
      <c r="E80" s="126"/>
    </row>
    <row r="81" spans="1:5" ht="14.25" x14ac:dyDescent="0.2">
      <c r="A81" s="135"/>
      <c r="B81" s="126"/>
      <c r="C81" s="126"/>
      <c r="D81" s="126"/>
      <c r="E81" s="126"/>
    </row>
    <row r="82" spans="1:5" ht="14.25" x14ac:dyDescent="0.2">
      <c r="A82" s="135"/>
      <c r="B82" s="126"/>
      <c r="C82" s="126"/>
      <c r="D82" s="126"/>
      <c r="E82" s="126"/>
    </row>
    <row r="83" spans="1:5" ht="14.25" x14ac:dyDescent="0.2">
      <c r="A83" s="135"/>
      <c r="B83" s="126"/>
      <c r="C83" s="126"/>
      <c r="D83" s="126"/>
      <c r="E83" s="126"/>
    </row>
    <row r="84" spans="1:5" ht="14.25" x14ac:dyDescent="0.2">
      <c r="A84" s="135"/>
      <c r="B84" s="126"/>
      <c r="C84" s="126"/>
      <c r="D84" s="126"/>
      <c r="E84" s="126"/>
    </row>
    <row r="85" spans="1:5" ht="14.25" x14ac:dyDescent="0.2">
      <c r="A85" s="135"/>
      <c r="B85" s="126"/>
      <c r="C85" s="126"/>
      <c r="D85" s="126"/>
      <c r="E85" s="126"/>
    </row>
    <row r="86" spans="1:5" ht="14.25" x14ac:dyDescent="0.2">
      <c r="A86" s="135"/>
      <c r="B86" s="126"/>
      <c r="C86" s="126"/>
      <c r="D86" s="126"/>
      <c r="E86" s="126"/>
    </row>
    <row r="87" spans="1:5" ht="14.25" x14ac:dyDescent="0.2">
      <c r="A87" s="135"/>
      <c r="B87" s="126"/>
      <c r="C87" s="126"/>
      <c r="D87" s="126"/>
      <c r="E87" s="126"/>
    </row>
    <row r="88" spans="1:5" ht="14.25" x14ac:dyDescent="0.2">
      <c r="A88" s="135"/>
      <c r="B88" s="126"/>
      <c r="C88" s="126"/>
      <c r="D88" s="126"/>
      <c r="E88" s="126"/>
    </row>
    <row r="89" spans="1:5" ht="14.25" x14ac:dyDescent="0.2">
      <c r="A89" s="135"/>
      <c r="B89" s="126"/>
      <c r="C89" s="126"/>
      <c r="D89" s="126"/>
      <c r="E89" s="126"/>
    </row>
    <row r="90" spans="1:5" ht="14.25" x14ac:dyDescent="0.2">
      <c r="A90" s="135"/>
      <c r="B90" s="126"/>
      <c r="C90" s="126"/>
      <c r="D90" s="126"/>
      <c r="E90" s="126"/>
    </row>
    <row r="91" spans="1:5" ht="14.25" x14ac:dyDescent="0.2">
      <c r="A91" s="135"/>
      <c r="B91" s="126"/>
      <c r="C91" s="126"/>
      <c r="D91" s="126"/>
      <c r="E91" s="126"/>
    </row>
    <row r="92" spans="1:5" ht="14.25" x14ac:dyDescent="0.2">
      <c r="A92" s="135"/>
      <c r="B92" s="126"/>
      <c r="C92" s="126"/>
      <c r="D92" s="126"/>
      <c r="E92" s="126"/>
    </row>
    <row r="93" spans="1:5" ht="14.25" x14ac:dyDescent="0.2">
      <c r="A93" s="135"/>
      <c r="B93" s="126"/>
      <c r="C93" s="126"/>
      <c r="D93" s="126"/>
      <c r="E93" s="126"/>
    </row>
    <row r="94" spans="1:5" ht="14.25" x14ac:dyDescent="0.2">
      <c r="A94" s="135"/>
      <c r="B94" s="126"/>
      <c r="C94" s="126"/>
      <c r="D94" s="126"/>
      <c r="E94" s="126"/>
    </row>
    <row r="95" spans="1:5" ht="14.25" x14ac:dyDescent="0.2">
      <c r="A95" s="135"/>
      <c r="B95" s="126"/>
      <c r="C95" s="126"/>
      <c r="D95" s="126"/>
      <c r="E95" s="126"/>
    </row>
    <row r="96" spans="1:5" ht="14.25" x14ac:dyDescent="0.2">
      <c r="A96" s="135"/>
      <c r="B96" s="126"/>
      <c r="C96" s="126"/>
      <c r="D96" s="126"/>
      <c r="E96" s="126"/>
    </row>
    <row r="97" spans="1:5" ht="14.25" x14ac:dyDescent="0.2">
      <c r="A97" s="135"/>
      <c r="B97" s="126"/>
      <c r="C97" s="126"/>
      <c r="D97" s="126"/>
      <c r="E97" s="126"/>
    </row>
    <row r="98" spans="1:5" ht="14.25" x14ac:dyDescent="0.2">
      <c r="A98" s="135"/>
      <c r="B98" s="126"/>
      <c r="C98" s="126"/>
      <c r="D98" s="126"/>
      <c r="E98" s="126"/>
    </row>
    <row r="99" spans="1:5" ht="14.25" x14ac:dyDescent="0.2">
      <c r="A99" s="135"/>
      <c r="B99" s="126"/>
      <c r="C99" s="126"/>
      <c r="D99" s="126"/>
      <c r="E99" s="126"/>
    </row>
    <row r="100" spans="1:5" ht="14.25" x14ac:dyDescent="0.2">
      <c r="A100" s="135"/>
      <c r="B100" s="126"/>
      <c r="C100" s="126"/>
      <c r="D100" s="126"/>
      <c r="E100" s="126"/>
    </row>
    <row r="101" spans="1:5" ht="14.25" x14ac:dyDescent="0.2">
      <c r="A101" s="135"/>
      <c r="B101" s="126"/>
      <c r="C101" s="126"/>
      <c r="D101" s="126"/>
      <c r="E101" s="126"/>
    </row>
    <row r="102" spans="1:5" ht="14.25" x14ac:dyDescent="0.2">
      <c r="A102" s="135"/>
      <c r="B102" s="126"/>
      <c r="C102" s="126"/>
      <c r="D102" s="126"/>
      <c r="E102" s="126"/>
    </row>
    <row r="103" spans="1:5" ht="14.25" x14ac:dyDescent="0.2">
      <c r="A103" s="135"/>
      <c r="B103" s="126"/>
      <c r="C103" s="126"/>
      <c r="D103" s="126"/>
      <c r="E103" s="126"/>
    </row>
    <row r="104" spans="1:5" ht="14.25" x14ac:dyDescent="0.2">
      <c r="A104" s="135"/>
      <c r="B104" s="126"/>
      <c r="C104" s="126"/>
      <c r="D104" s="126"/>
      <c r="E104" s="126"/>
    </row>
    <row r="105" spans="1:5" ht="14.25" x14ac:dyDescent="0.2">
      <c r="A105" s="135"/>
      <c r="B105" s="126"/>
      <c r="C105" s="126"/>
      <c r="D105" s="126"/>
      <c r="E105" s="126"/>
    </row>
    <row r="106" spans="1:5" ht="14.25" x14ac:dyDescent="0.2">
      <c r="A106" s="135"/>
      <c r="B106" s="126"/>
      <c r="C106" s="126"/>
      <c r="D106" s="126"/>
      <c r="E106" s="126"/>
    </row>
    <row r="107" spans="1:5" ht="14.25" x14ac:dyDescent="0.2">
      <c r="A107" s="135"/>
      <c r="B107" s="126"/>
      <c r="C107" s="126"/>
      <c r="D107" s="126"/>
      <c r="E107" s="126"/>
    </row>
    <row r="108" spans="1:5" ht="14.25" x14ac:dyDescent="0.2">
      <c r="A108" s="135"/>
      <c r="B108" s="126"/>
      <c r="C108" s="126"/>
      <c r="D108" s="126"/>
      <c r="E108" s="126"/>
    </row>
    <row r="109" spans="1:5" ht="14.25" x14ac:dyDescent="0.2">
      <c r="A109" s="135"/>
      <c r="B109" s="126"/>
      <c r="C109" s="126"/>
      <c r="D109" s="126"/>
      <c r="E109" s="126"/>
    </row>
    <row r="110" spans="1:5" x14ac:dyDescent="0.2">
      <c r="A110" s="125"/>
      <c r="B110" s="126"/>
      <c r="C110" s="126"/>
      <c r="D110" s="126"/>
      <c r="E110" s="126"/>
    </row>
    <row r="111" spans="1:5" x14ac:dyDescent="0.2">
      <c r="A111" s="125"/>
      <c r="B111" s="126"/>
      <c r="C111" s="126"/>
      <c r="D111" s="126"/>
      <c r="E111" s="126"/>
    </row>
    <row r="112" spans="1:5" x14ac:dyDescent="0.2">
      <c r="A112" s="125"/>
      <c r="B112" s="126"/>
      <c r="C112" s="126"/>
      <c r="D112" s="126"/>
      <c r="E112" s="126"/>
    </row>
    <row r="113" spans="1:5" x14ac:dyDescent="0.2">
      <c r="A113" s="125"/>
      <c r="B113" s="126"/>
      <c r="C113" s="126"/>
      <c r="D113" s="126"/>
      <c r="E113" s="126"/>
    </row>
    <row r="114" spans="1:5" x14ac:dyDescent="0.2">
      <c r="A114" s="125"/>
      <c r="B114" s="126"/>
      <c r="C114" s="126"/>
      <c r="D114" s="126"/>
      <c r="E114" s="126"/>
    </row>
    <row r="115" spans="1:5" x14ac:dyDescent="0.2">
      <c r="A115" s="125"/>
      <c r="B115" s="126"/>
      <c r="C115" s="126"/>
      <c r="D115" s="126"/>
      <c r="E115" s="126"/>
    </row>
    <row r="116" spans="1:5" x14ac:dyDescent="0.2">
      <c r="A116" s="125"/>
      <c r="B116" s="126"/>
      <c r="C116" s="126"/>
      <c r="D116" s="126"/>
      <c r="E116" s="126"/>
    </row>
    <row r="117" spans="1:5" x14ac:dyDescent="0.2">
      <c r="A117" s="125"/>
      <c r="B117" s="126"/>
      <c r="C117" s="126"/>
      <c r="D117" s="126"/>
      <c r="E117" s="126"/>
    </row>
    <row r="118" spans="1:5" x14ac:dyDescent="0.2">
      <c r="A118" s="125"/>
      <c r="B118" s="126"/>
      <c r="C118" s="126"/>
      <c r="D118" s="126"/>
      <c r="E118" s="126"/>
    </row>
    <row r="119" spans="1:5" x14ac:dyDescent="0.2">
      <c r="A119" s="125"/>
      <c r="B119" s="126"/>
      <c r="C119" s="126"/>
      <c r="D119" s="126"/>
      <c r="E119" s="126"/>
    </row>
    <row r="120" spans="1:5" x14ac:dyDescent="0.2">
      <c r="A120" s="125"/>
      <c r="B120" s="126"/>
      <c r="C120" s="126"/>
      <c r="D120" s="126"/>
      <c r="E120" s="126"/>
    </row>
    <row r="121" spans="1:5" x14ac:dyDescent="0.2">
      <c r="A121" s="125"/>
      <c r="B121" s="126"/>
      <c r="C121" s="126"/>
      <c r="D121" s="126"/>
      <c r="E121" s="126"/>
    </row>
    <row r="122" spans="1:5" x14ac:dyDescent="0.2">
      <c r="A122" s="125"/>
      <c r="B122" s="126"/>
      <c r="C122" s="126"/>
      <c r="D122" s="126"/>
      <c r="E122" s="126"/>
    </row>
    <row r="123" spans="1:5" x14ac:dyDescent="0.2">
      <c r="A123" s="125"/>
      <c r="B123" s="126"/>
      <c r="C123" s="126"/>
      <c r="D123" s="126"/>
      <c r="E123" s="126"/>
    </row>
    <row r="124" spans="1:5" x14ac:dyDescent="0.2">
      <c r="A124" s="125"/>
      <c r="B124" s="126"/>
      <c r="C124" s="126"/>
      <c r="D124" s="126"/>
      <c r="E124" s="126"/>
    </row>
    <row r="125" spans="1:5" x14ac:dyDescent="0.2">
      <c r="A125" s="125"/>
      <c r="B125" s="126"/>
      <c r="C125" s="126"/>
      <c r="D125" s="126"/>
      <c r="E125" s="126"/>
    </row>
    <row r="126" spans="1:5" x14ac:dyDescent="0.2">
      <c r="A126" s="125"/>
      <c r="B126" s="126"/>
      <c r="C126" s="126"/>
      <c r="D126" s="126"/>
      <c r="E126" s="126"/>
    </row>
    <row r="127" spans="1:5" x14ac:dyDescent="0.2">
      <c r="A127" s="125"/>
      <c r="B127" s="126"/>
      <c r="C127" s="126"/>
      <c r="D127" s="126"/>
      <c r="E127" s="126"/>
    </row>
    <row r="128" spans="1:5" x14ac:dyDescent="0.2">
      <c r="A128" s="125"/>
      <c r="B128" s="126"/>
      <c r="C128" s="126"/>
      <c r="D128" s="126"/>
      <c r="E128" s="126"/>
    </row>
    <row r="129" spans="1:5" x14ac:dyDescent="0.2">
      <c r="A129" s="125"/>
      <c r="B129" s="126"/>
      <c r="C129" s="126"/>
      <c r="D129" s="126"/>
      <c r="E129" s="126"/>
    </row>
    <row r="130" spans="1:5" x14ac:dyDescent="0.2">
      <c r="A130" s="125"/>
      <c r="B130" s="126"/>
      <c r="C130" s="126"/>
      <c r="D130" s="126"/>
      <c r="E130" s="126"/>
    </row>
    <row r="131" spans="1:5" x14ac:dyDescent="0.2">
      <c r="A131" s="125"/>
      <c r="B131" s="126"/>
      <c r="C131" s="126"/>
      <c r="D131" s="126"/>
      <c r="E131" s="126"/>
    </row>
    <row r="132" spans="1:5" x14ac:dyDescent="0.2">
      <c r="A132" s="125"/>
      <c r="B132" s="126"/>
      <c r="C132" s="126"/>
      <c r="D132" s="126"/>
      <c r="E132" s="126"/>
    </row>
    <row r="133" spans="1:5" x14ac:dyDescent="0.2">
      <c r="A133" s="125"/>
      <c r="B133" s="126"/>
      <c r="C133" s="126"/>
      <c r="D133" s="126"/>
      <c r="E133" s="126"/>
    </row>
    <row r="134" spans="1:5" x14ac:dyDescent="0.2">
      <c r="A134" s="125"/>
      <c r="B134" s="126"/>
      <c r="C134" s="126"/>
      <c r="D134" s="126"/>
      <c r="E134" s="126"/>
    </row>
    <row r="135" spans="1:5" x14ac:dyDescent="0.2">
      <c r="A135" s="125"/>
      <c r="B135" s="126"/>
      <c r="C135" s="126"/>
      <c r="D135" s="126"/>
      <c r="E135" s="126"/>
    </row>
    <row r="136" spans="1:5" x14ac:dyDescent="0.2">
      <c r="A136" s="125"/>
      <c r="B136" s="126"/>
      <c r="C136" s="126"/>
      <c r="D136" s="126"/>
      <c r="E136" s="126"/>
    </row>
    <row r="137" spans="1:5" x14ac:dyDescent="0.2">
      <c r="A137" s="125"/>
      <c r="B137" s="126"/>
      <c r="C137" s="126"/>
      <c r="D137" s="126"/>
      <c r="E137" s="126"/>
    </row>
    <row r="138" spans="1:5" x14ac:dyDescent="0.2">
      <c r="A138" s="125"/>
      <c r="B138" s="126"/>
      <c r="C138" s="126"/>
      <c r="D138" s="126"/>
      <c r="E138" s="126"/>
    </row>
    <row r="139" spans="1:5" x14ac:dyDescent="0.2">
      <c r="A139" s="125"/>
      <c r="B139" s="126"/>
      <c r="C139" s="126"/>
      <c r="D139" s="126"/>
      <c r="E139" s="126"/>
    </row>
    <row r="140" spans="1:5" x14ac:dyDescent="0.2">
      <c r="A140" s="125"/>
      <c r="B140" s="126"/>
      <c r="C140" s="126"/>
      <c r="D140" s="126"/>
      <c r="E140" s="126"/>
    </row>
    <row r="141" spans="1:5" x14ac:dyDescent="0.2">
      <c r="A141" s="125"/>
      <c r="B141" s="126"/>
      <c r="C141" s="126"/>
      <c r="D141" s="126"/>
      <c r="E141" s="126"/>
    </row>
    <row r="142" spans="1:5" x14ac:dyDescent="0.2">
      <c r="A142" s="125"/>
      <c r="B142" s="126"/>
      <c r="C142" s="126"/>
      <c r="D142" s="126"/>
      <c r="E142" s="126"/>
    </row>
    <row r="143" spans="1:5" x14ac:dyDescent="0.2">
      <c r="A143" s="125"/>
      <c r="B143" s="126"/>
      <c r="C143" s="126"/>
      <c r="D143" s="126"/>
      <c r="E143" s="126"/>
    </row>
    <row r="144" spans="1:5" x14ac:dyDescent="0.2">
      <c r="A144" s="125"/>
      <c r="B144" s="126"/>
      <c r="C144" s="126"/>
      <c r="D144" s="126"/>
      <c r="E144" s="126"/>
    </row>
    <row r="145" spans="1:5" x14ac:dyDescent="0.2">
      <c r="A145" s="125"/>
      <c r="B145" s="126"/>
      <c r="C145" s="126"/>
      <c r="D145" s="126"/>
      <c r="E145" s="126"/>
    </row>
    <row r="146" spans="1:5" x14ac:dyDescent="0.2">
      <c r="A146" s="125"/>
      <c r="B146" s="126"/>
      <c r="C146" s="126"/>
      <c r="D146" s="126"/>
      <c r="E146" s="126"/>
    </row>
    <row r="147" spans="1:5" x14ac:dyDescent="0.2">
      <c r="A147" s="125"/>
      <c r="B147" s="126"/>
      <c r="C147" s="126"/>
      <c r="D147" s="126"/>
      <c r="E147" s="126"/>
    </row>
    <row r="148" spans="1:5" x14ac:dyDescent="0.2">
      <c r="A148" s="125"/>
      <c r="B148" s="126"/>
      <c r="C148" s="126"/>
      <c r="D148" s="126"/>
      <c r="E148" s="126"/>
    </row>
    <row r="149" spans="1:5" x14ac:dyDescent="0.2">
      <c r="A149" s="125"/>
      <c r="B149" s="126"/>
      <c r="C149" s="126"/>
      <c r="D149" s="126"/>
      <c r="E149" s="126"/>
    </row>
    <row r="150" spans="1:5" x14ac:dyDescent="0.2">
      <c r="A150" s="125"/>
      <c r="B150" s="126"/>
      <c r="C150" s="126"/>
      <c r="D150" s="126"/>
      <c r="E150" s="126"/>
    </row>
    <row r="151" spans="1:5" x14ac:dyDescent="0.2">
      <c r="A151" s="125"/>
      <c r="B151" s="126"/>
      <c r="C151" s="126"/>
      <c r="D151" s="126"/>
      <c r="E151" s="126"/>
    </row>
    <row r="152" spans="1:5" x14ac:dyDescent="0.2">
      <c r="A152" s="125"/>
      <c r="B152" s="126"/>
      <c r="C152" s="126"/>
      <c r="D152" s="126"/>
      <c r="E152" s="126"/>
    </row>
    <row r="153" spans="1:5" x14ac:dyDescent="0.2">
      <c r="A153" s="125"/>
      <c r="B153" s="126"/>
      <c r="C153" s="126"/>
      <c r="D153" s="126"/>
      <c r="E153" s="126"/>
    </row>
    <row r="154" spans="1:5" x14ac:dyDescent="0.2">
      <c r="A154" s="125"/>
      <c r="B154" s="126"/>
      <c r="C154" s="126"/>
      <c r="D154" s="126"/>
      <c r="E154" s="126"/>
    </row>
    <row r="155" spans="1:5" x14ac:dyDescent="0.2">
      <c r="A155" s="125"/>
      <c r="B155" s="126"/>
      <c r="C155" s="126"/>
      <c r="D155" s="126"/>
      <c r="E155" s="126"/>
    </row>
    <row r="156" spans="1:5" x14ac:dyDescent="0.2">
      <c r="A156" s="125"/>
      <c r="B156" s="126"/>
      <c r="C156" s="126"/>
      <c r="D156" s="126"/>
      <c r="E156" s="126"/>
    </row>
    <row r="157" spans="1:5" x14ac:dyDescent="0.2">
      <c r="A157" s="125"/>
      <c r="B157" s="126"/>
      <c r="C157" s="126"/>
      <c r="D157" s="126"/>
      <c r="E157" s="126"/>
    </row>
    <row r="158" spans="1:5" x14ac:dyDescent="0.2">
      <c r="A158" s="125"/>
      <c r="B158" s="126"/>
      <c r="C158" s="126"/>
      <c r="D158" s="126"/>
      <c r="E158" s="126"/>
    </row>
    <row r="159" spans="1:5" x14ac:dyDescent="0.2">
      <c r="A159" s="125"/>
      <c r="B159" s="126"/>
      <c r="C159" s="126"/>
      <c r="D159" s="126"/>
      <c r="E159" s="126"/>
    </row>
    <row r="160" spans="1:5" x14ac:dyDescent="0.2">
      <c r="A160" s="125"/>
      <c r="B160" s="126"/>
      <c r="C160" s="126"/>
      <c r="D160" s="126"/>
      <c r="E160" s="126"/>
    </row>
    <row r="161" spans="1:5" x14ac:dyDescent="0.2">
      <c r="A161" s="125"/>
      <c r="B161" s="126"/>
      <c r="C161" s="126"/>
      <c r="D161" s="126"/>
      <c r="E161" s="126"/>
    </row>
    <row r="162" spans="1:5" x14ac:dyDescent="0.2">
      <c r="A162" s="125"/>
      <c r="B162" s="126"/>
      <c r="C162" s="126"/>
      <c r="D162" s="126"/>
      <c r="E162" s="126"/>
    </row>
    <row r="163" spans="1:5" x14ac:dyDescent="0.2">
      <c r="A163" s="125"/>
      <c r="B163" s="126"/>
      <c r="C163" s="126"/>
      <c r="D163" s="126"/>
      <c r="E163" s="126"/>
    </row>
    <row r="164" spans="1:5" x14ac:dyDescent="0.2">
      <c r="A164" s="125"/>
      <c r="B164" s="126"/>
      <c r="C164" s="126"/>
      <c r="D164" s="126"/>
      <c r="E164" s="126"/>
    </row>
    <row r="165" spans="1:5" x14ac:dyDescent="0.2">
      <c r="A165" s="125"/>
      <c r="B165" s="126"/>
      <c r="C165" s="126"/>
      <c r="D165" s="126"/>
      <c r="E165" s="126"/>
    </row>
    <row r="166" spans="1:5" x14ac:dyDescent="0.2">
      <c r="A166" s="125"/>
      <c r="B166" s="126"/>
      <c r="C166" s="126"/>
      <c r="D166" s="126"/>
      <c r="E166" s="126"/>
    </row>
    <row r="167" spans="1:5" x14ac:dyDescent="0.2">
      <c r="A167" s="125"/>
      <c r="B167" s="126"/>
      <c r="C167" s="126"/>
      <c r="D167" s="126"/>
      <c r="E167" s="126"/>
    </row>
    <row r="168" spans="1:5" x14ac:dyDescent="0.2">
      <c r="A168" s="125"/>
      <c r="B168" s="126"/>
      <c r="C168" s="126"/>
      <c r="D168" s="126"/>
      <c r="E168" s="126"/>
    </row>
    <row r="169" spans="1:5" x14ac:dyDescent="0.2">
      <c r="A169" s="125"/>
      <c r="B169" s="126"/>
      <c r="C169" s="126"/>
      <c r="D169" s="126"/>
      <c r="E169" s="126"/>
    </row>
    <row r="170" spans="1:5" x14ac:dyDescent="0.2">
      <c r="A170" s="125"/>
      <c r="B170" s="126"/>
      <c r="C170" s="126"/>
      <c r="D170" s="126"/>
      <c r="E170" s="126"/>
    </row>
    <row r="171" spans="1:5" x14ac:dyDescent="0.2">
      <c r="A171" s="125"/>
      <c r="B171" s="126"/>
      <c r="C171" s="126"/>
      <c r="D171" s="126"/>
      <c r="E171" s="126"/>
    </row>
    <row r="172" spans="1:5" x14ac:dyDescent="0.2">
      <c r="A172" s="125"/>
      <c r="B172" s="126"/>
      <c r="C172" s="126"/>
      <c r="D172" s="126"/>
      <c r="E172" s="126"/>
    </row>
    <row r="173" spans="1:5" x14ac:dyDescent="0.2">
      <c r="A173" s="125"/>
      <c r="B173" s="126"/>
      <c r="C173" s="126"/>
      <c r="D173" s="126"/>
      <c r="E173" s="126"/>
    </row>
    <row r="174" spans="1:5" x14ac:dyDescent="0.2">
      <c r="A174" s="125"/>
      <c r="B174" s="126"/>
      <c r="C174" s="126"/>
      <c r="D174" s="126"/>
      <c r="E174" s="126"/>
    </row>
    <row r="175" spans="1:5" x14ac:dyDescent="0.2">
      <c r="A175" s="125"/>
      <c r="B175" s="126"/>
      <c r="C175" s="126"/>
      <c r="D175" s="126"/>
      <c r="E175" s="126"/>
    </row>
    <row r="176" spans="1:5" x14ac:dyDescent="0.2">
      <c r="A176" s="125"/>
      <c r="B176" s="126"/>
      <c r="C176" s="126"/>
      <c r="D176" s="126"/>
      <c r="E176" s="126"/>
    </row>
    <row r="177" spans="1:5" x14ac:dyDescent="0.2">
      <c r="A177" s="125"/>
      <c r="B177" s="126"/>
      <c r="C177" s="126"/>
      <c r="D177" s="126"/>
      <c r="E177" s="126"/>
    </row>
    <row r="178" spans="1:5" x14ac:dyDescent="0.2">
      <c r="A178" s="125"/>
      <c r="B178" s="126"/>
      <c r="C178" s="126"/>
      <c r="D178" s="126"/>
      <c r="E178" s="126"/>
    </row>
    <row r="179" spans="1:5" x14ac:dyDescent="0.2">
      <c r="A179" s="125"/>
      <c r="B179" s="126"/>
      <c r="C179" s="126"/>
      <c r="D179" s="126"/>
      <c r="E179" s="126"/>
    </row>
    <row r="180" spans="1:5" x14ac:dyDescent="0.2">
      <c r="A180" s="125"/>
      <c r="B180" s="126"/>
      <c r="C180" s="126"/>
      <c r="D180" s="126"/>
      <c r="E180" s="126"/>
    </row>
    <row r="181" spans="1:5" x14ac:dyDescent="0.2">
      <c r="A181" s="125"/>
      <c r="B181" s="126"/>
      <c r="C181" s="126"/>
      <c r="D181" s="126"/>
      <c r="E181" s="126"/>
    </row>
    <row r="182" spans="1:5" x14ac:dyDescent="0.2">
      <c r="A182" s="125"/>
      <c r="B182" s="126"/>
      <c r="C182" s="126"/>
      <c r="D182" s="126"/>
      <c r="E182" s="126"/>
    </row>
    <row r="183" spans="1:5" x14ac:dyDescent="0.2">
      <c r="A183" s="125"/>
      <c r="B183" s="126"/>
      <c r="C183" s="126"/>
      <c r="D183" s="126"/>
      <c r="E183" s="126"/>
    </row>
    <row r="184" spans="1:5" x14ac:dyDescent="0.2">
      <c r="A184" s="125"/>
      <c r="B184" s="126"/>
      <c r="C184" s="126"/>
      <c r="D184" s="126"/>
      <c r="E184" s="126"/>
    </row>
    <row r="185" spans="1:5" x14ac:dyDescent="0.2">
      <c r="A185" s="125"/>
      <c r="B185" s="126"/>
      <c r="C185" s="126"/>
      <c r="D185" s="126"/>
      <c r="E185" s="126"/>
    </row>
    <row r="186" spans="1:5" x14ac:dyDescent="0.2">
      <c r="A186" s="125"/>
      <c r="B186" s="126"/>
      <c r="C186" s="126"/>
      <c r="D186" s="126"/>
      <c r="E186" s="126"/>
    </row>
    <row r="187" spans="1:5" x14ac:dyDescent="0.2">
      <c r="A187" s="125"/>
      <c r="B187" s="126"/>
      <c r="C187" s="126"/>
      <c r="D187" s="126"/>
      <c r="E187" s="126"/>
    </row>
    <row r="188" spans="1:5" x14ac:dyDescent="0.2">
      <c r="A188" s="125"/>
      <c r="B188" s="126"/>
      <c r="C188" s="126"/>
      <c r="D188" s="126"/>
      <c r="E188" s="126"/>
    </row>
    <row r="189" spans="1:5" x14ac:dyDescent="0.2">
      <c r="A189" s="125"/>
      <c r="B189" s="126"/>
      <c r="C189" s="126"/>
      <c r="D189" s="126"/>
      <c r="E189" s="126"/>
    </row>
    <row r="190" spans="1:5" x14ac:dyDescent="0.2">
      <c r="A190" s="125"/>
      <c r="B190" s="126"/>
      <c r="C190" s="126"/>
      <c r="D190" s="126"/>
      <c r="E190" s="126"/>
    </row>
    <row r="191" spans="1:5" x14ac:dyDescent="0.2">
      <c r="A191" s="125"/>
      <c r="B191" s="126"/>
      <c r="C191" s="126"/>
      <c r="D191" s="126"/>
      <c r="E191" s="126"/>
    </row>
    <row r="192" spans="1:5" x14ac:dyDescent="0.2">
      <c r="A192" s="125"/>
      <c r="B192" s="126"/>
      <c r="C192" s="126"/>
      <c r="D192" s="126"/>
      <c r="E192" s="126"/>
    </row>
    <row r="193" spans="1:6" x14ac:dyDescent="0.2">
      <c r="A193" s="125"/>
      <c r="B193" s="126"/>
      <c r="C193" s="126"/>
      <c r="D193" s="126"/>
      <c r="E193" s="126"/>
    </row>
    <row r="194" spans="1:6" x14ac:dyDescent="0.2">
      <c r="A194" s="125"/>
      <c r="B194" s="126"/>
      <c r="C194" s="126"/>
      <c r="D194" s="126"/>
      <c r="E194" s="126"/>
    </row>
    <row r="195" spans="1:6" x14ac:dyDescent="0.2">
      <c r="A195" s="125"/>
      <c r="B195" s="126"/>
      <c r="C195" s="126"/>
      <c r="D195" s="126"/>
      <c r="E195" s="126"/>
    </row>
    <row r="196" spans="1:6" x14ac:dyDescent="0.2">
      <c r="A196" s="125"/>
      <c r="B196" s="126"/>
      <c r="C196" s="126"/>
      <c r="D196" s="126"/>
      <c r="E196" s="126"/>
    </row>
    <row r="197" spans="1:6" x14ac:dyDescent="0.2">
      <c r="A197" s="125"/>
      <c r="B197" s="126"/>
      <c r="C197" s="126"/>
      <c r="D197" s="126"/>
      <c r="E197" s="126"/>
    </row>
    <row r="198" spans="1:6" x14ac:dyDescent="0.2">
      <c r="A198" s="125"/>
      <c r="B198" s="126"/>
      <c r="C198" s="126"/>
      <c r="D198" s="126"/>
      <c r="E198" s="126"/>
    </row>
    <row r="199" spans="1:6" x14ac:dyDescent="0.2">
      <c r="A199" s="125"/>
      <c r="B199" s="126"/>
      <c r="C199" s="126"/>
      <c r="D199" s="126"/>
      <c r="E199" s="126"/>
    </row>
    <row r="200" spans="1:6" x14ac:dyDescent="0.2">
      <c r="A200" s="125"/>
      <c r="B200" s="126"/>
      <c r="C200" s="126"/>
      <c r="D200" s="126"/>
      <c r="E200" s="126"/>
    </row>
    <row r="201" spans="1:6" x14ac:dyDescent="0.2">
      <c r="A201" s="125"/>
      <c r="B201" s="126"/>
      <c r="C201" s="126"/>
      <c r="D201" s="126"/>
      <c r="E201" s="126"/>
    </row>
    <row r="202" spans="1:6" x14ac:dyDescent="0.2">
      <c r="A202" s="125"/>
      <c r="B202" s="126"/>
      <c r="C202" s="126"/>
      <c r="D202" s="126"/>
      <c r="E202" s="126"/>
    </row>
    <row r="203" spans="1:6" x14ac:dyDescent="0.2">
      <c r="A203" s="125"/>
      <c r="B203" s="126"/>
      <c r="C203" s="126"/>
      <c r="D203" s="126"/>
      <c r="E203" s="126"/>
    </row>
    <row r="204" spans="1:6" x14ac:dyDescent="0.2">
      <c r="A204" s="125"/>
      <c r="B204" s="126"/>
      <c r="C204" s="126"/>
      <c r="D204" s="126"/>
      <c r="E204" s="126"/>
      <c r="F204" s="126"/>
    </row>
    <row r="205" spans="1:6" x14ac:dyDescent="0.2">
      <c r="A205" s="125"/>
      <c r="B205" s="126"/>
      <c r="C205" s="126"/>
      <c r="D205" s="126"/>
      <c r="E205" s="126"/>
      <c r="F205" s="126"/>
    </row>
    <row r="206" spans="1:6" x14ac:dyDescent="0.2">
      <c r="A206" s="125"/>
      <c r="B206" s="126"/>
      <c r="C206" s="126"/>
      <c r="D206" s="126"/>
      <c r="E206" s="126"/>
      <c r="F206" s="126"/>
    </row>
    <row r="207" spans="1:6" x14ac:dyDescent="0.2">
      <c r="A207" s="125"/>
      <c r="B207" s="126"/>
      <c r="C207" s="126"/>
      <c r="D207" s="126"/>
      <c r="E207" s="126"/>
      <c r="F207" s="126"/>
    </row>
    <row r="208" spans="1:6" x14ac:dyDescent="0.2">
      <c r="A208" s="125"/>
      <c r="B208" s="126"/>
      <c r="C208" s="126"/>
      <c r="D208" s="126"/>
      <c r="E208" s="126"/>
      <c r="F208" s="126"/>
    </row>
    <row r="209" spans="1:6" x14ac:dyDescent="0.2">
      <c r="A209" s="125"/>
      <c r="B209" s="126"/>
      <c r="C209" s="126"/>
      <c r="D209" s="126"/>
      <c r="E209" s="126"/>
      <c r="F209" s="126"/>
    </row>
    <row r="210" spans="1:6" x14ac:dyDescent="0.2">
      <c r="A210" s="125"/>
      <c r="B210" s="126"/>
      <c r="C210" s="126"/>
      <c r="D210" s="126"/>
      <c r="E210" s="126"/>
      <c r="F210" s="126"/>
    </row>
    <row r="211" spans="1:6" x14ac:dyDescent="0.2">
      <c r="A211" s="125"/>
      <c r="B211" s="126"/>
      <c r="C211" s="126"/>
      <c r="D211" s="126"/>
      <c r="E211" s="126"/>
      <c r="F211" s="126"/>
    </row>
    <row r="212" spans="1:6" x14ac:dyDescent="0.2">
      <c r="A212" s="125"/>
      <c r="B212" s="126"/>
      <c r="C212" s="126"/>
      <c r="D212" s="126"/>
      <c r="E212" s="126"/>
      <c r="F212" s="126"/>
    </row>
    <row r="213" spans="1:6" x14ac:dyDescent="0.2">
      <c r="A213" s="125"/>
      <c r="B213" s="126"/>
      <c r="C213" s="126"/>
      <c r="D213" s="126"/>
      <c r="E213" s="126"/>
      <c r="F213" s="126"/>
    </row>
    <row r="214" spans="1:6" x14ac:dyDescent="0.2">
      <c r="A214" s="125"/>
      <c r="B214" s="126"/>
      <c r="C214" s="126"/>
      <c r="D214" s="126"/>
      <c r="E214" s="126"/>
      <c r="F214" s="126"/>
    </row>
    <row r="215" spans="1:6" x14ac:dyDescent="0.2">
      <c r="A215" s="125"/>
      <c r="B215" s="126"/>
      <c r="C215" s="126"/>
      <c r="D215" s="126"/>
      <c r="E215" s="126"/>
      <c r="F215" s="126"/>
    </row>
    <row r="216" spans="1:6" x14ac:dyDescent="0.2">
      <c r="A216" s="125"/>
      <c r="B216" s="126"/>
      <c r="C216" s="126"/>
      <c r="D216" s="126"/>
      <c r="E216" s="126"/>
      <c r="F216" s="126"/>
    </row>
    <row r="217" spans="1:6" x14ac:dyDescent="0.2">
      <c r="A217" s="125"/>
      <c r="B217" s="126"/>
      <c r="C217" s="126"/>
      <c r="D217" s="126"/>
      <c r="E217" s="126"/>
      <c r="F217" s="126"/>
    </row>
    <row r="218" spans="1:6" x14ac:dyDescent="0.2">
      <c r="A218" s="125"/>
      <c r="B218" s="126"/>
      <c r="C218" s="126"/>
      <c r="D218" s="126"/>
      <c r="E218" s="126"/>
      <c r="F218" s="126"/>
    </row>
    <row r="219" spans="1:6" x14ac:dyDescent="0.2">
      <c r="A219" s="125"/>
      <c r="B219" s="126"/>
      <c r="C219" s="126"/>
      <c r="D219" s="126"/>
      <c r="E219" s="126"/>
      <c r="F219" s="126"/>
    </row>
    <row r="220" spans="1:6" x14ac:dyDescent="0.2">
      <c r="A220" s="125"/>
      <c r="B220" s="126"/>
      <c r="C220" s="126"/>
      <c r="D220" s="126"/>
      <c r="E220" s="126"/>
      <c r="F220" s="126"/>
    </row>
    <row r="221" spans="1:6" x14ac:dyDescent="0.2">
      <c r="A221" s="125"/>
      <c r="B221" s="126"/>
      <c r="C221" s="126"/>
      <c r="D221" s="126"/>
      <c r="E221" s="126"/>
      <c r="F221" s="126"/>
    </row>
    <row r="222" spans="1:6" x14ac:dyDescent="0.2">
      <c r="A222" s="125"/>
      <c r="B222" s="126"/>
      <c r="C222" s="126"/>
      <c r="D222" s="126"/>
      <c r="E222" s="126"/>
      <c r="F222" s="126"/>
    </row>
    <row r="223" spans="1:6" x14ac:dyDescent="0.2">
      <c r="A223" s="125"/>
      <c r="B223" s="126"/>
      <c r="C223" s="126"/>
      <c r="D223" s="126"/>
      <c r="E223" s="126"/>
      <c r="F223" s="126"/>
    </row>
    <row r="224" spans="1:6" x14ac:dyDescent="0.2">
      <c r="A224" s="125"/>
      <c r="B224" s="126"/>
      <c r="C224" s="126"/>
      <c r="D224" s="126"/>
      <c r="E224" s="126"/>
      <c r="F224" s="126"/>
    </row>
    <row r="225" spans="1:6" x14ac:dyDescent="0.2">
      <c r="A225" s="125"/>
      <c r="B225" s="126"/>
      <c r="C225" s="126"/>
      <c r="D225" s="126"/>
      <c r="E225" s="126"/>
      <c r="F225" s="126"/>
    </row>
    <row r="226" spans="1:6" x14ac:dyDescent="0.2">
      <c r="A226" s="125"/>
      <c r="B226" s="126"/>
      <c r="C226" s="126"/>
      <c r="D226" s="126"/>
      <c r="E226" s="126"/>
      <c r="F226" s="126"/>
    </row>
    <row r="227" spans="1:6" x14ac:dyDescent="0.2">
      <c r="A227" s="125"/>
      <c r="B227" s="126"/>
      <c r="C227" s="126"/>
      <c r="D227" s="126"/>
      <c r="E227" s="126"/>
      <c r="F227" s="126"/>
    </row>
    <row r="228" spans="1:6" x14ac:dyDescent="0.2">
      <c r="A228" s="125"/>
      <c r="B228" s="126"/>
      <c r="C228" s="126"/>
      <c r="D228" s="126"/>
      <c r="E228" s="126"/>
      <c r="F228" s="126"/>
    </row>
    <row r="229" spans="1:6" x14ac:dyDescent="0.2">
      <c r="A229" s="125"/>
      <c r="B229" s="126"/>
      <c r="C229" s="126"/>
      <c r="D229" s="126"/>
      <c r="E229" s="126"/>
      <c r="F229" s="126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8"/>
  <sheetViews>
    <sheetView showGridLines="0" tabSelected="1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35" t="s">
        <v>181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.25" x14ac:dyDescent="0.2">
      <c r="A2" s="36"/>
      <c r="B2" s="147" t="s">
        <v>21</v>
      </c>
      <c r="C2" s="142"/>
      <c r="D2" s="38" t="s">
        <v>24</v>
      </c>
      <c r="E2" s="146"/>
      <c r="F2" s="142" t="s">
        <v>83</v>
      </c>
      <c r="G2" s="142"/>
      <c r="H2" s="142"/>
      <c r="I2" s="39"/>
      <c r="J2" s="146"/>
      <c r="K2" s="142"/>
      <c r="L2" s="148" t="s">
        <v>63</v>
      </c>
      <c r="M2" s="142"/>
      <c r="N2" s="36"/>
    </row>
    <row r="3" spans="1:14" ht="14.25" x14ac:dyDescent="0.2">
      <c r="A3" s="36" t="s">
        <v>76</v>
      </c>
      <c r="B3" s="38" t="s">
        <v>22</v>
      </c>
      <c r="C3" s="36" t="s">
        <v>23</v>
      </c>
      <c r="D3" s="38"/>
      <c r="E3" s="40" t="s">
        <v>8</v>
      </c>
      <c r="F3" s="40"/>
      <c r="G3" s="40"/>
      <c r="H3" s="40"/>
      <c r="I3" s="40"/>
      <c r="J3" s="38" t="s">
        <v>65</v>
      </c>
      <c r="K3" s="40" t="s">
        <v>91</v>
      </c>
      <c r="L3" s="40"/>
      <c r="M3" s="40"/>
      <c r="N3" s="40" t="s">
        <v>6</v>
      </c>
    </row>
    <row r="4" spans="1:14" ht="14.25" x14ac:dyDescent="0.2">
      <c r="A4" s="41" t="s">
        <v>80</v>
      </c>
      <c r="B4" s="42"/>
      <c r="C4" s="42"/>
      <c r="D4" s="42"/>
      <c r="E4" s="43" t="s">
        <v>7</v>
      </c>
      <c r="F4" s="43" t="s">
        <v>1</v>
      </c>
      <c r="G4" s="44" t="s">
        <v>2</v>
      </c>
      <c r="H4" s="45" t="s">
        <v>3</v>
      </c>
      <c r="I4" s="44"/>
      <c r="J4" s="44"/>
      <c r="K4" s="44" t="s">
        <v>5</v>
      </c>
      <c r="L4" s="45" t="s">
        <v>4</v>
      </c>
      <c r="M4" s="43" t="s">
        <v>3</v>
      </c>
      <c r="N4" s="44" t="s">
        <v>7</v>
      </c>
    </row>
    <row r="5" spans="1:14" ht="14.25" x14ac:dyDescent="0.2">
      <c r="A5" s="36"/>
      <c r="B5" s="140" t="s">
        <v>84</v>
      </c>
      <c r="C5" s="141"/>
      <c r="D5" s="46" t="s">
        <v>67</v>
      </c>
      <c r="G5" s="140"/>
      <c r="I5" s="140"/>
      <c r="J5" s="145" t="s">
        <v>151</v>
      </c>
      <c r="K5" s="140"/>
      <c r="L5" s="140"/>
      <c r="M5" s="140"/>
      <c r="N5" s="140"/>
    </row>
    <row r="6" spans="1:14" ht="16.5" customHeight="1" x14ac:dyDescent="0.2">
      <c r="A6" s="36" t="s">
        <v>126</v>
      </c>
      <c r="B6" s="47">
        <v>90.162000000000006</v>
      </c>
      <c r="C6" s="47">
        <v>89.542000000000002</v>
      </c>
      <c r="D6" s="47">
        <f>F6/C6</f>
        <v>49.268868240602174</v>
      </c>
      <c r="E6" s="48">
        <v>301.59500000000003</v>
      </c>
      <c r="F6" s="49">
        <v>4411.6329999999998</v>
      </c>
      <c r="G6" s="50">
        <v>21.810493399999999</v>
      </c>
      <c r="H6" s="50">
        <f t="shared" ref="H6:H7" si="0">SUM(E6:G6)</f>
        <v>4735.0384934000003</v>
      </c>
      <c r="I6" s="36"/>
      <c r="J6" s="49">
        <v>2054.9319999999998</v>
      </c>
      <c r="K6" s="49">
        <f t="shared" ref="K6:K8" si="1">M6-L6-J6</f>
        <v>108.2711933999999</v>
      </c>
      <c r="L6" s="50">
        <v>2133.7303000000002</v>
      </c>
      <c r="M6" s="50">
        <f t="shared" ref="M6:M8" si="2">H6-N6</f>
        <v>4296.9334933999999</v>
      </c>
      <c r="N6" s="50">
        <v>438.10500000000002</v>
      </c>
    </row>
    <row r="7" spans="1:14" ht="16.5" customHeight="1" x14ac:dyDescent="0.2">
      <c r="A7" s="36" t="s">
        <v>148</v>
      </c>
      <c r="B7" s="47">
        <v>89.167000000000002</v>
      </c>
      <c r="C7" s="47">
        <v>87.593999999999994</v>
      </c>
      <c r="D7" s="47">
        <f t="shared" ref="D7" si="3">F7/C7</f>
        <v>50.553120076717583</v>
      </c>
      <c r="E7" s="48">
        <f>N6</f>
        <v>438.10500000000002</v>
      </c>
      <c r="F7" s="49">
        <f>F28</f>
        <v>4428.1499999999996</v>
      </c>
      <c r="G7" s="50">
        <f>G28</f>
        <v>14.068866575777999</v>
      </c>
      <c r="H7" s="50">
        <f t="shared" si="0"/>
        <v>4880.3238665757772</v>
      </c>
      <c r="I7" s="36"/>
      <c r="J7" s="49">
        <f>J28</f>
        <v>2091.8003666666668</v>
      </c>
      <c r="K7" s="49">
        <f t="shared" si="1"/>
        <v>131.79930512700548</v>
      </c>
      <c r="L7" s="50">
        <f>L28</f>
        <v>1747.6721947821047</v>
      </c>
      <c r="M7" s="50">
        <f t="shared" si="2"/>
        <v>3971.271866575777</v>
      </c>
      <c r="N7" s="50">
        <f>N27</f>
        <v>909.05200000000002</v>
      </c>
    </row>
    <row r="8" spans="1:14" ht="16.5" customHeight="1" x14ac:dyDescent="0.2">
      <c r="A8" s="36" t="s">
        <v>153</v>
      </c>
      <c r="B8" s="47">
        <v>76.099999999999994</v>
      </c>
      <c r="C8" s="47">
        <v>75.021000000000001</v>
      </c>
      <c r="D8" s="47">
        <f>F8/C8</f>
        <v>47.430466136148546</v>
      </c>
      <c r="E8" s="48">
        <f>N7</f>
        <v>909.05200000000002</v>
      </c>
      <c r="F8" s="49">
        <f>F34</f>
        <v>3558.2809999999999</v>
      </c>
      <c r="G8" s="50">
        <v>15</v>
      </c>
      <c r="H8" s="50">
        <f>SUM(E8:G8)</f>
        <v>4482.3329999999996</v>
      </c>
      <c r="I8" s="36"/>
      <c r="J8" s="49">
        <v>2105</v>
      </c>
      <c r="K8" s="49">
        <f t="shared" si="1"/>
        <v>127.33299999999963</v>
      </c>
      <c r="L8" s="50">
        <v>1825</v>
      </c>
      <c r="M8" s="50">
        <f t="shared" si="2"/>
        <v>4057.3329999999996</v>
      </c>
      <c r="N8" s="50">
        <v>425</v>
      </c>
    </row>
    <row r="9" spans="1:14" ht="16.5" customHeight="1" x14ac:dyDescent="0.2">
      <c r="A9" s="39"/>
      <c r="B9" s="39"/>
      <c r="C9" s="39"/>
      <c r="D9" s="39"/>
      <c r="E9" s="52"/>
      <c r="F9" s="52"/>
      <c r="G9" s="53"/>
      <c r="H9" s="52"/>
      <c r="I9" s="52"/>
      <c r="J9" s="53"/>
      <c r="K9" s="53"/>
      <c r="L9" s="53"/>
      <c r="M9" s="53"/>
      <c r="N9" s="54"/>
    </row>
    <row r="10" spans="1:14" ht="16.5" customHeight="1" x14ac:dyDescent="0.2">
      <c r="A10" s="39" t="s">
        <v>66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78"/>
    </row>
    <row r="11" spans="1:14" ht="16.5" customHeight="1" x14ac:dyDescent="0.2">
      <c r="A11" s="36" t="s">
        <v>149</v>
      </c>
      <c r="B11" s="39"/>
      <c r="C11" s="39"/>
      <c r="D11" s="39"/>
      <c r="E11" s="54"/>
      <c r="F11" s="56"/>
      <c r="G11" s="57"/>
      <c r="H11" s="58"/>
      <c r="I11" s="58"/>
      <c r="J11" s="58"/>
      <c r="K11" s="59"/>
      <c r="L11" s="57"/>
      <c r="M11" s="57"/>
      <c r="N11" s="60"/>
    </row>
    <row r="12" spans="1:14" ht="16.5" customHeight="1" x14ac:dyDescent="0.2">
      <c r="A12" s="39" t="s">
        <v>94</v>
      </c>
      <c r="B12" s="39"/>
      <c r="C12" s="39"/>
      <c r="D12" s="39"/>
      <c r="F12" s="56"/>
      <c r="G12" s="57">
        <f>(2.816098+19.605255+5.608301)*2.204622/60</f>
        <v>1.0299131976797999</v>
      </c>
      <c r="H12" s="58"/>
      <c r="I12" s="58"/>
      <c r="J12" s="58">
        <f>5.08948*2000/60</f>
        <v>169.64933333333332</v>
      </c>
      <c r="K12" s="59"/>
      <c r="L12" s="57">
        <f>(121.600804+3213.822)*2.204622/60</f>
        <v>122.55577488333482</v>
      </c>
      <c r="M12" s="57"/>
      <c r="N12" s="60"/>
    </row>
    <row r="13" spans="1:14" ht="16.5" customHeight="1" x14ac:dyDescent="0.2">
      <c r="A13" s="39" t="s">
        <v>100</v>
      </c>
      <c r="B13" s="39"/>
      <c r="C13" s="39"/>
      <c r="D13" s="39"/>
      <c r="E13" s="54"/>
      <c r="F13" s="56"/>
      <c r="G13" s="57">
        <f>(3.31633+14.647271+3.156869)*2.204622/60</f>
        <v>0.77604421353900011</v>
      </c>
      <c r="H13" s="58"/>
      <c r="I13" s="58"/>
      <c r="J13" s="58">
        <f>5.506753*2000/60</f>
        <v>183.55843333333331</v>
      </c>
      <c r="K13" s="59"/>
      <c r="L13" s="57">
        <f>(124.374731+5333.268)*2.204622/60</f>
        <v>200.5339872150447</v>
      </c>
      <c r="M13" s="57"/>
      <c r="N13" s="60"/>
    </row>
    <row r="14" spans="1:14" ht="16.5" customHeight="1" x14ac:dyDescent="0.2">
      <c r="A14" s="39" t="s">
        <v>102</v>
      </c>
      <c r="B14" s="137"/>
      <c r="C14" s="137"/>
      <c r="D14" s="137"/>
      <c r="E14" s="137"/>
      <c r="F14" s="137"/>
      <c r="G14" s="57">
        <f>(1.859426+43.030142+5.079898)*2.204622/60</f>
        <v>1.8360630678641998</v>
      </c>
      <c r="H14" s="58"/>
      <c r="I14" s="137"/>
      <c r="J14" s="58">
        <f>5.343053*2000/60</f>
        <v>178.10176666666666</v>
      </c>
      <c r="K14" s="137"/>
      <c r="L14" s="57">
        <f>(169.194848+4710.15)*2.204622/60</f>
        <v>179.2851832914576</v>
      </c>
      <c r="M14" s="137"/>
      <c r="N14" s="137"/>
    </row>
    <row r="15" spans="1:14" ht="16.5" customHeight="1" x14ac:dyDescent="0.2">
      <c r="A15" s="39" t="s">
        <v>72</v>
      </c>
      <c r="B15" s="137"/>
      <c r="C15" s="137"/>
      <c r="D15" s="137"/>
      <c r="E15" s="54">
        <v>438.10500000000002</v>
      </c>
      <c r="F15" s="56">
        <v>4428.1499999999996</v>
      </c>
      <c r="G15" s="57">
        <f>G12+G13+G14</f>
        <v>3.642020479083</v>
      </c>
      <c r="H15" s="58">
        <f>SUM(E15:G15)</f>
        <v>4869.8970204790821</v>
      </c>
      <c r="I15" s="137"/>
      <c r="J15" s="58">
        <f>J12+J13+J14</f>
        <v>531.30953333333332</v>
      </c>
      <c r="K15" s="59">
        <f>M15-L15-J15</f>
        <v>90.388541755911547</v>
      </c>
      <c r="L15" s="57">
        <f>L12+L13+L14</f>
        <v>502.37494538983714</v>
      </c>
      <c r="M15" s="57">
        <f>H15-N15</f>
        <v>1124.0730204790821</v>
      </c>
      <c r="N15" s="58">
        <v>3745.8240000000001</v>
      </c>
    </row>
    <row r="16" spans="1:14" ht="16.5" customHeight="1" x14ac:dyDescent="0.2">
      <c r="A16" s="36" t="s">
        <v>103</v>
      </c>
      <c r="B16" s="137"/>
      <c r="C16" s="137"/>
      <c r="D16" s="137"/>
      <c r="E16" s="54"/>
      <c r="F16" s="56"/>
      <c r="G16" s="57">
        <f>(0.250128+23.870515+6.809791)*2.204622/60</f>
        <v>1.1364985877658</v>
      </c>
      <c r="H16" s="58"/>
      <c r="I16" s="137"/>
      <c r="J16" s="58">
        <f>5.513266*2000/60</f>
        <v>183.77553333333333</v>
      </c>
      <c r="K16" s="137"/>
      <c r="L16" s="57">
        <f>(167.796097+3846.683)*2.204622/60</f>
        <v>147.50681559643891</v>
      </c>
      <c r="M16" s="137"/>
      <c r="N16" s="137"/>
    </row>
    <row r="17" spans="1:14" ht="16.5" customHeight="1" x14ac:dyDescent="0.2">
      <c r="A17" s="36" t="s">
        <v>104</v>
      </c>
      <c r="B17" s="137"/>
      <c r="C17" s="137"/>
      <c r="D17" s="137"/>
      <c r="E17" s="54"/>
      <c r="F17" s="56"/>
      <c r="G17" s="57">
        <f>(1.028736+20.235107+6.406535)*2.204622/60</f>
        <v>1.0167120681185999</v>
      </c>
      <c r="H17" s="58"/>
      <c r="I17" s="137"/>
      <c r="J17" s="58">
        <f>5.492127*2000/60</f>
        <v>183.07090000000002</v>
      </c>
      <c r="K17" s="137"/>
      <c r="L17" s="57">
        <f>(84.586634+4743.657)*2.204622/60</f>
        <v>177.40753561460582</v>
      </c>
      <c r="M17" s="137"/>
      <c r="N17" s="137"/>
    </row>
    <row r="18" spans="1:14" ht="16.5" customHeight="1" x14ac:dyDescent="0.2">
      <c r="A18" s="36" t="s">
        <v>105</v>
      </c>
      <c r="B18" s="137"/>
      <c r="C18" s="137"/>
      <c r="D18" s="137"/>
      <c r="E18" s="54"/>
      <c r="F18" s="56"/>
      <c r="G18" s="57">
        <f>(0.546152+34.232142+5.00264)*2.204622/60</f>
        <v>1.4616987046158001</v>
      </c>
      <c r="H18" s="58"/>
      <c r="I18" s="137"/>
      <c r="J18" s="58">
        <f>4.883434*2000/60</f>
        <v>162.78113333333334</v>
      </c>
      <c r="K18" s="137"/>
      <c r="L18" s="57">
        <f>(56.036225+4521.322)*2.204622/60</f>
        <v>168.18907741193249</v>
      </c>
      <c r="M18" s="137"/>
      <c r="N18" s="137"/>
    </row>
    <row r="19" spans="1:14" ht="16.5" customHeight="1" x14ac:dyDescent="0.2">
      <c r="A19" s="36" t="s">
        <v>73</v>
      </c>
      <c r="B19" s="137"/>
      <c r="C19" s="137"/>
      <c r="D19" s="137"/>
      <c r="E19" s="54">
        <f>N15</f>
        <v>3745.8240000000001</v>
      </c>
      <c r="F19" s="56"/>
      <c r="G19" s="57">
        <f>SUM(G16:G18)</f>
        <v>3.6149093605001998</v>
      </c>
      <c r="H19" s="58">
        <f>E19+F19+G19</f>
        <v>3749.4389093605005</v>
      </c>
      <c r="I19" s="137"/>
      <c r="J19" s="58">
        <f>SUM(J16:J18)</f>
        <v>529.62756666666678</v>
      </c>
      <c r="K19" s="59">
        <f>M19-L19-J19</f>
        <v>-0.36108592914342807</v>
      </c>
      <c r="L19" s="57">
        <f>SUM(L16:L18)</f>
        <v>493.10342862297722</v>
      </c>
      <c r="M19" s="57">
        <f>H19-N19</f>
        <v>1022.3699093605005</v>
      </c>
      <c r="N19" s="58">
        <v>2727.069</v>
      </c>
    </row>
    <row r="20" spans="1:14" ht="16.5" customHeight="1" x14ac:dyDescent="0.2">
      <c r="A20" s="36" t="s">
        <v>106</v>
      </c>
      <c r="B20" s="137"/>
      <c r="C20" s="137"/>
      <c r="D20" s="137"/>
      <c r="E20" s="54"/>
      <c r="F20" s="56"/>
      <c r="G20" s="57">
        <v>1.4917554186527999</v>
      </c>
      <c r="H20" s="58"/>
      <c r="I20" s="137"/>
      <c r="J20" s="58">
        <f>5.383008*2000/60</f>
        <v>179.43359999999998</v>
      </c>
      <c r="K20" s="150"/>
      <c r="L20" s="57">
        <v>136.19169183827341</v>
      </c>
      <c r="M20" s="150"/>
      <c r="N20" s="137"/>
    </row>
    <row r="21" spans="1:14" ht="16.5" customHeight="1" x14ac:dyDescent="0.2">
      <c r="A21" s="36" t="s">
        <v>107</v>
      </c>
      <c r="B21" s="137"/>
      <c r="C21" s="137"/>
      <c r="D21" s="137"/>
      <c r="E21" s="54"/>
      <c r="F21" s="56"/>
      <c r="G21" s="57">
        <f>(9.421895+24.904466+8.271368)*2.204622/60</f>
        <v>1.5651981750573001</v>
      </c>
      <c r="H21" s="58"/>
      <c r="I21" s="137"/>
      <c r="J21" s="58">
        <f>5.146403*2000/60</f>
        <v>171.54676666666668</v>
      </c>
      <c r="K21" s="62"/>
      <c r="L21" s="57">
        <f>(114.437871+2284.81)*2.204622/60</f>
        <v>88.157243997662718</v>
      </c>
      <c r="M21" s="57"/>
      <c r="N21" s="137"/>
    </row>
    <row r="22" spans="1:14" ht="16.5" customHeight="1" x14ac:dyDescent="0.2">
      <c r="A22" s="36" t="s">
        <v>108</v>
      </c>
      <c r="B22" s="137"/>
      <c r="C22" s="137"/>
      <c r="D22" s="137"/>
      <c r="E22" s="54"/>
      <c r="F22" s="56"/>
      <c r="G22" s="57">
        <f>(3.384561+5.982905+8.068079)*2.204622/60</f>
        <v>0.64064643481650008</v>
      </c>
      <c r="H22" s="58"/>
      <c r="I22" s="137"/>
      <c r="J22" s="58">
        <f>4.963271*2000/60</f>
        <v>165.44236666666666</v>
      </c>
      <c r="K22" s="62"/>
      <c r="L22" s="57">
        <f>(46.958948+2513.478)*2.204622/60</f>
        <v>94.079927086227599</v>
      </c>
      <c r="M22" s="57"/>
      <c r="N22" s="137"/>
    </row>
    <row r="23" spans="1:14" ht="16.5" customHeight="1" x14ac:dyDescent="0.2">
      <c r="A23" s="36" t="s">
        <v>74</v>
      </c>
      <c r="B23" s="39"/>
      <c r="C23" s="39"/>
      <c r="D23" s="39"/>
      <c r="E23" s="54">
        <f>N19</f>
        <v>2727.069</v>
      </c>
      <c r="F23" s="61"/>
      <c r="G23" s="57">
        <f>SUM(G20:G22)</f>
        <v>3.6976000285265997</v>
      </c>
      <c r="H23" s="58">
        <f>E23+F23+G23</f>
        <v>2730.7666000285267</v>
      </c>
      <c r="I23" s="58"/>
      <c r="J23" s="58">
        <f>SUM(J20:J22)</f>
        <v>516.42273333333333</v>
      </c>
      <c r="K23" s="62">
        <f>M23-L23-J23</f>
        <v>112.83500377302971</v>
      </c>
      <c r="L23" s="57">
        <f>SUM(L20:L22)</f>
        <v>318.42886292216372</v>
      </c>
      <c r="M23" s="57">
        <f>H23-N23</f>
        <v>947.68660002852675</v>
      </c>
      <c r="N23" s="58">
        <v>1783.08</v>
      </c>
    </row>
    <row r="24" spans="1:14" ht="16.5" customHeight="1" x14ac:dyDescent="0.2">
      <c r="A24" s="36" t="s">
        <v>59</v>
      </c>
      <c r="B24" s="39"/>
      <c r="C24" s="39"/>
      <c r="D24" s="39"/>
      <c r="E24" s="54"/>
      <c r="F24" s="61"/>
      <c r="G24" s="57">
        <f>(3.38003+9.702628+7.332598)*2.204622/60</f>
        <v>0.75013204188720006</v>
      </c>
      <c r="H24" s="58"/>
      <c r="I24" s="58"/>
      <c r="J24" s="58">
        <f>4.729137*2000/60</f>
        <v>157.6379</v>
      </c>
      <c r="K24" s="62"/>
      <c r="L24" s="57">
        <f>(32.219152+3161.333)*2.204622/60</f>
        <v>117.34292220744241</v>
      </c>
      <c r="M24" s="57"/>
      <c r="N24" s="58"/>
    </row>
    <row r="25" spans="1:14" ht="16.5" customHeight="1" x14ac:dyDescent="0.2">
      <c r="A25" s="36" t="s">
        <v>61</v>
      </c>
      <c r="B25" s="39"/>
      <c r="C25" s="39"/>
      <c r="D25" s="39"/>
      <c r="E25" s="54"/>
      <c r="F25" s="61"/>
      <c r="G25" s="57">
        <f>(1.66402+25.915482+8.047651)*2.204622/60</f>
        <v>1.3090734216861002</v>
      </c>
      <c r="H25" s="58"/>
      <c r="I25" s="58"/>
      <c r="J25" s="58">
        <f>5.383896*2000/60</f>
        <v>179.4632</v>
      </c>
      <c r="K25" s="62"/>
      <c r="L25" s="57">
        <f>(36.320121+3644.11)*2.204622/60</f>
        <v>135.23262023698771</v>
      </c>
      <c r="M25" s="57"/>
      <c r="N25" s="58"/>
    </row>
    <row r="26" spans="1:14" ht="16.5" customHeight="1" x14ac:dyDescent="0.2">
      <c r="A26" s="36" t="s">
        <v>62</v>
      </c>
      <c r="B26" s="39"/>
      <c r="C26" s="39"/>
      <c r="D26" s="39"/>
      <c r="E26" s="54"/>
      <c r="F26" s="61"/>
      <c r="G26" s="57">
        <f>(0.527584+21.950544+6.237849)*2.204622/60</f>
        <v>1.0551312440949001</v>
      </c>
      <c r="H26" s="58"/>
      <c r="I26" s="58"/>
      <c r="J26" s="58">
        <f>5.320183*2000/60</f>
        <v>177.33943333333335</v>
      </c>
      <c r="K26" s="62"/>
      <c r="L26" s="57">
        <f>(50.293572+4880.876)*2.204622/60</f>
        <v>181.1894154026964</v>
      </c>
      <c r="M26" s="57"/>
      <c r="N26" s="58"/>
    </row>
    <row r="27" spans="1:14" ht="16.5" customHeight="1" x14ac:dyDescent="0.2">
      <c r="A27" s="63" t="s">
        <v>75</v>
      </c>
      <c r="B27" s="39"/>
      <c r="C27" s="39"/>
      <c r="D27" s="39"/>
      <c r="E27" s="54">
        <f>N23</f>
        <v>1783.08</v>
      </c>
      <c r="F27" s="61"/>
      <c r="G27" s="57">
        <f>SUM(G24:G26)</f>
        <v>3.1143367076682003</v>
      </c>
      <c r="H27" s="58">
        <f>SUM(E27:G27)</f>
        <v>1786.1943367076681</v>
      </c>
      <c r="I27" s="58"/>
      <c r="J27" s="58">
        <f>SUM(J24:J26)</f>
        <v>514.44053333333329</v>
      </c>
      <c r="K27" s="62">
        <f>M27-L27-J27</f>
        <v>-71.06315447279178</v>
      </c>
      <c r="L27" s="57">
        <f>SUM(L24:L26)</f>
        <v>433.76495784712654</v>
      </c>
      <c r="M27" s="57">
        <f>+H27-N27</f>
        <v>877.14233670766805</v>
      </c>
      <c r="N27" s="58">
        <v>909.05200000000002</v>
      </c>
    </row>
    <row r="28" spans="1:14" ht="16.5" customHeight="1" x14ac:dyDescent="0.2">
      <c r="A28" s="36" t="s">
        <v>3</v>
      </c>
      <c r="B28" s="137"/>
      <c r="C28" s="137"/>
      <c r="D28" s="137"/>
      <c r="E28" s="54"/>
      <c r="F28" s="56">
        <f>F15</f>
        <v>4428.1499999999996</v>
      </c>
      <c r="G28" s="57">
        <f>G15+G19+G23+G27</f>
        <v>14.068866575777999</v>
      </c>
      <c r="H28" s="58">
        <f>E15+F28+G28</f>
        <v>4880.3238665757772</v>
      </c>
      <c r="I28" s="137"/>
      <c r="J28" s="58">
        <f>J15+J19+J23+J27</f>
        <v>2091.8003666666668</v>
      </c>
      <c r="K28" s="59">
        <f>K15+K19+K23+K27</f>
        <v>131.79930512700605</v>
      </c>
      <c r="L28" s="57">
        <f>L15+L19+L23+L27</f>
        <v>1747.6721947821047</v>
      </c>
      <c r="M28" s="57">
        <f t="shared" ref="M28" si="4">M15+M19+M23</f>
        <v>3094.1295298681093</v>
      </c>
      <c r="N28" s="58"/>
    </row>
    <row r="29" spans="1:14" ht="16.5" customHeight="1" x14ac:dyDescent="0.2">
      <c r="A29" s="39"/>
      <c r="B29" s="137"/>
      <c r="C29" s="137"/>
      <c r="D29" s="137"/>
      <c r="E29" s="137"/>
      <c r="F29" s="66"/>
      <c r="G29" s="57"/>
      <c r="H29" s="58"/>
      <c r="I29" s="150"/>
      <c r="J29" s="58"/>
      <c r="K29" s="58"/>
      <c r="L29" s="57"/>
      <c r="M29" s="57"/>
      <c r="N29" s="137"/>
    </row>
    <row r="30" spans="1:14" ht="16.5" customHeight="1" x14ac:dyDescent="0.2">
      <c r="A30" s="36" t="s">
        <v>154</v>
      </c>
      <c r="B30" s="137"/>
      <c r="C30" s="137"/>
      <c r="D30" s="137"/>
      <c r="E30" s="137"/>
      <c r="F30" s="137"/>
      <c r="G30" s="57"/>
      <c r="H30" s="58"/>
      <c r="I30" s="150"/>
      <c r="J30" s="58"/>
      <c r="K30" s="58"/>
      <c r="L30" s="57"/>
      <c r="M30" s="57"/>
      <c r="N30" s="137"/>
    </row>
    <row r="31" spans="1:14" ht="16.5" customHeight="1" x14ac:dyDescent="0.2">
      <c r="A31" s="39" t="s">
        <v>94</v>
      </c>
      <c r="B31" s="137"/>
      <c r="C31" s="137"/>
      <c r="D31" s="137"/>
      <c r="G31" s="57">
        <f>(0.61606+25.576332+5.722113)*2.204622/60</f>
        <v>1.1726569973684999</v>
      </c>
      <c r="I31" s="137"/>
      <c r="J31" s="58">
        <f>4.870034*2000/60</f>
        <v>162.33446666666669</v>
      </c>
      <c r="K31" s="59"/>
      <c r="L31" s="57">
        <f>(34.198907+3855.793)*2.204622/60</f>
        <v>142.93269563323591</v>
      </c>
      <c r="M31" s="57"/>
      <c r="N31" s="58"/>
    </row>
    <row r="32" spans="1:14" ht="16.5" customHeight="1" x14ac:dyDescent="0.2">
      <c r="A32" s="39" t="s">
        <v>100</v>
      </c>
      <c r="B32" s="137"/>
      <c r="C32" s="137"/>
      <c r="D32" s="137"/>
      <c r="E32" s="54"/>
      <c r="F32" s="56"/>
      <c r="G32" s="57">
        <f>(1.044818+37.412542+15.260051)*2.204622/60</f>
        <v>1.9737764345607001</v>
      </c>
      <c r="H32" s="58"/>
      <c r="I32" s="137"/>
      <c r="J32" s="58">
        <f>5.609757*2000/60</f>
        <v>186.99190000000002</v>
      </c>
      <c r="K32" s="59"/>
      <c r="L32" s="57">
        <f>(31.539146+5913.059)*2.204622/60</f>
        <v>218.42653089718021</v>
      </c>
      <c r="M32" s="57"/>
      <c r="N32" s="58"/>
    </row>
    <row r="33" spans="1:73" ht="16.5" customHeight="1" x14ac:dyDescent="0.2">
      <c r="A33" s="39" t="s">
        <v>102</v>
      </c>
      <c r="B33" s="137"/>
      <c r="C33" s="137"/>
      <c r="D33" s="137"/>
      <c r="E33" s="54"/>
      <c r="F33" s="56"/>
      <c r="G33" s="57">
        <f>(1.008406+5.711141+5.30486)*2.204622/60</f>
        <v>0.44182120348590004</v>
      </c>
      <c r="H33" s="58"/>
      <c r="I33" s="137"/>
      <c r="J33" s="58">
        <f>5.239452*2000/60</f>
        <v>174.64840000000001</v>
      </c>
      <c r="K33" s="59"/>
      <c r="L33" s="57">
        <f>(18.846109+6986.445)*2.204622/60</f>
        <v>257.40031492176331</v>
      </c>
      <c r="M33" s="57"/>
      <c r="N33" s="58"/>
    </row>
    <row r="34" spans="1:73" ht="16.5" customHeight="1" x14ac:dyDescent="0.2">
      <c r="A34" s="39" t="s">
        <v>72</v>
      </c>
      <c r="B34" s="137"/>
      <c r="C34" s="137"/>
      <c r="D34" s="137"/>
      <c r="E34" s="54">
        <f>N27</f>
        <v>909.05200000000002</v>
      </c>
      <c r="F34" s="56">
        <f>3558.281</f>
        <v>3558.2809999999999</v>
      </c>
      <c r="G34" s="57">
        <f>SUM(G31:G33)</f>
        <v>3.5882546354151001</v>
      </c>
      <c r="H34" s="58">
        <f>E34+F34+G34</f>
        <v>4470.9212546354147</v>
      </c>
      <c r="I34" s="137"/>
      <c r="J34" s="58">
        <f>SUM(J31:J33)</f>
        <v>523.97476666666671</v>
      </c>
      <c r="K34" s="59">
        <f>M34-L34-J34</f>
        <v>76.519946516568666</v>
      </c>
      <c r="L34" s="57">
        <f>SUM(L31:L33)</f>
        <v>618.75954145217941</v>
      </c>
      <c r="M34" s="57">
        <f>H34-N34</f>
        <v>1219.2542546354148</v>
      </c>
      <c r="N34" s="58">
        <v>3251.6669999999999</v>
      </c>
    </row>
    <row r="35" spans="1:73" ht="16.5" customHeight="1" x14ac:dyDescent="0.2">
      <c r="A35" s="36" t="s">
        <v>103</v>
      </c>
      <c r="B35" s="137"/>
      <c r="C35" s="137"/>
      <c r="D35" s="137"/>
      <c r="E35" s="54"/>
      <c r="F35" s="56"/>
      <c r="G35" s="57">
        <f>(2.394865+31.045277+4.372992)*2.204622/60</f>
        <v>1.3893944517558003</v>
      </c>
      <c r="H35" s="58"/>
      <c r="I35" s="137"/>
      <c r="J35" s="58">
        <f>5.542274*2000/60</f>
        <v>184.74246666666667</v>
      </c>
      <c r="K35" s="59"/>
      <c r="L35" s="57">
        <f>(18.302084+5551.986)*2.204622/60</f>
        <v>204.67299427207081</v>
      </c>
      <c r="M35" s="57"/>
      <c r="N35" s="58"/>
    </row>
    <row r="36" spans="1:73" ht="16.5" customHeight="1" x14ac:dyDescent="0.2">
      <c r="A36" s="36" t="s">
        <v>150</v>
      </c>
      <c r="B36" s="137"/>
      <c r="C36" s="137"/>
      <c r="D36" s="137"/>
      <c r="E36" s="54"/>
      <c r="F36" s="56">
        <f>F34</f>
        <v>3558.2809999999999</v>
      </c>
      <c r="G36" s="57">
        <f>G34+G35</f>
        <v>4.9776490871709003</v>
      </c>
      <c r="H36" s="58">
        <f>E34+F36+G36</f>
        <v>4472.3106490871705</v>
      </c>
      <c r="I36" s="137"/>
      <c r="J36" s="58">
        <f>J34+J35</f>
        <v>708.71723333333341</v>
      </c>
      <c r="K36" s="59">
        <f>K34+K35</f>
        <v>76.519946516568666</v>
      </c>
      <c r="L36" s="57">
        <f t="shared" ref="L36" si="5">L34+L35</f>
        <v>823.43253572425022</v>
      </c>
      <c r="M36" s="57">
        <f>J36+K36+L36</f>
        <v>1608.6697155741522</v>
      </c>
      <c r="N36" s="58"/>
    </row>
    <row r="37" spans="1:73" ht="16.5" customHeight="1" x14ac:dyDescent="0.2">
      <c r="A37" s="35"/>
      <c r="B37" s="128"/>
      <c r="C37" s="128"/>
      <c r="D37" s="128"/>
      <c r="E37" s="128"/>
      <c r="F37" s="143"/>
      <c r="G37" s="64"/>
      <c r="H37" s="130"/>
      <c r="I37" s="151"/>
      <c r="J37" s="130"/>
      <c r="K37" s="130"/>
      <c r="L37" s="64"/>
      <c r="M37" s="64"/>
      <c r="N37" s="128"/>
    </row>
    <row r="38" spans="1:73" ht="16.5" customHeight="1" x14ac:dyDescent="0.2">
      <c r="A38" s="65" t="s">
        <v>189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66"/>
      <c r="M38" s="39"/>
      <c r="N38" s="39"/>
    </row>
    <row r="39" spans="1:73" ht="16.5" customHeight="1" x14ac:dyDescent="0.2">
      <c r="A39" s="36" t="s">
        <v>114</v>
      </c>
      <c r="B39" s="36"/>
      <c r="C39" s="36"/>
      <c r="D39" s="36"/>
      <c r="E39" s="67"/>
      <c r="F39" s="67"/>
      <c r="G39" s="67"/>
      <c r="H39" s="67"/>
      <c r="I39" s="67"/>
      <c r="J39" s="67"/>
      <c r="K39" s="67"/>
      <c r="L39" s="67"/>
      <c r="M39" s="67"/>
      <c r="N39" s="67"/>
    </row>
    <row r="40" spans="1:73" ht="16.5" customHeight="1" x14ac:dyDescent="0.2">
      <c r="A40" s="68" t="s">
        <v>70</v>
      </c>
      <c r="B40" s="36"/>
      <c r="C40" s="36"/>
      <c r="D40" s="3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ht="16.5" customHeight="1" x14ac:dyDescent="0.2">
      <c r="A41" s="40" t="s">
        <v>20</v>
      </c>
      <c r="B41" s="69">
        <f ca="1">NOW()</f>
        <v>43874.410704166665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">
      <c r="F45" s="15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7 K34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8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35" t="s">
        <v>182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4.25" x14ac:dyDescent="0.2">
      <c r="A2" s="36"/>
      <c r="B2" s="171" t="s">
        <v>0</v>
      </c>
      <c r="C2" s="171"/>
      <c r="D2" s="171"/>
      <c r="E2" s="171"/>
      <c r="F2" s="39"/>
      <c r="G2" s="171" t="s">
        <v>19</v>
      </c>
      <c r="H2" s="171"/>
      <c r="I2" s="171"/>
      <c r="J2" s="36"/>
    </row>
    <row r="3" spans="1:12" ht="14.25" x14ac:dyDescent="0.2">
      <c r="A3" s="36" t="s">
        <v>76</v>
      </c>
      <c r="B3" s="38" t="s">
        <v>8</v>
      </c>
      <c r="C3" s="40"/>
      <c r="D3" s="40"/>
      <c r="E3" s="40"/>
      <c r="F3" s="40"/>
      <c r="G3" s="40"/>
      <c r="H3" s="40"/>
      <c r="I3" s="40"/>
      <c r="J3" s="38" t="s">
        <v>28</v>
      </c>
    </row>
    <row r="4" spans="1:12" ht="14.25" x14ac:dyDescent="0.2">
      <c r="A4" s="41" t="s">
        <v>77</v>
      </c>
      <c r="B4" s="43" t="s">
        <v>27</v>
      </c>
      <c r="C4" s="43" t="s">
        <v>1</v>
      </c>
      <c r="D4" s="43" t="s">
        <v>2</v>
      </c>
      <c r="E4" s="45" t="s">
        <v>26</v>
      </c>
      <c r="F4" s="44"/>
      <c r="G4" s="43" t="s">
        <v>29</v>
      </c>
      <c r="H4" s="43" t="s">
        <v>25</v>
      </c>
      <c r="I4" s="43" t="s">
        <v>26</v>
      </c>
      <c r="J4" s="43" t="s">
        <v>87</v>
      </c>
    </row>
    <row r="5" spans="1:12" ht="14.25" x14ac:dyDescent="0.2">
      <c r="A5" s="36"/>
      <c r="B5" s="172" t="s">
        <v>95</v>
      </c>
      <c r="C5" s="172"/>
      <c r="D5" s="172"/>
      <c r="E5" s="172"/>
      <c r="F5" s="172"/>
      <c r="G5" s="172"/>
      <c r="H5" s="172"/>
      <c r="I5" s="172"/>
      <c r="J5" s="172"/>
    </row>
    <row r="6" spans="1:12" ht="16.5" x14ac:dyDescent="0.2">
      <c r="A6" s="36" t="s">
        <v>126</v>
      </c>
      <c r="B6" s="70">
        <v>400.63</v>
      </c>
      <c r="C6" s="71">
        <v>49225.606000000007</v>
      </c>
      <c r="D6" s="71">
        <v>482.79358673947797</v>
      </c>
      <c r="E6" s="50">
        <f t="shared" ref="E6:E8" si="0">SUM(B6:D6)</f>
        <v>50109.029586739482</v>
      </c>
      <c r="F6" s="71"/>
      <c r="G6" s="71">
        <f t="shared" ref="G6:G8" si="1">I6-H6</f>
        <v>35537.466494202046</v>
      </c>
      <c r="H6" s="71">
        <v>14016.139092537436</v>
      </c>
      <c r="I6" s="71">
        <f t="shared" ref="I6:I8" si="2">E6-J6</f>
        <v>49553.605586739483</v>
      </c>
      <c r="J6" s="71">
        <v>555.42399999999998</v>
      </c>
    </row>
    <row r="7" spans="1:12" ht="16.5" x14ac:dyDescent="0.2">
      <c r="A7" s="36" t="s">
        <v>148</v>
      </c>
      <c r="B7" s="70">
        <f>J6</f>
        <v>555.42399999999998</v>
      </c>
      <c r="C7" s="71">
        <f>C23</f>
        <v>48809.412999999993</v>
      </c>
      <c r="D7" s="71">
        <f>D23</f>
        <v>683.51981328180898</v>
      </c>
      <c r="E7" s="50">
        <f t="shared" si="0"/>
        <v>50048.356813281804</v>
      </c>
      <c r="F7" s="71"/>
      <c r="G7" s="71">
        <f t="shared" si="1"/>
        <v>36092.556326571357</v>
      </c>
      <c r="H7" s="71">
        <f>H23</f>
        <v>13553.785486710443</v>
      </c>
      <c r="I7" s="71">
        <f t="shared" si="2"/>
        <v>49646.341813281804</v>
      </c>
      <c r="J7" s="71">
        <f>J22</f>
        <v>402.01499999999999</v>
      </c>
    </row>
    <row r="8" spans="1:12" ht="16.5" x14ac:dyDescent="0.2">
      <c r="A8" s="36" t="s">
        <v>153</v>
      </c>
      <c r="B8" s="70">
        <f>J7</f>
        <v>402.01499999999999</v>
      </c>
      <c r="C8" s="71">
        <v>49473</v>
      </c>
      <c r="D8" s="71">
        <v>500</v>
      </c>
      <c r="E8" s="50">
        <f t="shared" si="0"/>
        <v>50375.014999999999</v>
      </c>
      <c r="F8" s="71"/>
      <c r="G8" s="71">
        <f t="shared" si="1"/>
        <v>36800.014999999999</v>
      </c>
      <c r="H8" s="71">
        <v>13200</v>
      </c>
      <c r="I8" s="71">
        <f t="shared" si="2"/>
        <v>50000.014999999999</v>
      </c>
      <c r="J8" s="71">
        <v>375</v>
      </c>
    </row>
    <row r="9" spans="1:12" ht="14.25" x14ac:dyDescent="0.2">
      <c r="A9" s="36"/>
      <c r="B9" s="72"/>
      <c r="C9" s="72"/>
      <c r="D9" s="72"/>
      <c r="E9" s="72"/>
      <c r="F9" s="72"/>
      <c r="G9" s="72"/>
      <c r="H9" s="72"/>
      <c r="I9" s="72"/>
      <c r="J9" s="72"/>
    </row>
    <row r="10" spans="1:12" ht="15.75" x14ac:dyDescent="0.25">
      <c r="A10" s="39" t="s">
        <v>149</v>
      </c>
      <c r="B10" s="74"/>
      <c r="C10" s="57"/>
      <c r="D10" s="57"/>
      <c r="E10" s="57"/>
      <c r="F10" s="57"/>
      <c r="G10" s="57"/>
      <c r="H10" s="57"/>
      <c r="I10" s="57"/>
      <c r="J10" s="57"/>
      <c r="K10" s="20"/>
      <c r="L10" s="20"/>
    </row>
    <row r="11" spans="1:12" ht="15.75" x14ac:dyDescent="0.25">
      <c r="A11" s="39" t="s">
        <v>51</v>
      </c>
      <c r="B11" s="74">
        <f>501.299+54.125</f>
        <v>555.42399999999998</v>
      </c>
      <c r="C11" s="57">
        <f>4020.038+270.986</f>
        <v>4291.0240000000003</v>
      </c>
      <c r="D11" s="57">
        <f>(38895.341+8534+588.568+342.761)*2.204622/2000</f>
        <v>53.30849850837</v>
      </c>
      <c r="E11" s="57">
        <f>SUM(B11:D11)</f>
        <v>4899.75649850837</v>
      </c>
      <c r="F11" s="73"/>
      <c r="G11" s="75">
        <f>I11-H11</f>
        <v>3348.3661517904311</v>
      </c>
      <c r="H11" s="75">
        <f>((776.408731+6.862+220.547018))*(2.204622/2)</f>
        <v>1106.519346717939</v>
      </c>
      <c r="I11" s="73">
        <f>E11-J11</f>
        <v>4454.8854985083699</v>
      </c>
      <c r="J11" s="57">
        <f>399.414+45.457</f>
        <v>444.87099999999998</v>
      </c>
      <c r="K11" s="20"/>
      <c r="L11" s="20"/>
    </row>
    <row r="12" spans="1:12" ht="15.75" x14ac:dyDescent="0.25">
      <c r="A12" s="39" t="s">
        <v>52</v>
      </c>
      <c r="B12" s="74">
        <f>J11</f>
        <v>444.87099999999998</v>
      </c>
      <c r="C12" s="57">
        <f>3889.342+265.758</f>
        <v>4155.1000000000004</v>
      </c>
      <c r="D12" s="57">
        <f>(29367.714+4604+554.38+256.525)*2.204622/2000</f>
        <v>38.341263532509004</v>
      </c>
      <c r="E12" s="57">
        <f>SUM(B12:D12)</f>
        <v>4638.3122635325099</v>
      </c>
      <c r="F12" s="57"/>
      <c r="G12" s="75">
        <f>I12-H12</f>
        <v>3149.3935899207918</v>
      </c>
      <c r="H12" s="75">
        <f>((785.170511+14.219+247.015427))*(2.204622/2)</f>
        <v>1153.4636736117181</v>
      </c>
      <c r="I12" s="73">
        <f>E12-J12</f>
        <v>4302.8572635325099</v>
      </c>
      <c r="J12" s="57">
        <f>294.996+40.459</f>
        <v>335.45499999999998</v>
      </c>
      <c r="K12" s="20"/>
      <c r="L12" s="20"/>
    </row>
    <row r="13" spans="1:12" ht="15.75" x14ac:dyDescent="0.25">
      <c r="A13" s="39" t="s">
        <v>53</v>
      </c>
      <c r="B13" s="74">
        <f t="shared" ref="B13:B17" si="3">J12</f>
        <v>335.45499999999998</v>
      </c>
      <c r="C13" s="57">
        <f>4016.547+279.141</f>
        <v>4295.6880000000001</v>
      </c>
      <c r="D13" s="57">
        <f>(42910.147+10294+518.4+271.062)*2.204622/2000</f>
        <v>59.517749130398997</v>
      </c>
      <c r="E13" s="57">
        <f>SUM(B13:D13)</f>
        <v>4690.6607491303994</v>
      </c>
      <c r="F13" s="57"/>
      <c r="G13" s="75">
        <f>I13-H13</f>
        <v>3107.3150045094517</v>
      </c>
      <c r="H13" s="75">
        <f>((818.064035+20.76+202.841833))*(2.204622/2)</f>
        <v>1148.2397446209482</v>
      </c>
      <c r="I13" s="73">
        <f>E13-J13</f>
        <v>4255.5547491303996</v>
      </c>
      <c r="J13" s="75">
        <f>394.444+40.662</f>
        <v>435.10599999999999</v>
      </c>
      <c r="K13" s="20"/>
      <c r="L13" s="20"/>
    </row>
    <row r="14" spans="1:12" ht="15.75" x14ac:dyDescent="0.25">
      <c r="A14" s="39" t="s">
        <v>54</v>
      </c>
      <c r="B14" s="74">
        <f t="shared" si="3"/>
        <v>435.10599999999999</v>
      </c>
      <c r="C14" s="57">
        <f>3988.737+280.766</f>
        <v>4269.5029999999997</v>
      </c>
      <c r="D14" s="57">
        <f>(51173.6+5010+707.464+348.119)*2.204622/2000</f>
        <v>63.095381051913002</v>
      </c>
      <c r="E14" s="57">
        <f>SUM(B14:D14)</f>
        <v>4767.7043810519126</v>
      </c>
      <c r="F14" s="57"/>
      <c r="G14" s="75">
        <f>I14-H14</f>
        <v>2820.1101323920802</v>
      </c>
      <c r="H14" s="75">
        <f>((1043.006958+38.887+304.097154))*(2.204622/2)</f>
        <v>1527.793248659832</v>
      </c>
      <c r="I14" s="73">
        <f>E14-J14</f>
        <v>4347.9033810519122</v>
      </c>
      <c r="J14" s="75">
        <f>380.224+39.577</f>
        <v>419.80099999999999</v>
      </c>
      <c r="K14" s="20"/>
      <c r="L14" s="20"/>
    </row>
    <row r="15" spans="1:12" ht="15.75" x14ac:dyDescent="0.25">
      <c r="A15" s="39" t="s">
        <v>55</v>
      </c>
      <c r="B15" s="74">
        <f t="shared" si="3"/>
        <v>419.80099999999999</v>
      </c>
      <c r="C15" s="57">
        <f>3583.222+253.395</f>
        <v>3836.6170000000002</v>
      </c>
      <c r="D15" s="57">
        <f>(47749.769+5105+263.079+425.819)*2.204622/2000</f>
        <v>59.021773114437003</v>
      </c>
      <c r="E15" s="57">
        <f>SUM(B15:D15)</f>
        <v>4315.4397731144372</v>
      </c>
      <c r="F15" s="57"/>
      <c r="G15" s="75">
        <f>I15-H15</f>
        <v>2922.4511532268561</v>
      </c>
      <c r="H15" s="75">
        <f>((787.403738+7.924+200.860833))*(2.204622/2)</f>
        <v>1098.1096198875809</v>
      </c>
      <c r="I15" s="73">
        <f t="shared" ref="I15:I22" si="4">E15-J15</f>
        <v>4020.5607731144373</v>
      </c>
      <c r="J15" s="75">
        <f>263.515+31.364</f>
        <v>294.87899999999996</v>
      </c>
      <c r="K15" s="20"/>
      <c r="L15" s="20"/>
    </row>
    <row r="16" spans="1:12" ht="15.75" x14ac:dyDescent="0.25">
      <c r="A16" s="39" t="s">
        <v>56</v>
      </c>
      <c r="B16" s="74">
        <f t="shared" si="3"/>
        <v>294.87899999999996</v>
      </c>
      <c r="C16" s="57">
        <f>3926.558+274.26</f>
        <v>4200.8180000000002</v>
      </c>
      <c r="D16" s="57">
        <f>(61699.469+4364+411.923+224.341)*2.204622/2000</f>
        <v>73.523849382962993</v>
      </c>
      <c r="E16" s="57">
        <f t="shared" ref="E16:E17" si="5">SUM(B16:D16)</f>
        <v>4569.220849382963</v>
      </c>
      <c r="F16" s="73"/>
      <c r="G16" s="75">
        <f t="shared" ref="G16:G17" si="6">I16-H16</f>
        <v>2881.8443252468242</v>
      </c>
      <c r="H16" s="57">
        <f>((763.932135+5.972+298.109814))*(2.204622/2)</f>
        <v>1177.283524136139</v>
      </c>
      <c r="I16" s="73">
        <f t="shared" si="4"/>
        <v>4059.1278493829632</v>
      </c>
      <c r="J16" s="75">
        <f>465.159+44.934</f>
        <v>510.09299999999996</v>
      </c>
      <c r="K16" s="20"/>
      <c r="L16" s="20"/>
    </row>
    <row r="17" spans="1:12" ht="15.75" x14ac:dyDescent="0.25">
      <c r="A17" s="39" t="s">
        <v>57</v>
      </c>
      <c r="B17" s="74">
        <f t="shared" si="3"/>
        <v>510.09299999999996</v>
      </c>
      <c r="C17" s="57">
        <f>3763.527+259.021</f>
        <v>4022.5480000000002</v>
      </c>
      <c r="D17" s="57">
        <f>(62488.686+4677+258.217+254.463)*2.204622/2000</f>
        <v>74.602607303826005</v>
      </c>
      <c r="E17" s="57">
        <f t="shared" si="5"/>
        <v>4607.2436073038261</v>
      </c>
      <c r="F17" s="73"/>
      <c r="G17" s="75">
        <f t="shared" si="6"/>
        <v>2821.810765308217</v>
      </c>
      <c r="H17" s="57">
        <f>((1007.701411+13.354+249.239308))*(2.204622/2)</f>
        <v>1400.2598419956091</v>
      </c>
      <c r="I17" s="73">
        <f t="shared" si="4"/>
        <v>4222.0706073038264</v>
      </c>
      <c r="J17" s="75">
        <f>337.326+47.847</f>
        <v>385.173</v>
      </c>
      <c r="K17" s="20"/>
      <c r="L17" s="20"/>
    </row>
    <row r="18" spans="1:12" ht="15.75" x14ac:dyDescent="0.25">
      <c r="A18" s="39" t="s">
        <v>58</v>
      </c>
      <c r="B18" s="74">
        <f t="shared" ref="B18:B19" si="7">J17</f>
        <v>385.173</v>
      </c>
      <c r="C18" s="57">
        <f>3660.325+249.227</f>
        <v>3909.5519999999997</v>
      </c>
      <c r="D18" s="57">
        <f>(57739.395+3870+130.583+721.919)*2.204622/2000</f>
        <v>68.852436143966997</v>
      </c>
      <c r="E18" s="57">
        <f t="shared" ref="E18" si="8">SUM(B18:D18)</f>
        <v>4363.5774361439662</v>
      </c>
      <c r="F18" s="73"/>
      <c r="G18" s="75">
        <f t="shared" ref="G18" si="9">I18-H18</f>
        <v>2930.8773870523009</v>
      </c>
      <c r="H18" s="57">
        <f>((819.428144+11.935+185.223871))*(2.204622/2)</f>
        <v>1120.595049091665</v>
      </c>
      <c r="I18" s="73">
        <f t="shared" si="4"/>
        <v>4051.4724361439662</v>
      </c>
      <c r="J18" s="75">
        <f>276.276+35.829</f>
        <v>312.10500000000002</v>
      </c>
      <c r="K18" s="20"/>
      <c r="L18" s="20"/>
    </row>
    <row r="19" spans="1:12" ht="15.75" x14ac:dyDescent="0.25">
      <c r="A19" s="39" t="s">
        <v>59</v>
      </c>
      <c r="B19" s="74">
        <f t="shared" si="7"/>
        <v>312.10500000000002</v>
      </c>
      <c r="C19" s="57">
        <f>3453.178+243.145</f>
        <v>3696.3229999999999</v>
      </c>
      <c r="D19" s="57">
        <f>(35949.489+2516+112.11+336.226)*2.204622/2000</f>
        <v>42.895137349575009</v>
      </c>
      <c r="E19" s="57">
        <f t="shared" ref="E19:E21" si="10">SUM(B19:D19)</f>
        <v>4051.3231373495751</v>
      </c>
      <c r="F19" s="73"/>
      <c r="G19" s="75">
        <f t="shared" ref="G19:G20" si="11">I19-H19</f>
        <v>2720.5046007899409</v>
      </c>
      <c r="H19" s="57">
        <f>((593.573569+8.497+220.167925))*(2.204622/2)</f>
        <v>906.36253655963401</v>
      </c>
      <c r="I19" s="73">
        <f t="shared" si="4"/>
        <v>3626.8671373495749</v>
      </c>
      <c r="J19" s="75">
        <f>376.025+48.431</f>
        <v>424.45599999999996</v>
      </c>
      <c r="K19" s="20"/>
      <c r="L19" s="20"/>
    </row>
    <row r="20" spans="1:12" ht="15.75" x14ac:dyDescent="0.25">
      <c r="A20" s="39" t="s">
        <v>61</v>
      </c>
      <c r="B20" s="74">
        <f t="shared" ref="B20:B21" si="12">J19</f>
        <v>424.45599999999996</v>
      </c>
      <c r="C20" s="57">
        <f>3918.907+267.367</f>
        <v>4186.2740000000003</v>
      </c>
      <c r="D20" s="57">
        <f>(44365.407+4772+199.564+145.516)*2.204622/2000</f>
        <v>54.545089727457004</v>
      </c>
      <c r="E20" s="57">
        <f t="shared" si="10"/>
        <v>4665.2750897274573</v>
      </c>
      <c r="F20" s="73"/>
      <c r="G20" s="75">
        <f t="shared" si="11"/>
        <v>3372.1360299377911</v>
      </c>
      <c r="H20" s="57">
        <f>((716.627482+22.068+84.962324))*(2.204622/2)</f>
        <v>907.92705978966592</v>
      </c>
      <c r="I20" s="73">
        <f t="shared" si="4"/>
        <v>4280.0630897274568</v>
      </c>
      <c r="J20" s="75">
        <f>345.45+39.762</f>
        <v>385.21199999999999</v>
      </c>
      <c r="K20" s="20"/>
      <c r="L20" s="20"/>
    </row>
    <row r="21" spans="1:12" ht="15.75" x14ac:dyDescent="0.25">
      <c r="A21" s="39" t="s">
        <v>62</v>
      </c>
      <c r="B21" s="74">
        <f t="shared" si="12"/>
        <v>385.21199999999999</v>
      </c>
      <c r="C21" s="57">
        <f>3876.153+270.264</f>
        <v>4146.4169999999995</v>
      </c>
      <c r="D21" s="57">
        <f>(46476.038+4437+282.552+125.417)*2.204622/2000</f>
        <v>56.571710547177005</v>
      </c>
      <c r="E21" s="57">
        <f t="shared" si="10"/>
        <v>4588.2007105471757</v>
      </c>
      <c r="F21" s="73"/>
      <c r="G21" s="75">
        <f t="shared" ref="G21" si="13">I21-H21</f>
        <v>3119.1348855152473</v>
      </c>
      <c r="H21" s="57">
        <f>((806.359325+9.154+124.197723))*(2.204622/2)</f>
        <v>1035.853825031928</v>
      </c>
      <c r="I21" s="73">
        <f t="shared" si="4"/>
        <v>4154.9887105471753</v>
      </c>
      <c r="J21" s="75">
        <f>384.874+48.338</f>
        <v>433.21200000000005</v>
      </c>
      <c r="K21" s="20"/>
      <c r="L21" s="20"/>
    </row>
    <row r="22" spans="1:12" ht="15.75" x14ac:dyDescent="0.25">
      <c r="A22" s="39" t="s">
        <v>64</v>
      </c>
      <c r="B22" s="74">
        <f t="shared" ref="B22" si="14">J21</f>
        <v>433.21200000000005</v>
      </c>
      <c r="C22" s="57">
        <f>3553.484+246.065</f>
        <v>3799.549</v>
      </c>
      <c r="D22" s="57">
        <f>(31772.753+3597+75.985+156.118)*2.204622/2000</f>
        <v>39.244317489216002</v>
      </c>
      <c r="E22" s="57">
        <f t="shared" ref="E22" si="15">SUM(B22:D22)</f>
        <v>4272.0053174892164</v>
      </c>
      <c r="F22" s="73"/>
      <c r="G22" s="75">
        <f t="shared" ref="G22" si="16">I22-H22</f>
        <v>2898.6123008814347</v>
      </c>
      <c r="H22" s="57">
        <f>((684.757972+16.016+180.44559))*(2.204622/2)</f>
        <v>971.378016607782</v>
      </c>
      <c r="I22" s="73">
        <f t="shared" si="4"/>
        <v>3869.9903174892165</v>
      </c>
      <c r="J22" s="75">
        <f>360.387+41.628</f>
        <v>402.01499999999999</v>
      </c>
      <c r="K22" s="20"/>
      <c r="L22" s="20"/>
    </row>
    <row r="23" spans="1:12" ht="15.75" x14ac:dyDescent="0.25">
      <c r="A23" s="39" t="s">
        <v>3</v>
      </c>
      <c r="B23" s="74"/>
      <c r="C23" s="57">
        <f>SUM(C11:C22)</f>
        <v>48809.412999999993</v>
      </c>
      <c r="D23" s="57">
        <f>SUM(D11:D22)</f>
        <v>683.51981328180898</v>
      </c>
      <c r="E23" s="57">
        <f t="shared" ref="E23" si="17">SUM(E11:E19)</f>
        <v>40903.238695517961</v>
      </c>
      <c r="F23" s="57"/>
      <c r="G23" s="57">
        <f t="shared" ref="G23:I23" si="18">SUM(G11:G22)</f>
        <v>36092.556326571364</v>
      </c>
      <c r="H23" s="57">
        <f t="shared" si="18"/>
        <v>13553.785486710443</v>
      </c>
      <c r="I23" s="57">
        <f t="shared" si="18"/>
        <v>49646.341813281811</v>
      </c>
      <c r="J23" s="57"/>
      <c r="K23" s="20"/>
      <c r="L23" s="20"/>
    </row>
    <row r="24" spans="1:12" ht="15.75" x14ac:dyDescent="0.25">
      <c r="A24" s="39"/>
      <c r="B24" s="74"/>
      <c r="C24" s="57"/>
      <c r="D24" s="57"/>
      <c r="E24" s="57"/>
      <c r="F24" s="57"/>
      <c r="G24" s="57"/>
      <c r="H24" s="57"/>
      <c r="I24" s="57"/>
      <c r="J24" s="57"/>
      <c r="K24" s="20"/>
      <c r="L24" s="20"/>
    </row>
    <row r="25" spans="1:12" ht="15.75" x14ac:dyDescent="0.25">
      <c r="A25" s="39" t="s">
        <v>154</v>
      </c>
      <c r="B25" s="74"/>
      <c r="C25" s="57"/>
      <c r="D25" s="57"/>
      <c r="E25" s="57"/>
      <c r="F25" s="57"/>
      <c r="G25" s="57"/>
      <c r="H25" s="57"/>
      <c r="I25" s="57"/>
      <c r="J25" s="57"/>
      <c r="K25" s="20"/>
      <c r="L25" s="20"/>
    </row>
    <row r="26" spans="1:12" ht="15.75" x14ac:dyDescent="0.25">
      <c r="A26" s="39" t="s">
        <v>51</v>
      </c>
      <c r="B26" s="74">
        <f>J22</f>
        <v>402.01499999999999</v>
      </c>
      <c r="C26" s="57">
        <f>4100.967+276.379</f>
        <v>4377.3459999999995</v>
      </c>
      <c r="D26" s="57">
        <f>(34715.548+8327+125.964+103.856)*2.204622/2000</f>
        <v>47.699607242448003</v>
      </c>
      <c r="E26" s="57">
        <f t="shared" ref="E26" si="19">SUM(B26:D26)</f>
        <v>4827.060607242448</v>
      </c>
      <c r="F26" s="73"/>
      <c r="G26" s="75">
        <f t="shared" ref="G26" si="20">I26-H26</f>
        <v>3322.8396056377378</v>
      </c>
      <c r="H26" s="57">
        <f>((778.679879+14.393+240.172731))*(2.204622/2)</f>
        <v>1138.95800160471</v>
      </c>
      <c r="I26" s="73">
        <f t="shared" ref="I26" si="21">E26-J26</f>
        <v>4461.7976072424481</v>
      </c>
      <c r="J26" s="75">
        <f>335.087+30.176</f>
        <v>365.26299999999998</v>
      </c>
      <c r="K26" s="20"/>
      <c r="L26" s="20"/>
    </row>
    <row r="27" spans="1:12" ht="15.75" x14ac:dyDescent="0.25">
      <c r="A27" s="39" t="s">
        <v>52</v>
      </c>
      <c r="B27" s="74">
        <f>J26</f>
        <v>365.26299999999998</v>
      </c>
      <c r="C27" s="57">
        <f>3855.827+255.945</f>
        <v>4111.7719999999999</v>
      </c>
      <c r="D27" s="57">
        <f>(29854.388+2961+130.165+90.108)*2.204622/2000</f>
        <v>36.415572512571003</v>
      </c>
      <c r="E27" s="57">
        <f>SUM(B27:D27)</f>
        <v>4513.4505725125709</v>
      </c>
      <c r="F27" s="57"/>
      <c r="G27" s="75">
        <f>I27-H27</f>
        <v>2812.5352537190147</v>
      </c>
      <c r="H27" s="75">
        <f>((860.616253+3.458+254.940543))*(2.204622/2)</f>
        <v>1233.502318793556</v>
      </c>
      <c r="I27" s="73">
        <f>E27-J27</f>
        <v>4046.0375725125709</v>
      </c>
      <c r="J27" s="57">
        <f>426.332+41.081</f>
        <v>467.41300000000001</v>
      </c>
      <c r="K27" s="20"/>
      <c r="L27" s="20"/>
    </row>
    <row r="28" spans="1:12" ht="15.75" x14ac:dyDescent="0.25">
      <c r="A28" s="39" t="s">
        <v>53</v>
      </c>
      <c r="B28" s="74">
        <f>J27</f>
        <v>467.41300000000001</v>
      </c>
      <c r="C28" s="57">
        <f>4062.929+274.643</f>
        <v>4337.5720000000001</v>
      </c>
      <c r="D28" s="57">
        <f>(33750.764+13585+182.009+72.517)*2.204622/2000</f>
        <v>52.459300160190004</v>
      </c>
      <c r="E28" s="57">
        <f>SUM(B28:D28)</f>
        <v>4857.4443001601903</v>
      </c>
      <c r="F28" s="57"/>
      <c r="G28" s="75">
        <f>I28-H28</f>
        <v>3359.8092103713479</v>
      </c>
      <c r="H28" s="75">
        <f>((787.320387+9.703+219.534635))*(2.204622/2)</f>
        <v>1120.563089788842</v>
      </c>
      <c r="I28" s="73">
        <f>E28-J28</f>
        <v>4480.3723001601902</v>
      </c>
      <c r="J28" s="57">
        <f>342.085+34.987</f>
        <v>377.072</v>
      </c>
      <c r="K28" s="20"/>
      <c r="L28" s="20"/>
    </row>
    <row r="29" spans="1:12" ht="15.75" x14ac:dyDescent="0.25">
      <c r="A29" s="35" t="s">
        <v>150</v>
      </c>
      <c r="B29" s="76"/>
      <c r="C29" s="64">
        <f>SUM(C26:C28)</f>
        <v>12826.689999999999</v>
      </c>
      <c r="D29" s="64">
        <f>SUM(D26:D28)</f>
        <v>136.574479915209</v>
      </c>
      <c r="E29" s="64">
        <f>B26+C29+D29</f>
        <v>13365.279479915207</v>
      </c>
      <c r="F29" s="64"/>
      <c r="G29" s="64">
        <f>SUM(G26:G28)</f>
        <v>9495.1840697281004</v>
      </c>
      <c r="H29" s="64">
        <f>SUM(H26:H28)</f>
        <v>3493.0234101871083</v>
      </c>
      <c r="I29" s="64">
        <f>SUM(I26:I28)</f>
        <v>12988.207479915209</v>
      </c>
      <c r="J29" s="64"/>
      <c r="K29" s="20"/>
      <c r="L29" s="20"/>
    </row>
    <row r="30" spans="1:12" ht="17.25" x14ac:dyDescent="0.25">
      <c r="A30" s="77" t="s">
        <v>190</v>
      </c>
      <c r="B30" s="36"/>
      <c r="C30" s="36"/>
      <c r="D30" s="36"/>
      <c r="E30" s="36"/>
      <c r="F30" s="36"/>
      <c r="G30" s="36"/>
      <c r="H30" s="36"/>
      <c r="I30" s="36"/>
      <c r="J30" s="36"/>
      <c r="K30" s="20"/>
      <c r="L30" s="20"/>
    </row>
    <row r="31" spans="1:12" ht="15.75" x14ac:dyDescent="0.25">
      <c r="A31" s="36" t="s">
        <v>115</v>
      </c>
      <c r="B31" s="36"/>
      <c r="C31" s="36"/>
      <c r="D31" s="36"/>
      <c r="E31" s="36"/>
      <c r="F31" s="36"/>
      <c r="G31" s="36"/>
      <c r="H31" s="36"/>
      <c r="I31" s="36"/>
      <c r="J31" s="36"/>
      <c r="K31" s="20"/>
      <c r="L31" s="20"/>
    </row>
    <row r="32" spans="1:12" ht="15.75" x14ac:dyDescent="0.25">
      <c r="A32" s="40" t="s">
        <v>20</v>
      </c>
      <c r="B32" s="69">
        <f ca="1">NOW()</f>
        <v>43874.410704282411</v>
      </c>
      <c r="C32" s="56"/>
      <c r="D32" s="52"/>
      <c r="E32" s="52"/>
      <c r="F32" s="52"/>
      <c r="G32" s="52"/>
      <c r="H32" s="52"/>
      <c r="I32" s="52"/>
      <c r="J32" s="52"/>
      <c r="K32" s="20"/>
      <c r="L32" s="20"/>
    </row>
    <row r="33" spans="1:12" ht="15.75" x14ac:dyDescent="0.25">
      <c r="A33" s="1"/>
      <c r="B33" s="3"/>
      <c r="C33" s="4"/>
      <c r="D33" s="3"/>
      <c r="E33" s="3"/>
      <c r="F33" s="3"/>
      <c r="G33" s="3"/>
      <c r="H33" s="5"/>
      <c r="I33" s="3"/>
      <c r="J33" s="3"/>
      <c r="K33" s="20"/>
      <c r="L33" s="20"/>
    </row>
    <row r="34" spans="1:12" ht="15.75" x14ac:dyDescent="0.25">
      <c r="A34" s="1"/>
      <c r="B34" s="3"/>
      <c r="C34" s="3"/>
      <c r="D34" s="3"/>
      <c r="E34" s="3"/>
      <c r="F34" s="3"/>
      <c r="G34" s="3"/>
      <c r="H34" s="3"/>
      <c r="I34" s="3"/>
      <c r="J34" s="3"/>
      <c r="K34" s="20"/>
      <c r="L34" s="20"/>
    </row>
    <row r="35" spans="1:12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20"/>
      <c r="L35" s="20"/>
    </row>
    <row r="36" spans="1:12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0"/>
      <c r="L36" s="20"/>
    </row>
    <row r="37" spans="1:12" ht="15.75" x14ac:dyDescent="0.25">
      <c r="K37" s="20"/>
      <c r="L37" s="20"/>
    </row>
    <row r="38" spans="1:12" ht="15.75" x14ac:dyDescent="0.25">
      <c r="K38" s="20"/>
      <c r="L38" s="20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3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10.140625" bestFit="1" customWidth="1"/>
    <col min="14" max="14" width="9.28515625" bestFit="1" customWidth="1"/>
  </cols>
  <sheetData>
    <row r="1" spans="1:13" ht="14.25" x14ac:dyDescent="0.2">
      <c r="A1" s="35" t="s">
        <v>183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4.25" x14ac:dyDescent="0.2">
      <c r="A2" s="36"/>
      <c r="B2" s="171" t="s">
        <v>0</v>
      </c>
      <c r="C2" s="171"/>
      <c r="D2" s="171"/>
      <c r="E2" s="171"/>
      <c r="F2" s="39"/>
      <c r="G2" s="171" t="s">
        <v>19</v>
      </c>
      <c r="H2" s="171"/>
      <c r="I2" s="171"/>
      <c r="J2" s="37"/>
      <c r="K2" s="37"/>
      <c r="L2" s="36"/>
    </row>
    <row r="3" spans="1:13" ht="14.25" x14ac:dyDescent="0.2">
      <c r="A3" s="36" t="s">
        <v>76</v>
      </c>
      <c r="B3" s="38" t="s">
        <v>30</v>
      </c>
      <c r="C3" s="78" t="s">
        <v>1</v>
      </c>
      <c r="D3" s="78" t="s">
        <v>31</v>
      </c>
      <c r="E3" s="78" t="s">
        <v>26</v>
      </c>
      <c r="F3" s="78"/>
      <c r="G3" s="37" t="s">
        <v>29</v>
      </c>
      <c r="H3" s="37"/>
      <c r="I3" s="37"/>
      <c r="J3" s="78" t="s">
        <v>33</v>
      </c>
      <c r="K3" s="78" t="s">
        <v>26</v>
      </c>
      <c r="L3" s="78" t="s">
        <v>28</v>
      </c>
    </row>
    <row r="4" spans="1:13" ht="14.25" x14ac:dyDescent="0.2">
      <c r="A4" s="41" t="s">
        <v>77</v>
      </c>
      <c r="B4" s="43" t="s">
        <v>27</v>
      </c>
      <c r="C4" s="44"/>
      <c r="D4" s="44"/>
      <c r="E4" s="44"/>
      <c r="F4" s="44"/>
      <c r="G4" s="43" t="s">
        <v>3</v>
      </c>
      <c r="H4" s="43" t="s">
        <v>88</v>
      </c>
      <c r="I4" s="43" t="s">
        <v>110</v>
      </c>
      <c r="J4" s="44"/>
      <c r="K4" s="44"/>
      <c r="L4" s="78" t="s">
        <v>87</v>
      </c>
    </row>
    <row r="5" spans="1:13" ht="14.25" x14ac:dyDescent="0.2">
      <c r="A5" s="36"/>
      <c r="B5" s="173" t="s">
        <v>101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3" ht="14.25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16.5" x14ac:dyDescent="0.2">
      <c r="A7" s="36" t="s">
        <v>126</v>
      </c>
      <c r="B7" s="72">
        <v>1710.954</v>
      </c>
      <c r="C7" s="72">
        <v>23772.428000000004</v>
      </c>
      <c r="D7" s="72">
        <v>335.31611675625004</v>
      </c>
      <c r="E7" s="72">
        <f t="shared" ref="E7:E9" si="0">SUM(B7:D7)</f>
        <v>25818.698116756255</v>
      </c>
      <c r="F7" s="72"/>
      <c r="G7" s="72">
        <f t="shared" ref="G7:G9" si="1">K7-J7</f>
        <v>21380.23059872978</v>
      </c>
      <c r="H7" s="72">
        <v>7133.6900000000005</v>
      </c>
      <c r="I7" s="72">
        <f t="shared" ref="I7:I9" si="2">G7-H7</f>
        <v>14246.54059872978</v>
      </c>
      <c r="J7" s="72">
        <v>2443.0335180264719</v>
      </c>
      <c r="K7" s="72">
        <f t="shared" ref="K7:K9" si="3">E7-L7</f>
        <v>23823.264116756254</v>
      </c>
      <c r="L7" s="72">
        <v>1995.434</v>
      </c>
      <c r="M7" s="17"/>
    </row>
    <row r="8" spans="1:13" ht="16.5" x14ac:dyDescent="0.2">
      <c r="A8" s="36" t="s">
        <v>148</v>
      </c>
      <c r="B8" s="72">
        <f>L7</f>
        <v>1995.434</v>
      </c>
      <c r="C8" s="72">
        <f>C24</f>
        <v>24195.478000000006</v>
      </c>
      <c r="D8" s="72">
        <f>D24</f>
        <v>398.08249626894712</v>
      </c>
      <c r="E8" s="72">
        <f t="shared" si="0"/>
        <v>26588.994496268955</v>
      </c>
      <c r="F8" s="72"/>
      <c r="G8" s="72">
        <f t="shared" si="1"/>
        <v>22872.328476166247</v>
      </c>
      <c r="H8" s="72">
        <f>H24</f>
        <v>7863.3000000000011</v>
      </c>
      <c r="I8" s="72">
        <f t="shared" si="2"/>
        <v>15009.028476166246</v>
      </c>
      <c r="J8" s="72">
        <f>J24</f>
        <v>1941.35002010271</v>
      </c>
      <c r="K8" s="72">
        <f t="shared" si="3"/>
        <v>24813.678496268956</v>
      </c>
      <c r="L8" s="72">
        <f>L23</f>
        <v>1775.316</v>
      </c>
      <c r="M8" s="17"/>
    </row>
    <row r="9" spans="1:13" ht="16.5" x14ac:dyDescent="0.2">
      <c r="A9" s="36" t="s">
        <v>153</v>
      </c>
      <c r="B9" s="72">
        <f>L8</f>
        <v>1775.316</v>
      </c>
      <c r="C9" s="72">
        <v>24290</v>
      </c>
      <c r="D9" s="72">
        <v>450</v>
      </c>
      <c r="E9" s="72">
        <f t="shared" si="0"/>
        <v>26515.315999999999</v>
      </c>
      <c r="F9" s="72"/>
      <c r="G9" s="72">
        <f t="shared" si="1"/>
        <v>23100.315999999999</v>
      </c>
      <c r="H9" s="72">
        <v>8200</v>
      </c>
      <c r="I9" s="72">
        <f t="shared" si="2"/>
        <v>14900.315999999999</v>
      </c>
      <c r="J9" s="72">
        <v>1900</v>
      </c>
      <c r="K9" s="72">
        <f t="shared" si="3"/>
        <v>25000.315999999999</v>
      </c>
      <c r="L9" s="72">
        <v>1515</v>
      </c>
      <c r="M9" s="17"/>
    </row>
    <row r="10" spans="1:13" ht="14.25" x14ac:dyDescent="0.2">
      <c r="A10" s="3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17"/>
    </row>
    <row r="11" spans="1:13" ht="14.25" x14ac:dyDescent="0.2">
      <c r="A11" s="36" t="s">
        <v>149</v>
      </c>
      <c r="B11" s="73"/>
      <c r="C11" s="57"/>
      <c r="D11" s="57"/>
      <c r="E11" s="57"/>
      <c r="F11" s="73"/>
      <c r="G11" s="57"/>
      <c r="H11" s="57"/>
      <c r="I11" s="57"/>
      <c r="J11" s="57"/>
      <c r="K11" s="57"/>
      <c r="L11" s="73"/>
    </row>
    <row r="12" spans="1:13" ht="14.25" x14ac:dyDescent="0.2">
      <c r="A12" s="39" t="s">
        <v>51</v>
      </c>
      <c r="B12" s="73">
        <f>1648.347+347.087</f>
        <v>1995.434</v>
      </c>
      <c r="C12" s="57">
        <v>2134.5529999999999</v>
      </c>
      <c r="D12" s="73">
        <f>(1.737942+0+14.079112+0)*2.204622</f>
        <v>34.870625223588</v>
      </c>
      <c r="E12" s="73">
        <f>SUM(B12:D12)</f>
        <v>4164.857625223588</v>
      </c>
      <c r="F12" s="73"/>
      <c r="G12" s="73">
        <f>K12-J12</f>
        <v>1971.1017975407021</v>
      </c>
      <c r="H12" s="73">
        <v>698.88</v>
      </c>
      <c r="I12" s="57">
        <f t="shared" ref="I12:I23" si="4">G12-H12</f>
        <v>1272.221797540702</v>
      </c>
      <c r="J12" s="57">
        <f>(55.858963+0.092113+10.135032+0.231305)*2.204622</f>
        <v>146.20482768288602</v>
      </c>
      <c r="K12" s="73">
        <f>E12-L12</f>
        <v>2117.3066252235881</v>
      </c>
      <c r="L12" s="73">
        <f>1700.684+346.867</f>
        <v>2047.5509999999999</v>
      </c>
      <c r="M12" s="168"/>
    </row>
    <row r="13" spans="1:13" ht="14.25" x14ac:dyDescent="0.2">
      <c r="A13" s="39" t="s">
        <v>52</v>
      </c>
      <c r="B13" s="73">
        <f>L12</f>
        <v>2047.5509999999999</v>
      </c>
      <c r="C13" s="57">
        <v>2060.5630000000001</v>
      </c>
      <c r="D13" s="73">
        <f>(0.859494+0.011057+14.770563+0.0008)*2.204622</f>
        <v>34.484507726507999</v>
      </c>
      <c r="E13" s="73">
        <f>SUM(B13:D13)</f>
        <v>4142.5985077265077</v>
      </c>
      <c r="F13" s="73"/>
      <c r="G13" s="73">
        <f>K13-J13</f>
        <v>2027.2521314197675</v>
      </c>
      <c r="H13" s="73">
        <v>703.79</v>
      </c>
      <c r="I13" s="57">
        <f t="shared" si="4"/>
        <v>1323.4621314197675</v>
      </c>
      <c r="J13" s="57">
        <f>(87.869928+0.165614+9.139504+0.380624)*2.204622</f>
        <v>215.07337630674002</v>
      </c>
      <c r="K13" s="73">
        <f>E13-L13</f>
        <v>2242.3255077265076</v>
      </c>
      <c r="L13" s="73">
        <f>1582.363+317.91</f>
        <v>1900.2730000000001</v>
      </c>
    </row>
    <row r="14" spans="1:13" ht="14.25" x14ac:dyDescent="0.2">
      <c r="A14" s="39" t="s">
        <v>53</v>
      </c>
      <c r="B14" s="73">
        <f>L13</f>
        <v>1900.2730000000001</v>
      </c>
      <c r="C14" s="57">
        <v>2135.37</v>
      </c>
      <c r="D14" s="73">
        <f>(2.278714+0.102885+17.78989+0.0008)*2.204622</f>
        <v>44.47227211975801</v>
      </c>
      <c r="E14" s="73">
        <f>SUM(B14:D14)</f>
        <v>4080.1152721197582</v>
      </c>
      <c r="F14" s="57"/>
      <c r="G14" s="73">
        <f>K14-J14</f>
        <v>1976.5384950247783</v>
      </c>
      <c r="H14" s="73">
        <v>767.76</v>
      </c>
      <c r="I14" s="57">
        <f t="shared" si="4"/>
        <v>1208.7784950247783</v>
      </c>
      <c r="J14" s="57">
        <f>(61.867102+0.216942+9.105599+0.354947)*2.204622</f>
        <v>157.72877709498002</v>
      </c>
      <c r="K14" s="73">
        <f t="shared" ref="K14:K23" si="5">E14-L14</f>
        <v>2134.2672721197582</v>
      </c>
      <c r="L14" s="73">
        <f>1601.77+344.078</f>
        <v>1945.848</v>
      </c>
    </row>
    <row r="15" spans="1:13" ht="14.25" x14ac:dyDescent="0.2">
      <c r="A15" s="39" t="s">
        <v>54</v>
      </c>
      <c r="B15" s="73">
        <f>L14</f>
        <v>1945.848</v>
      </c>
      <c r="C15" s="57">
        <v>2115.799</v>
      </c>
      <c r="D15" s="73">
        <f>(1.232832+0.000565+12.844114+0.00048)*2.204622</f>
        <v>31.036648674401999</v>
      </c>
      <c r="E15" s="73">
        <f t="shared" ref="E15:E19" si="6">SUM(B15:D15)</f>
        <v>4092.6836486744019</v>
      </c>
      <c r="F15" s="57"/>
      <c r="G15" s="73">
        <f>K15-J15</f>
        <v>1866.8960887065257</v>
      </c>
      <c r="H15" s="73">
        <v>622.80999999999995</v>
      </c>
      <c r="I15" s="57">
        <f t="shared" si="4"/>
        <v>1244.0860887065257</v>
      </c>
      <c r="J15" s="57">
        <f>(86.321768+0.169398+13.585229+0.194563)*2.204622</f>
        <v>221.05955996787603</v>
      </c>
      <c r="K15" s="73">
        <f t="shared" si="5"/>
        <v>2087.9556486744018</v>
      </c>
      <c r="L15" s="73">
        <f>1659.501+345.227</f>
        <v>2004.7280000000001</v>
      </c>
    </row>
    <row r="16" spans="1:13" ht="14.25" x14ac:dyDescent="0.2">
      <c r="A16" s="39" t="s">
        <v>55</v>
      </c>
      <c r="B16" s="73">
        <f>L15</f>
        <v>2004.7280000000001</v>
      </c>
      <c r="C16" s="57">
        <v>1899.1959999999999</v>
      </c>
      <c r="D16" s="73">
        <f>(1.036189+0+12.266298+0.0008)*2.204622</f>
        <v>29.328719192514004</v>
      </c>
      <c r="E16" s="73">
        <f t="shared" si="6"/>
        <v>3933.2527191925142</v>
      </c>
      <c r="F16" s="57"/>
      <c r="G16" s="73">
        <f>K16-J16</f>
        <v>1692.3842773339961</v>
      </c>
      <c r="H16" s="73">
        <v>559.57000000000005</v>
      </c>
      <c r="I16" s="57">
        <f t="shared" si="4"/>
        <v>1132.814277333996</v>
      </c>
      <c r="J16" s="57">
        <f>(29.230159+0.074299+12.057246+0.250165)*2.204622</f>
        <v>91.738441858518016</v>
      </c>
      <c r="K16" s="73">
        <f t="shared" si="5"/>
        <v>1784.1227191925141</v>
      </c>
      <c r="L16" s="73">
        <f>1762.965+386.165</f>
        <v>2149.13</v>
      </c>
    </row>
    <row r="17" spans="1:12" ht="14.25" x14ac:dyDescent="0.2">
      <c r="A17" s="39" t="s">
        <v>56</v>
      </c>
      <c r="B17" s="73">
        <f t="shared" ref="B17:B18" si="7">L16</f>
        <v>2149.13</v>
      </c>
      <c r="C17" s="57">
        <v>2094.4180000000001</v>
      </c>
      <c r="D17" s="73">
        <f>(0.61092+0.0008+13.177229+0.00082)*2.204622</f>
        <v>30.401228112318002</v>
      </c>
      <c r="E17" s="73">
        <f t="shared" si="6"/>
        <v>4273.9492281123185</v>
      </c>
      <c r="F17" s="73"/>
      <c r="G17" s="73">
        <f t="shared" ref="G17" si="8">K17-J17</f>
        <v>1769.1811510570665</v>
      </c>
      <c r="H17" s="73">
        <v>617.01</v>
      </c>
      <c r="I17" s="57">
        <f t="shared" si="4"/>
        <v>1152.1711510570665</v>
      </c>
      <c r="J17" s="57">
        <f>(105.920622+0.129031+16.580273+0.67424)*2.204622</f>
        <v>271.83907705525195</v>
      </c>
      <c r="K17" s="73">
        <f t="shared" si="5"/>
        <v>2041.0202281123184</v>
      </c>
      <c r="L17" s="73">
        <f>1893.918+339.011</f>
        <v>2232.9290000000001</v>
      </c>
    </row>
    <row r="18" spans="1:12" ht="14.25" x14ac:dyDescent="0.2">
      <c r="A18" s="39" t="s">
        <v>57</v>
      </c>
      <c r="B18" s="73">
        <f t="shared" si="7"/>
        <v>2232.9290000000001</v>
      </c>
      <c r="C18" s="57">
        <v>1989.1010000000001</v>
      </c>
      <c r="D18" s="73">
        <f>(0.55383+0+12.611174+0.0008)*2.204622</f>
        <v>29.025621146088</v>
      </c>
      <c r="E18" s="73">
        <f t="shared" si="6"/>
        <v>4251.0556211460889</v>
      </c>
      <c r="F18" s="73"/>
      <c r="G18" s="73">
        <f t="shared" ref="G18:G23" si="9">K18-J18</f>
        <v>1845.2466056534167</v>
      </c>
      <c r="H18" s="73">
        <v>631.84</v>
      </c>
      <c r="I18" s="57">
        <f t="shared" si="4"/>
        <v>1213.4066056534166</v>
      </c>
      <c r="J18" s="57">
        <f>(54.848471+0.2357+11.759032+0.380573)*2.204622</f>
        <v>148.20301549267199</v>
      </c>
      <c r="K18" s="73">
        <f t="shared" si="5"/>
        <v>1993.4496211460887</v>
      </c>
      <c r="L18" s="73">
        <f>1893.351+364.255</f>
        <v>2257.6060000000002</v>
      </c>
    </row>
    <row r="19" spans="1:12" ht="14.25" x14ac:dyDescent="0.2">
      <c r="A19" s="39" t="s">
        <v>58</v>
      </c>
      <c r="B19" s="73">
        <f t="shared" ref="B19:B20" si="10">L18</f>
        <v>2257.6060000000002</v>
      </c>
      <c r="C19" s="57">
        <v>1915.9939999999999</v>
      </c>
      <c r="D19" s="73">
        <f>(0.55383087+0+15.169599+0)*2.204622</f>
        <v>34.664219406859139</v>
      </c>
      <c r="E19" s="73">
        <f t="shared" si="6"/>
        <v>4208.2642194068594</v>
      </c>
      <c r="F19" s="73"/>
      <c r="G19" s="73">
        <f t="shared" si="9"/>
        <v>1983.6632017077052</v>
      </c>
      <c r="H19" s="73">
        <v>659.05</v>
      </c>
      <c r="I19" s="57">
        <f t="shared" si="4"/>
        <v>1324.6132017077052</v>
      </c>
      <c r="J19" s="57">
        <f>(80.309787+0.081671+12.554494+0.373455)*2.204622</f>
        <v>205.73401769915404</v>
      </c>
      <c r="K19" s="73">
        <f t="shared" si="5"/>
        <v>2189.3972194068592</v>
      </c>
      <c r="L19" s="73">
        <f>1662.782+356.085</f>
        <v>2018.867</v>
      </c>
    </row>
    <row r="20" spans="1:12" ht="14.25" x14ac:dyDescent="0.2">
      <c r="A20" s="39" t="s">
        <v>59</v>
      </c>
      <c r="B20" s="73">
        <f t="shared" si="10"/>
        <v>2018.867</v>
      </c>
      <c r="C20" s="57">
        <v>1811.481</v>
      </c>
      <c r="D20" s="73">
        <f>(0.478023+0+15.44509+0.0008)*2.204622</f>
        <v>35.106208925886001</v>
      </c>
      <c r="E20" s="73">
        <f t="shared" ref="E20" si="11">SUM(B20:D20)</f>
        <v>3865.4542089258862</v>
      </c>
      <c r="F20" s="73"/>
      <c r="G20" s="73">
        <f t="shared" si="9"/>
        <v>1755.6417846767504</v>
      </c>
      <c r="H20" s="73">
        <v>594.15</v>
      </c>
      <c r="I20" s="57">
        <f t="shared" si="4"/>
        <v>1161.4917846767503</v>
      </c>
      <c r="J20" s="57">
        <f>(33.517763+0.113445+9.280684+0.357396)*2.204622</f>
        <v>95.392424249136013</v>
      </c>
      <c r="K20" s="73">
        <f t="shared" si="5"/>
        <v>1851.0342089258863</v>
      </c>
      <c r="L20" s="73">
        <f>1595.273+419.147</f>
        <v>2014.4199999999998</v>
      </c>
    </row>
    <row r="21" spans="1:12" ht="14.25" x14ac:dyDescent="0.2">
      <c r="A21" s="39" t="s">
        <v>61</v>
      </c>
      <c r="B21" s="73">
        <f t="shared" ref="B21:B22" si="12">L20</f>
        <v>2014.4199999999998</v>
      </c>
      <c r="C21" s="57">
        <v>2090.1680000000001</v>
      </c>
      <c r="D21" s="73">
        <f>(0.864052+0+15.691172+0)*2.204622</f>
        <v>36.498011045327999</v>
      </c>
      <c r="E21" s="73">
        <f t="shared" ref="E21" si="13">SUM(B21:D21)</f>
        <v>4141.0860110453277</v>
      </c>
      <c r="F21" s="73"/>
      <c r="G21" s="73">
        <f t="shared" si="9"/>
        <v>1927.2665944961554</v>
      </c>
      <c r="H21" s="73">
        <v>708.5</v>
      </c>
      <c r="I21" s="57">
        <f t="shared" si="4"/>
        <v>1218.7665944961554</v>
      </c>
      <c r="J21" s="57">
        <f>(68.326636+0.060647+10.41124+0.271003)*2.204622</f>
        <v>174.31841654917196</v>
      </c>
      <c r="K21" s="73">
        <f t="shared" si="5"/>
        <v>2101.5850110453275</v>
      </c>
      <c r="L21" s="73">
        <f>1652.854+386.647</f>
        <v>2039.501</v>
      </c>
    </row>
    <row r="22" spans="1:12" ht="14.25" x14ac:dyDescent="0.2">
      <c r="A22" s="39" t="s">
        <v>62</v>
      </c>
      <c r="B22" s="73">
        <f t="shared" si="12"/>
        <v>2039.501</v>
      </c>
      <c r="C22" s="57">
        <v>2048.1669999999999</v>
      </c>
      <c r="D22" s="73">
        <f>(0.862494+0+14.121916+0)*2.204622</f>
        <v>33.034959943019999</v>
      </c>
      <c r="E22" s="73">
        <f t="shared" ref="E22:E23" si="14">SUM(B22:D22)</f>
        <v>4120.7029599430198</v>
      </c>
      <c r="F22" s="73"/>
      <c r="G22" s="73">
        <f t="shared" si="9"/>
        <v>2149.4900612605697</v>
      </c>
      <c r="H22" s="73">
        <v>701.14</v>
      </c>
      <c r="I22" s="57">
        <f t="shared" si="4"/>
        <v>1448.3500612605699</v>
      </c>
      <c r="J22" s="57">
        <f>(62.810085+0.176713+11.902338+0.219839)*2.204622</f>
        <v>165.58689868245</v>
      </c>
      <c r="K22" s="73">
        <f t="shared" si="5"/>
        <v>2315.0769599430196</v>
      </c>
      <c r="L22" s="73">
        <f>1439.116+366.51</f>
        <v>1805.626</v>
      </c>
    </row>
    <row r="23" spans="1:12" ht="14.25" x14ac:dyDescent="0.2">
      <c r="A23" s="39" t="s">
        <v>64</v>
      </c>
      <c r="B23" s="73">
        <f t="shared" ref="B23" si="15">L22</f>
        <v>1805.626</v>
      </c>
      <c r="C23" s="57">
        <v>1900.6679999999999</v>
      </c>
      <c r="D23" s="73">
        <f>(0.684189+0+10.72796+0)*2.204622</f>
        <v>25.159474752678001</v>
      </c>
      <c r="E23" s="73">
        <f t="shared" si="14"/>
        <v>3731.4534747526777</v>
      </c>
      <c r="F23" s="73"/>
      <c r="G23" s="73">
        <f t="shared" si="9"/>
        <v>1907.6662872888037</v>
      </c>
      <c r="H23" s="73">
        <v>598.79999999999995</v>
      </c>
      <c r="I23" s="57">
        <f t="shared" si="4"/>
        <v>1308.8662872888037</v>
      </c>
      <c r="J23" s="57">
        <f>(13.923865+0.096396+7.740426+0.22548)*2.204622</f>
        <v>48.471187463874003</v>
      </c>
      <c r="K23" s="73">
        <f t="shared" si="5"/>
        <v>1956.1374747526777</v>
      </c>
      <c r="L23" s="73">
        <f>1400.569+374.747</f>
        <v>1775.316</v>
      </c>
    </row>
    <row r="24" spans="1:12" ht="14.25" x14ac:dyDescent="0.2">
      <c r="A24" s="39" t="s">
        <v>3</v>
      </c>
      <c r="B24" s="73"/>
      <c r="C24" s="57">
        <f>SUM(C12:C23)</f>
        <v>24195.478000000006</v>
      </c>
      <c r="D24" s="166">
        <f>SUM(D12:D23)</f>
        <v>398.08249626894712</v>
      </c>
      <c r="E24" s="57">
        <f>B12+C24+D24</f>
        <v>26588.994496268955</v>
      </c>
      <c r="F24" s="73"/>
      <c r="G24" s="57">
        <f t="shared" ref="G24" si="16">SUM(G12:G22)</f>
        <v>20964.662188877432</v>
      </c>
      <c r="H24" s="73">
        <f t="shared" ref="H24:K24" si="17">SUM(H12:H23)</f>
        <v>7863.3000000000011</v>
      </c>
      <c r="I24" s="57">
        <f t="shared" si="17"/>
        <v>15009.028476166237</v>
      </c>
      <c r="J24" s="73">
        <f t="shared" si="17"/>
        <v>1941.35002010271</v>
      </c>
      <c r="K24" s="57">
        <f t="shared" si="17"/>
        <v>24813.678496268945</v>
      </c>
      <c r="L24" s="73"/>
    </row>
    <row r="25" spans="1:12" ht="14.25" x14ac:dyDescent="0.2">
      <c r="A25" s="39"/>
      <c r="B25" s="159"/>
      <c r="C25" s="57"/>
      <c r="D25" s="57"/>
      <c r="E25" s="57"/>
      <c r="F25" s="73"/>
      <c r="G25" s="57"/>
      <c r="H25" s="57"/>
      <c r="I25" s="57"/>
      <c r="J25" s="57"/>
      <c r="K25" s="57"/>
      <c r="L25" s="73"/>
    </row>
    <row r="26" spans="1:12" ht="14.25" x14ac:dyDescent="0.2">
      <c r="A26" s="36" t="s">
        <v>154</v>
      </c>
      <c r="B26" s="159"/>
      <c r="C26" s="57"/>
      <c r="D26" s="57"/>
      <c r="E26" s="57"/>
      <c r="F26" s="73"/>
      <c r="G26" s="57"/>
      <c r="H26" s="57"/>
      <c r="I26" s="57"/>
      <c r="J26" s="57"/>
      <c r="K26" s="57"/>
      <c r="L26" s="73"/>
    </row>
    <row r="27" spans="1:12" ht="14.25" x14ac:dyDescent="0.2">
      <c r="A27" s="39" t="s">
        <v>51</v>
      </c>
      <c r="B27" s="73">
        <f>L23</f>
        <v>1775.316</v>
      </c>
      <c r="C27" s="57">
        <v>2148.241</v>
      </c>
      <c r="D27" s="73">
        <f>(0.907773+0+12.844502+0.018812)*2.204622</f>
        <v>30.360041364114004</v>
      </c>
      <c r="E27" s="73">
        <f>SUM(B27:D27)</f>
        <v>3953.9170413641136</v>
      </c>
      <c r="F27" s="73"/>
      <c r="G27" s="73">
        <f>K27-J27</f>
        <v>1880.9452755953214</v>
      </c>
      <c r="H27" s="73">
        <v>557.52</v>
      </c>
      <c r="I27" s="57">
        <f t="shared" ref="I27:I28" si="18">G27-H27</f>
        <v>1323.4252755953214</v>
      </c>
      <c r="J27" s="57">
        <f>(101.93585+0.105555+12.233566+0.274265)*2.204622</f>
        <v>252.53776576879199</v>
      </c>
      <c r="K27" s="73">
        <f t="shared" ref="K27" si="19">E27-L27</f>
        <v>2133.4830413641134</v>
      </c>
      <c r="L27" s="73">
        <f>1471.573+348.861</f>
        <v>1820.4340000000002</v>
      </c>
    </row>
    <row r="28" spans="1:12" ht="14.25" x14ac:dyDescent="0.2">
      <c r="A28" s="39" t="s">
        <v>52</v>
      </c>
      <c r="B28" s="73">
        <f>L27</f>
        <v>1820.4340000000002</v>
      </c>
      <c r="C28" s="57">
        <v>1999.6479999999999</v>
      </c>
      <c r="D28" s="73">
        <f>(0.910947+0.102526+10.043143+0.035035)*2.204622</f>
        <v>24.452897810922003</v>
      </c>
      <c r="E28" s="73">
        <f>SUM(B28:D28)</f>
        <v>3844.5348978109223</v>
      </c>
      <c r="F28" s="73"/>
      <c r="G28" s="73">
        <f>K28-J28</f>
        <v>1716.8180470609043</v>
      </c>
      <c r="H28" s="73">
        <v>526.53</v>
      </c>
      <c r="I28" s="57">
        <f t="shared" si="18"/>
        <v>1190.2880470609043</v>
      </c>
      <c r="J28" s="57">
        <f>(93.464898+0.168085+18.337287+0.229849)*2.204622</f>
        <v>247.35885075001804</v>
      </c>
      <c r="K28" s="73">
        <f>E28-L28</f>
        <v>1964.1768978109224</v>
      </c>
      <c r="L28" s="73">
        <f>1522.923+357.435</f>
        <v>1880.3579999999999</v>
      </c>
    </row>
    <row r="29" spans="1:12" ht="14.25" x14ac:dyDescent="0.2">
      <c r="A29" s="39" t="s">
        <v>53</v>
      </c>
      <c r="B29" s="73">
        <f>L28</f>
        <v>1880.3579999999999</v>
      </c>
      <c r="C29" s="57">
        <v>2110.9360000000001</v>
      </c>
      <c r="D29" s="73">
        <f>(1.51487+0.111025+14.404446+0)*2.204622</f>
        <v>35.340842436102001</v>
      </c>
      <c r="E29" s="73">
        <f>SUM(B29:D29)</f>
        <v>4026.6348424361017</v>
      </c>
      <c r="F29" s="73"/>
      <c r="G29" s="73">
        <f>K29-J29</f>
        <v>1748.4117367872459</v>
      </c>
      <c r="H29" s="73" t="s">
        <v>10</v>
      </c>
      <c r="I29" s="73" t="s">
        <v>10</v>
      </c>
      <c r="J29" s="57">
        <f>(63.337525+0.026618+20.04504+0.169365)*2.204622</f>
        <v>184.25910564885601</v>
      </c>
      <c r="K29" s="73">
        <f>E29-L29</f>
        <v>1932.6708424361018</v>
      </c>
      <c r="L29" s="73">
        <f>1709.323+384.641</f>
        <v>2093.9639999999999</v>
      </c>
    </row>
    <row r="30" spans="1:12" ht="14.25" x14ac:dyDescent="0.2">
      <c r="A30" s="35" t="s">
        <v>150</v>
      </c>
      <c r="B30" s="129"/>
      <c r="C30" s="64">
        <f>SUM(C27:C29)</f>
        <v>6258.8250000000007</v>
      </c>
      <c r="D30" s="79">
        <f>SUM(D27:D29)</f>
        <v>90.153781611138015</v>
      </c>
      <c r="E30" s="64">
        <f t="shared" ref="E30" si="20">SUM(E27:E28)</f>
        <v>7798.4519391750364</v>
      </c>
      <c r="F30" s="64"/>
      <c r="G30" s="64">
        <f t="shared" ref="G30:K30" si="21">SUM(G27:G29)</f>
        <v>5346.1750594434716</v>
      </c>
      <c r="H30" s="79">
        <f t="shared" si="21"/>
        <v>1084.05</v>
      </c>
      <c r="I30" s="64">
        <f t="shared" si="21"/>
        <v>2513.7133226562255</v>
      </c>
      <c r="J30" s="64">
        <f t="shared" si="21"/>
        <v>684.155722167666</v>
      </c>
      <c r="K30" s="64">
        <f t="shared" si="21"/>
        <v>6030.3307816111374</v>
      </c>
      <c r="L30" s="79"/>
    </row>
    <row r="31" spans="1:12" ht="16.5" x14ac:dyDescent="0.2">
      <c r="A31" s="77" t="s">
        <v>191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ht="14.25" x14ac:dyDescent="0.2">
      <c r="A32" s="36" t="s">
        <v>115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4.25" x14ac:dyDescent="0.2">
      <c r="A33" s="40" t="s">
        <v>20</v>
      </c>
      <c r="B33" s="69">
        <f ca="1">NOW()</f>
        <v>43874.410704282411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:I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28515625" customWidth="1"/>
    <col min="4" max="4" width="12.2851562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35" t="s">
        <v>184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</row>
    <row r="2" spans="1:15" ht="14.25" x14ac:dyDescent="0.2">
      <c r="A2" s="36"/>
      <c r="B2" s="171" t="s">
        <v>0</v>
      </c>
      <c r="C2" s="171"/>
      <c r="D2" s="171"/>
      <c r="E2" s="171"/>
      <c r="F2" s="80"/>
      <c r="G2" s="171" t="s">
        <v>19</v>
      </c>
      <c r="H2" s="171"/>
      <c r="I2" s="171"/>
      <c r="J2" s="171"/>
      <c r="K2" s="80"/>
      <c r="L2" s="36"/>
      <c r="M2" s="36"/>
      <c r="N2" s="36"/>
      <c r="O2" s="36"/>
    </row>
    <row r="3" spans="1:15" ht="14.25" x14ac:dyDescent="0.2">
      <c r="A3" s="36" t="s">
        <v>76</v>
      </c>
      <c r="B3" s="40" t="s">
        <v>30</v>
      </c>
      <c r="C3" s="40"/>
      <c r="D3" s="40"/>
      <c r="E3" s="40"/>
      <c r="F3" s="81"/>
      <c r="G3" s="40"/>
      <c r="H3" s="40"/>
      <c r="I3" s="40"/>
      <c r="J3" s="40"/>
      <c r="K3" s="38" t="s">
        <v>28</v>
      </c>
      <c r="L3" s="36"/>
      <c r="M3" s="36"/>
      <c r="N3" s="36"/>
      <c r="O3" s="36"/>
    </row>
    <row r="4" spans="1:15" ht="14.25" x14ac:dyDescent="0.2">
      <c r="A4" s="41" t="s">
        <v>78</v>
      </c>
      <c r="B4" s="43" t="s">
        <v>47</v>
      </c>
      <c r="C4" s="82" t="s">
        <v>1</v>
      </c>
      <c r="D4" s="45" t="s">
        <v>31</v>
      </c>
      <c r="E4" s="43" t="s">
        <v>86</v>
      </c>
      <c r="F4" s="44"/>
      <c r="G4" s="43" t="s">
        <v>34</v>
      </c>
      <c r="H4" s="43" t="s">
        <v>4</v>
      </c>
      <c r="I4" s="43" t="s">
        <v>35</v>
      </c>
      <c r="J4" s="43" t="s">
        <v>32</v>
      </c>
      <c r="K4" s="43" t="s">
        <v>27</v>
      </c>
      <c r="L4" s="36"/>
      <c r="M4" s="36"/>
      <c r="N4" s="36"/>
      <c r="O4" s="36"/>
    </row>
    <row r="5" spans="1:15" ht="14.25" x14ac:dyDescent="0.2">
      <c r="A5" s="36"/>
      <c r="B5" s="172" t="s">
        <v>14</v>
      </c>
      <c r="C5" s="172"/>
      <c r="D5" s="172"/>
      <c r="E5" s="172"/>
      <c r="F5" s="172"/>
      <c r="G5" s="172"/>
      <c r="H5" s="172"/>
      <c r="I5" s="172"/>
      <c r="J5" s="172"/>
      <c r="K5" s="172"/>
      <c r="L5" s="36"/>
      <c r="M5" s="36"/>
      <c r="N5" s="36"/>
      <c r="O5" s="36"/>
    </row>
    <row r="6" spans="1:15" ht="14.25" x14ac:dyDescent="0.2">
      <c r="A6" s="36"/>
      <c r="B6" s="36"/>
      <c r="C6" s="36"/>
      <c r="D6" s="36"/>
      <c r="E6" s="36"/>
      <c r="F6" s="36"/>
      <c r="G6" s="78"/>
      <c r="H6" s="83"/>
      <c r="I6" s="78"/>
      <c r="J6" s="78"/>
      <c r="K6" s="36"/>
      <c r="L6" s="36"/>
      <c r="M6" s="36"/>
      <c r="N6" s="36"/>
      <c r="O6" s="36"/>
    </row>
    <row r="7" spans="1:15" ht="16.5" x14ac:dyDescent="0.2">
      <c r="A7" s="36" t="s">
        <v>126</v>
      </c>
      <c r="B7" s="84">
        <v>400</v>
      </c>
      <c r="C7" s="84">
        <v>6422</v>
      </c>
      <c r="D7" s="85">
        <v>0</v>
      </c>
      <c r="E7" s="84">
        <f>B7+C7+D7</f>
        <v>6822</v>
      </c>
      <c r="F7" s="51"/>
      <c r="G7" s="84">
        <v>1853.576</v>
      </c>
      <c r="H7" s="86">
        <v>478.09618</v>
      </c>
      <c r="I7" s="84">
        <f>J7-G7-H7</f>
        <v>4039.32782</v>
      </c>
      <c r="J7" s="84">
        <f>E7-K7</f>
        <v>6371</v>
      </c>
      <c r="K7" s="84">
        <v>451</v>
      </c>
      <c r="L7" s="36"/>
      <c r="M7" s="36"/>
      <c r="N7" s="36"/>
      <c r="O7" s="36"/>
    </row>
    <row r="8" spans="1:15" ht="16.5" x14ac:dyDescent="0.2">
      <c r="A8" s="36" t="s">
        <v>148</v>
      </c>
      <c r="B8" s="84">
        <f>K7</f>
        <v>451</v>
      </c>
      <c r="C8" s="84">
        <v>5631</v>
      </c>
      <c r="D8" s="85">
        <v>0.50413091273999999</v>
      </c>
      <c r="E8" s="84">
        <f>B8+C8+D8</f>
        <v>6082.50413091274</v>
      </c>
      <c r="F8" s="51"/>
      <c r="G8" s="84">
        <v>1760.4089999999999</v>
      </c>
      <c r="H8" s="86">
        <v>387.03680000000003</v>
      </c>
      <c r="I8" s="84">
        <f t="shared" ref="I8:I9" si="0">J8-G8-H8</f>
        <v>3458.0583309127405</v>
      </c>
      <c r="J8" s="84">
        <f t="shared" ref="J8:J9" si="1">E8-K8</f>
        <v>5605.50413091274</v>
      </c>
      <c r="K8" s="84">
        <v>477</v>
      </c>
      <c r="L8" s="36"/>
      <c r="M8" s="36"/>
      <c r="N8" s="36"/>
      <c r="O8" s="36"/>
    </row>
    <row r="9" spans="1:15" ht="16.5" x14ac:dyDescent="0.2">
      <c r="A9" s="35" t="s">
        <v>153</v>
      </c>
      <c r="B9" s="87">
        <f>K8</f>
        <v>477</v>
      </c>
      <c r="C9" s="87">
        <v>6232</v>
      </c>
      <c r="D9" s="88">
        <v>2</v>
      </c>
      <c r="E9" s="87">
        <f>B9+C9+D9</f>
        <v>6711</v>
      </c>
      <c r="F9" s="89"/>
      <c r="G9" s="87">
        <v>1775</v>
      </c>
      <c r="H9" s="90">
        <v>300</v>
      </c>
      <c r="I9" s="87">
        <f t="shared" si="0"/>
        <v>4190</v>
      </c>
      <c r="J9" s="87">
        <f t="shared" si="1"/>
        <v>6265</v>
      </c>
      <c r="K9" s="87">
        <v>446</v>
      </c>
      <c r="L9" s="36"/>
      <c r="M9" s="36"/>
      <c r="N9" s="36"/>
      <c r="O9" s="36"/>
    </row>
    <row r="10" spans="1:15" ht="16.5" x14ac:dyDescent="0.2">
      <c r="A10" s="77" t="s">
        <v>116</v>
      </c>
      <c r="B10" s="36"/>
      <c r="C10" s="51"/>
      <c r="D10" s="51"/>
      <c r="E10" s="51"/>
      <c r="F10" s="51"/>
      <c r="G10" s="51"/>
      <c r="H10" s="51"/>
      <c r="I10" s="51"/>
      <c r="J10" s="51"/>
      <c r="K10" s="36"/>
      <c r="L10" s="36"/>
      <c r="M10" s="36"/>
      <c r="N10" s="36"/>
      <c r="O10" s="36"/>
    </row>
    <row r="11" spans="1:15" ht="14.25" x14ac:dyDescent="0.2">
      <c r="A11" s="36" t="s">
        <v>117</v>
      </c>
      <c r="B11" s="52"/>
      <c r="C11" s="56"/>
      <c r="D11" s="36"/>
      <c r="E11" s="52"/>
      <c r="F11" s="52"/>
      <c r="G11" s="52"/>
      <c r="H11" s="52"/>
      <c r="I11" s="52"/>
      <c r="J11" s="52"/>
      <c r="K11" s="36"/>
      <c r="L11" s="36"/>
      <c r="M11" s="36"/>
      <c r="N11" s="36"/>
      <c r="O11" s="36"/>
    </row>
    <row r="12" spans="1:15" ht="14.25" x14ac:dyDescent="0.2">
      <c r="A12" s="36" t="s">
        <v>118</v>
      </c>
      <c r="B12" s="52"/>
      <c r="C12" s="56"/>
      <c r="D12" s="36"/>
      <c r="E12" s="52"/>
      <c r="F12" s="52"/>
      <c r="G12" s="52"/>
      <c r="H12" s="52"/>
      <c r="I12" s="52"/>
      <c r="J12" s="52"/>
      <c r="K12" s="36"/>
      <c r="L12" s="36"/>
      <c r="M12" s="36"/>
      <c r="N12" s="36"/>
      <c r="O12" s="36"/>
    </row>
    <row r="13" spans="1:15" ht="14.25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4.25" x14ac:dyDescent="0.2">
      <c r="A14" s="35" t="s">
        <v>185</v>
      </c>
      <c r="B14" s="35"/>
      <c r="C14" s="35"/>
      <c r="D14" s="35"/>
      <c r="E14" s="35"/>
      <c r="F14" s="35"/>
      <c r="G14" s="35"/>
      <c r="H14" s="35"/>
      <c r="I14" s="36"/>
      <c r="J14" s="35"/>
      <c r="K14" s="36"/>
      <c r="L14" s="36"/>
      <c r="M14" s="36"/>
      <c r="N14" s="36"/>
      <c r="O14" s="36"/>
    </row>
    <row r="15" spans="1:15" ht="14.25" x14ac:dyDescent="0.2">
      <c r="A15" s="36"/>
      <c r="B15" s="171" t="s">
        <v>0</v>
      </c>
      <c r="C15" s="171"/>
      <c r="D15" s="171"/>
      <c r="E15" s="171"/>
      <c r="F15" s="36"/>
      <c r="G15" s="171" t="s">
        <v>19</v>
      </c>
      <c r="H15" s="171"/>
      <c r="I15" s="171"/>
      <c r="J15" s="36"/>
      <c r="K15" s="36"/>
      <c r="L15" s="36"/>
      <c r="M15" s="36"/>
      <c r="N15" s="36"/>
      <c r="O15" s="36"/>
    </row>
    <row r="16" spans="1:15" ht="14.25" x14ac:dyDescent="0.2">
      <c r="A16" s="36" t="s">
        <v>76</v>
      </c>
      <c r="B16" s="38" t="s">
        <v>30</v>
      </c>
      <c r="C16" s="40"/>
      <c r="D16" s="40"/>
      <c r="E16" s="40"/>
      <c r="F16" s="40"/>
      <c r="G16" s="40"/>
      <c r="H16" s="40"/>
      <c r="I16" s="40"/>
      <c r="J16" s="38" t="s">
        <v>28</v>
      </c>
      <c r="K16" s="36"/>
      <c r="L16" s="36"/>
      <c r="M16" s="36"/>
      <c r="N16" s="36"/>
      <c r="O16" s="36"/>
    </row>
    <row r="17" spans="1:15" ht="14.25" x14ac:dyDescent="0.2">
      <c r="A17" s="41" t="s">
        <v>77</v>
      </c>
      <c r="B17" s="43" t="s">
        <v>27</v>
      </c>
      <c r="C17" s="82" t="s">
        <v>1</v>
      </c>
      <c r="D17" s="45" t="s">
        <v>31</v>
      </c>
      <c r="E17" s="43" t="s">
        <v>32</v>
      </c>
      <c r="F17" s="44"/>
      <c r="G17" s="91" t="s">
        <v>9</v>
      </c>
      <c r="H17" s="43" t="s">
        <v>4</v>
      </c>
      <c r="I17" s="45" t="s">
        <v>26</v>
      </c>
      <c r="J17" s="43" t="s">
        <v>27</v>
      </c>
      <c r="K17" s="36"/>
      <c r="L17" s="36"/>
      <c r="M17" s="36"/>
      <c r="N17" s="36"/>
      <c r="O17" s="36"/>
    </row>
    <row r="18" spans="1:15" ht="14.25" x14ac:dyDescent="0.2">
      <c r="A18" s="36"/>
      <c r="B18" s="172" t="s">
        <v>15</v>
      </c>
      <c r="C18" s="172"/>
      <c r="D18" s="172"/>
      <c r="E18" s="172"/>
      <c r="F18" s="172"/>
      <c r="G18" s="172"/>
      <c r="H18" s="172"/>
      <c r="I18" s="172"/>
      <c r="J18" s="172"/>
      <c r="K18" s="36"/>
      <c r="L18" s="36"/>
      <c r="M18" s="36"/>
      <c r="N18" s="36"/>
      <c r="O18" s="36"/>
    </row>
    <row r="19" spans="1:15" ht="14.25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6.5" x14ac:dyDescent="0.2">
      <c r="A20" s="36" t="s">
        <v>126</v>
      </c>
      <c r="B20" s="84">
        <v>27.736000000000001</v>
      </c>
      <c r="C20" s="86">
        <v>845</v>
      </c>
      <c r="D20" s="85">
        <v>0</v>
      </c>
      <c r="E20" s="86">
        <f t="shared" ref="E20:E22" si="2">B20+C20+D20</f>
        <v>872.73599999999999</v>
      </c>
      <c r="F20" s="36"/>
      <c r="G20" s="86">
        <f>I20-H20</f>
        <v>708.28489999999999</v>
      </c>
      <c r="H20" s="86">
        <v>119.4511</v>
      </c>
      <c r="I20" s="86">
        <f>E20-J20</f>
        <v>827.73599999999999</v>
      </c>
      <c r="J20" s="84">
        <v>45</v>
      </c>
      <c r="K20" s="36"/>
      <c r="L20" s="36"/>
      <c r="M20" s="36"/>
      <c r="N20" s="36"/>
      <c r="O20" s="36"/>
    </row>
    <row r="21" spans="1:15" ht="16.5" x14ac:dyDescent="0.2">
      <c r="A21" s="36" t="s">
        <v>148</v>
      </c>
      <c r="B21" s="84">
        <f>J20</f>
        <v>45</v>
      </c>
      <c r="C21" s="86">
        <v>747.56499999999983</v>
      </c>
      <c r="D21" s="85">
        <v>0</v>
      </c>
      <c r="E21" s="86">
        <f t="shared" si="2"/>
        <v>792.56499999999983</v>
      </c>
      <c r="F21" s="36"/>
      <c r="G21" s="86">
        <f>I21-H21</f>
        <v>635.74568479057484</v>
      </c>
      <c r="H21" s="86">
        <v>113.81931520942503</v>
      </c>
      <c r="I21" s="86">
        <f t="shared" ref="I21:I22" si="3">E21-J21</f>
        <v>749.56499999999983</v>
      </c>
      <c r="J21" s="84">
        <v>43</v>
      </c>
      <c r="K21" s="36"/>
      <c r="L21" s="36"/>
      <c r="M21" s="36"/>
      <c r="N21" s="36"/>
      <c r="O21" s="36"/>
    </row>
    <row r="22" spans="1:15" ht="16.5" x14ac:dyDescent="0.2">
      <c r="A22" s="35" t="s">
        <v>153</v>
      </c>
      <c r="B22" s="87">
        <f>J21</f>
        <v>43</v>
      </c>
      <c r="C22" s="90">
        <v>800</v>
      </c>
      <c r="D22" s="88">
        <v>0</v>
      </c>
      <c r="E22" s="90">
        <f t="shared" si="2"/>
        <v>843</v>
      </c>
      <c r="F22" s="89"/>
      <c r="G22" s="90">
        <f>I22-H22</f>
        <v>668</v>
      </c>
      <c r="H22" s="90">
        <v>130</v>
      </c>
      <c r="I22" s="90">
        <f t="shared" si="3"/>
        <v>798</v>
      </c>
      <c r="J22" s="87">
        <v>45</v>
      </c>
      <c r="K22" s="36"/>
      <c r="L22" s="36"/>
      <c r="M22" s="36"/>
      <c r="N22" s="36"/>
      <c r="O22" s="36"/>
    </row>
    <row r="23" spans="1:15" ht="16.5" x14ac:dyDescent="0.2">
      <c r="A23" s="77" t="s">
        <v>116</v>
      </c>
      <c r="B23" s="36"/>
      <c r="C23" s="51"/>
      <c r="D23" s="51"/>
      <c r="E23" s="51"/>
      <c r="F23" s="51"/>
      <c r="G23" s="51"/>
      <c r="H23" s="51"/>
      <c r="I23" s="36"/>
      <c r="J23" s="36"/>
      <c r="K23" s="36"/>
      <c r="L23" s="36"/>
      <c r="M23" s="36"/>
      <c r="N23" s="36"/>
      <c r="O23" s="36"/>
    </row>
    <row r="24" spans="1:15" ht="14.25" x14ac:dyDescent="0.2">
      <c r="A24" s="36" t="s">
        <v>192</v>
      </c>
      <c r="B24" s="92"/>
      <c r="C24" s="92"/>
      <c r="D24" s="92"/>
      <c r="E24" s="92"/>
      <c r="F24" s="92"/>
      <c r="G24" s="92"/>
      <c r="H24" s="92"/>
      <c r="I24" s="36"/>
      <c r="J24" s="36"/>
      <c r="K24" s="36"/>
      <c r="L24" s="36"/>
      <c r="M24" s="36"/>
      <c r="N24" s="36"/>
      <c r="O24" s="36"/>
    </row>
    <row r="25" spans="1:15" ht="14.25" x14ac:dyDescent="0.2">
      <c r="A25" s="39"/>
      <c r="B25" s="52"/>
      <c r="C25" s="52"/>
      <c r="D25" s="52"/>
      <c r="E25" s="52"/>
      <c r="F25" s="52"/>
      <c r="G25" s="52"/>
      <c r="H25" s="52"/>
      <c r="I25" s="36"/>
      <c r="J25" s="36"/>
      <c r="K25" s="36"/>
      <c r="L25" s="36"/>
      <c r="M25" s="36"/>
      <c r="N25" s="36"/>
      <c r="O25" s="36"/>
    </row>
    <row r="26" spans="1:15" ht="14.25" x14ac:dyDescent="0.2">
      <c r="A26" s="39"/>
      <c r="B26" s="52"/>
      <c r="C26" s="56"/>
      <c r="D26" s="52"/>
      <c r="E26" s="52"/>
      <c r="F26" s="52"/>
      <c r="G26" s="52"/>
      <c r="H26" s="52"/>
      <c r="I26" s="36"/>
      <c r="J26" s="36"/>
      <c r="K26" s="36"/>
      <c r="L26" s="36"/>
      <c r="M26" s="36"/>
      <c r="N26" s="36"/>
      <c r="O26" s="36"/>
    </row>
    <row r="27" spans="1:15" ht="14.25" x14ac:dyDescent="0.2">
      <c r="A27" s="35" t="s">
        <v>186</v>
      </c>
      <c r="B27" s="35"/>
      <c r="C27" s="35"/>
      <c r="D27" s="35"/>
      <c r="E27" s="35"/>
      <c r="F27" s="35"/>
      <c r="G27" s="35"/>
      <c r="H27" s="35"/>
      <c r="I27" s="36"/>
      <c r="J27" s="35"/>
      <c r="K27" s="36"/>
      <c r="L27" s="36"/>
      <c r="M27" s="36"/>
      <c r="N27" s="36"/>
      <c r="O27" s="36"/>
    </row>
    <row r="28" spans="1:15" ht="14.25" x14ac:dyDescent="0.2">
      <c r="A28" s="36"/>
      <c r="B28" s="171" t="s">
        <v>0</v>
      </c>
      <c r="C28" s="171"/>
      <c r="D28" s="171"/>
      <c r="E28" s="171"/>
      <c r="F28" s="36"/>
      <c r="G28" s="171" t="s">
        <v>19</v>
      </c>
      <c r="H28" s="171"/>
      <c r="I28" s="171"/>
      <c r="J28" s="36"/>
      <c r="K28" s="36"/>
      <c r="L28" s="36"/>
      <c r="M28" s="36"/>
      <c r="N28" s="36"/>
      <c r="O28" s="36"/>
    </row>
    <row r="29" spans="1:15" ht="14.25" x14ac:dyDescent="0.2">
      <c r="A29" s="36" t="s">
        <v>76</v>
      </c>
      <c r="B29" s="38" t="s">
        <v>30</v>
      </c>
      <c r="C29" s="40"/>
      <c r="D29" s="40"/>
      <c r="E29" s="40"/>
      <c r="F29" s="40"/>
      <c r="G29" s="40"/>
      <c r="H29" s="40"/>
      <c r="I29" s="40"/>
      <c r="J29" s="38" t="s">
        <v>28</v>
      </c>
      <c r="K29" s="36"/>
      <c r="L29" s="36"/>
      <c r="M29" s="36"/>
      <c r="N29" s="36"/>
      <c r="O29" s="36"/>
    </row>
    <row r="30" spans="1:15" ht="14.25" x14ac:dyDescent="0.2">
      <c r="A30" s="41" t="s">
        <v>77</v>
      </c>
      <c r="B30" s="43" t="s">
        <v>27</v>
      </c>
      <c r="C30" s="43" t="s">
        <v>1</v>
      </c>
      <c r="D30" s="45" t="s">
        <v>31</v>
      </c>
      <c r="E30" s="43" t="s">
        <v>32</v>
      </c>
      <c r="F30" s="44"/>
      <c r="G30" s="43" t="s">
        <v>29</v>
      </c>
      <c r="H30" s="43" t="s">
        <v>4</v>
      </c>
      <c r="I30" s="43" t="s">
        <v>26</v>
      </c>
      <c r="J30" s="43" t="s">
        <v>87</v>
      </c>
      <c r="K30" s="36"/>
      <c r="L30" s="36"/>
      <c r="M30" s="36"/>
      <c r="N30" s="36"/>
      <c r="O30" s="36"/>
    </row>
    <row r="31" spans="1:15" ht="14.25" x14ac:dyDescent="0.2">
      <c r="A31" s="36"/>
      <c r="B31" s="172" t="s">
        <v>16</v>
      </c>
      <c r="C31" s="172"/>
      <c r="D31" s="172"/>
      <c r="E31" s="172"/>
      <c r="F31" s="172"/>
      <c r="G31" s="172"/>
      <c r="H31" s="172"/>
      <c r="I31" s="172"/>
      <c r="J31" s="172"/>
      <c r="K31" s="36"/>
      <c r="L31" s="36"/>
      <c r="M31" s="36"/>
      <c r="N31" s="36"/>
      <c r="O31" s="36"/>
    </row>
    <row r="32" spans="1:15" ht="14.25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16.5" x14ac:dyDescent="0.2">
      <c r="A33" s="36" t="s">
        <v>126</v>
      </c>
      <c r="B33" s="85">
        <v>44.128999999999998</v>
      </c>
      <c r="C33" s="86">
        <v>561</v>
      </c>
      <c r="D33" s="85">
        <v>0.16077900000000001</v>
      </c>
      <c r="E33" s="93">
        <f t="shared" ref="E33:E35" si="4">B33+C33+D33</f>
        <v>605.28977900000007</v>
      </c>
      <c r="F33" s="36"/>
      <c r="G33" s="86">
        <f>I33-H33</f>
        <v>474.27177900000004</v>
      </c>
      <c r="H33" s="86">
        <v>99.018000000000001</v>
      </c>
      <c r="I33" s="86">
        <f t="shared" ref="I33:I35" si="5">E33-J33</f>
        <v>573.28977900000007</v>
      </c>
      <c r="J33" s="94">
        <v>32</v>
      </c>
      <c r="K33" s="36"/>
      <c r="L33" s="36"/>
      <c r="M33" s="36"/>
      <c r="N33" s="36"/>
      <c r="O33" s="36"/>
    </row>
    <row r="34" spans="1:15" ht="16.5" x14ac:dyDescent="0.2">
      <c r="A34" s="36" t="s">
        <v>148</v>
      </c>
      <c r="B34" s="85">
        <f>J33</f>
        <v>32</v>
      </c>
      <c r="C34" s="86">
        <v>455.77300000000002</v>
      </c>
      <c r="D34" s="85">
        <v>4.2840214704000006E-2</v>
      </c>
      <c r="E34" s="93">
        <f t="shared" si="4"/>
        <v>487.815840214704</v>
      </c>
      <c r="F34" s="36"/>
      <c r="G34" s="86">
        <f t="shared" ref="G34:G35" si="6">I34-H34</f>
        <v>365.13144403799004</v>
      </c>
      <c r="H34" s="86">
        <v>87.643396176713992</v>
      </c>
      <c r="I34" s="86">
        <f t="shared" si="5"/>
        <v>452.774840214704</v>
      </c>
      <c r="J34" s="94">
        <v>35.040999999999997</v>
      </c>
      <c r="K34" s="36"/>
      <c r="L34" s="36"/>
      <c r="M34" s="36"/>
      <c r="N34" s="36"/>
      <c r="O34" s="36"/>
    </row>
    <row r="35" spans="1:15" ht="16.5" x14ac:dyDescent="0.2">
      <c r="A35" s="35" t="s">
        <v>153</v>
      </c>
      <c r="B35" s="88">
        <f>J34</f>
        <v>35.040999999999997</v>
      </c>
      <c r="C35" s="90">
        <v>515</v>
      </c>
      <c r="D35" s="88">
        <v>0</v>
      </c>
      <c r="E35" s="95">
        <f t="shared" si="4"/>
        <v>550.04099999999994</v>
      </c>
      <c r="F35" s="89"/>
      <c r="G35" s="90">
        <f t="shared" si="6"/>
        <v>395.04099999999994</v>
      </c>
      <c r="H35" s="90">
        <v>110</v>
      </c>
      <c r="I35" s="90">
        <f t="shared" si="5"/>
        <v>505.04099999999994</v>
      </c>
      <c r="J35" s="90">
        <v>45</v>
      </c>
      <c r="K35" s="36"/>
      <c r="L35" s="36"/>
      <c r="M35" s="36"/>
      <c r="N35" s="36"/>
      <c r="O35" s="36"/>
    </row>
    <row r="36" spans="1:15" ht="16.5" x14ac:dyDescent="0.2">
      <c r="A36" s="77" t="s">
        <v>116</v>
      </c>
      <c r="B36" s="36"/>
      <c r="C36" s="51"/>
      <c r="D36" s="51"/>
      <c r="E36" s="51"/>
      <c r="F36" s="51"/>
      <c r="G36" s="51"/>
      <c r="H36" s="51"/>
      <c r="I36" s="36"/>
      <c r="J36" s="36"/>
      <c r="K36" s="36"/>
      <c r="L36" s="36"/>
      <c r="M36" s="36"/>
      <c r="N36" s="36"/>
      <c r="O36" s="36"/>
    </row>
    <row r="37" spans="1:15" ht="14.25" x14ac:dyDescent="0.2">
      <c r="A37" s="36" t="s">
        <v>192</v>
      </c>
      <c r="B37" s="52"/>
      <c r="C37" s="56"/>
      <c r="D37" s="52"/>
      <c r="E37" s="52"/>
      <c r="F37" s="52"/>
      <c r="G37" s="52"/>
      <c r="H37" s="52"/>
      <c r="I37" s="36"/>
      <c r="J37" s="36"/>
      <c r="K37" s="36"/>
      <c r="L37" s="36"/>
      <c r="M37" s="36"/>
      <c r="N37" s="36"/>
      <c r="O37" s="36"/>
    </row>
    <row r="38" spans="1:15" ht="14.25" x14ac:dyDescent="0.2">
      <c r="A38" s="39"/>
      <c r="B38" s="39"/>
      <c r="C38" s="39"/>
      <c r="D38" s="39"/>
      <c r="E38" s="39"/>
      <c r="F38" s="39"/>
      <c r="G38" s="39"/>
      <c r="H38" s="39"/>
      <c r="I38" s="36"/>
      <c r="J38" s="36"/>
      <c r="K38" s="36"/>
      <c r="L38" s="36"/>
      <c r="M38" s="36"/>
      <c r="N38" s="36"/>
      <c r="O38" s="36"/>
    </row>
    <row r="39" spans="1:15" ht="14.25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14.25" x14ac:dyDescent="0.2">
      <c r="A40" s="35" t="s">
        <v>187</v>
      </c>
      <c r="B40" s="35"/>
      <c r="C40" s="35"/>
      <c r="D40" s="35"/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5"/>
    </row>
    <row r="41" spans="1:15" ht="14.25" x14ac:dyDescent="0.2">
      <c r="A41" s="36"/>
      <c r="B41" s="171" t="s">
        <v>21</v>
      </c>
      <c r="C41" s="171"/>
      <c r="D41" s="38" t="s">
        <v>24</v>
      </c>
      <c r="E41" s="171" t="s">
        <v>83</v>
      </c>
      <c r="F41" s="171"/>
      <c r="G41" s="171"/>
      <c r="H41" s="171"/>
      <c r="I41" s="36"/>
      <c r="J41" s="171" t="s">
        <v>19</v>
      </c>
      <c r="K41" s="171"/>
      <c r="L41" s="171"/>
      <c r="M41" s="171"/>
      <c r="N41" s="171"/>
      <c r="O41" s="36"/>
    </row>
    <row r="42" spans="1:15" ht="14.25" x14ac:dyDescent="0.2">
      <c r="A42" s="36" t="s">
        <v>76</v>
      </c>
      <c r="B42" s="38" t="s">
        <v>22</v>
      </c>
      <c r="C42" s="38" t="s">
        <v>23</v>
      </c>
      <c r="D42" s="36"/>
      <c r="E42" s="38" t="s">
        <v>30</v>
      </c>
      <c r="F42" s="38"/>
      <c r="G42" s="38"/>
      <c r="H42" s="38"/>
      <c r="I42" s="36"/>
      <c r="J42" s="169" t="s">
        <v>9</v>
      </c>
      <c r="K42" s="38"/>
      <c r="L42" s="38" t="s">
        <v>90</v>
      </c>
      <c r="M42" s="38"/>
      <c r="N42" s="38"/>
      <c r="O42" s="38" t="s">
        <v>28</v>
      </c>
    </row>
    <row r="43" spans="1:15" ht="14.25" x14ac:dyDescent="0.2">
      <c r="A43" s="41" t="s">
        <v>78</v>
      </c>
      <c r="B43" s="42"/>
      <c r="C43" s="42"/>
      <c r="D43" s="42"/>
      <c r="E43" s="43" t="s">
        <v>27</v>
      </c>
      <c r="F43" s="43" t="s">
        <v>1</v>
      </c>
      <c r="G43" s="43" t="s">
        <v>31</v>
      </c>
      <c r="H43" s="43" t="s">
        <v>32</v>
      </c>
      <c r="I43" s="43"/>
      <c r="J43" s="43" t="s">
        <v>36</v>
      </c>
      <c r="K43" s="43" t="s">
        <v>34</v>
      </c>
      <c r="L43" s="43" t="s">
        <v>5</v>
      </c>
      <c r="M43" s="45" t="s">
        <v>4</v>
      </c>
      <c r="N43" s="43" t="s">
        <v>26</v>
      </c>
      <c r="O43" s="43" t="s">
        <v>87</v>
      </c>
    </row>
    <row r="44" spans="1:15" ht="14.25" x14ac:dyDescent="0.2">
      <c r="A44" s="36"/>
      <c r="B44" s="173" t="s">
        <v>85</v>
      </c>
      <c r="C44" s="172"/>
      <c r="D44" s="96" t="s">
        <v>71</v>
      </c>
      <c r="E44" s="172" t="s">
        <v>17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2"/>
    </row>
    <row r="45" spans="1:15" ht="14.25" x14ac:dyDescent="0.2">
      <c r="A45" s="36"/>
      <c r="B45" s="38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ht="16.5" x14ac:dyDescent="0.2">
      <c r="A46" s="36" t="s">
        <v>126</v>
      </c>
      <c r="B46" s="84">
        <v>1871.6</v>
      </c>
      <c r="C46" s="84">
        <v>1775.6</v>
      </c>
      <c r="D46" s="84">
        <f>F46*1000/C46</f>
        <v>4007.3271006983555</v>
      </c>
      <c r="E46" s="84">
        <v>1441.5920000000001</v>
      </c>
      <c r="F46" s="84">
        <v>7115.41</v>
      </c>
      <c r="G46" s="94">
        <v>171.48</v>
      </c>
      <c r="H46" s="84">
        <f>SUM(E46:G46)</f>
        <v>8728.482</v>
      </c>
      <c r="I46" s="84"/>
      <c r="J46" s="84">
        <v>3148.9827068371601</v>
      </c>
      <c r="K46" s="84">
        <f>1.333*528.75</f>
        <v>704.82375000000002</v>
      </c>
      <c r="L46" s="86">
        <f>N46-J46-K46-M46</f>
        <v>886.59554316283993</v>
      </c>
      <c r="M46" s="94">
        <v>1271</v>
      </c>
      <c r="N46" s="84">
        <f>H46-O46</f>
        <v>6011.402</v>
      </c>
      <c r="O46" s="84">
        <v>2717.08</v>
      </c>
    </row>
    <row r="47" spans="1:15" ht="16.5" x14ac:dyDescent="0.2">
      <c r="A47" s="36" t="s">
        <v>148</v>
      </c>
      <c r="B47" s="84">
        <v>1425.5</v>
      </c>
      <c r="C47" s="84">
        <v>1373.5</v>
      </c>
      <c r="D47" s="84">
        <f>F47*1000/C47</f>
        <v>4001.4088096104842</v>
      </c>
      <c r="E47" s="84">
        <f>O46</f>
        <v>2717.08</v>
      </c>
      <c r="F47" s="84">
        <v>5495.9350000000004</v>
      </c>
      <c r="G47" s="94">
        <v>117</v>
      </c>
      <c r="H47" s="84">
        <f t="shared" ref="H47:H48" si="7">SUM(E47:G47)</f>
        <v>8330.0149999999994</v>
      </c>
      <c r="I47" s="84"/>
      <c r="J47" s="84">
        <v>3099</v>
      </c>
      <c r="K47" s="84">
        <f>1.333*486.398</f>
        <v>648.36853400000007</v>
      </c>
      <c r="L47" s="86">
        <f>N47-J47-K47-M47</f>
        <v>963.55646599999909</v>
      </c>
      <c r="M47" s="86">
        <v>1198</v>
      </c>
      <c r="N47" s="84">
        <f t="shared" ref="N47:N48" si="8">H47-O47</f>
        <v>5908.9249999999993</v>
      </c>
      <c r="O47" s="84">
        <v>2421.09</v>
      </c>
    </row>
    <row r="48" spans="1:15" ht="16.5" x14ac:dyDescent="0.2">
      <c r="A48" s="35" t="s">
        <v>153</v>
      </c>
      <c r="B48" s="87">
        <v>1427.7</v>
      </c>
      <c r="C48" s="87">
        <v>1391.7</v>
      </c>
      <c r="D48" s="87">
        <f>F48*1000/C48</f>
        <v>3949.189480491485</v>
      </c>
      <c r="E48" s="87">
        <f>O47</f>
        <v>2421.09</v>
      </c>
      <c r="F48" s="87">
        <v>5496.0870000000004</v>
      </c>
      <c r="G48" s="90">
        <v>115</v>
      </c>
      <c r="H48" s="87">
        <f t="shared" si="7"/>
        <v>8032.1770000000006</v>
      </c>
      <c r="I48" s="87"/>
      <c r="J48" s="87">
        <v>3158</v>
      </c>
      <c r="K48" s="87">
        <v>730</v>
      </c>
      <c r="L48" s="90">
        <f>N48-J48-K48-M48</f>
        <v>779.17700000000059</v>
      </c>
      <c r="M48" s="90">
        <v>1325</v>
      </c>
      <c r="N48" s="87">
        <f t="shared" si="8"/>
        <v>5992.1770000000006</v>
      </c>
      <c r="O48" s="87">
        <v>2040</v>
      </c>
    </row>
    <row r="49" spans="1:15" ht="16.5" x14ac:dyDescent="0.2">
      <c r="A49" s="77" t="s">
        <v>116</v>
      </c>
      <c r="B49" s="36"/>
      <c r="C49" s="51"/>
      <c r="D49" s="51"/>
      <c r="E49" s="51"/>
      <c r="F49" s="51"/>
      <c r="G49" s="51"/>
      <c r="H49" s="51"/>
      <c r="I49" s="36"/>
      <c r="J49" s="36"/>
      <c r="K49" s="36"/>
      <c r="L49" s="36"/>
      <c r="M49" s="36"/>
      <c r="N49" s="36"/>
      <c r="O49" s="36"/>
    </row>
    <row r="50" spans="1:15" ht="14.25" x14ac:dyDescent="0.2">
      <c r="A50" s="36" t="s">
        <v>119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ht="14.25" x14ac:dyDescent="0.2">
      <c r="A51" s="36" t="s">
        <v>118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ht="14.25" x14ac:dyDescent="0.2">
      <c r="A52" s="40" t="s">
        <v>20</v>
      </c>
      <c r="B52" s="170">
        <f ca="1">NOW()</f>
        <v>43874.410704166665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0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35" t="s">
        <v>45</v>
      </c>
      <c r="B1" s="35"/>
      <c r="C1" s="35"/>
      <c r="D1" s="35"/>
      <c r="E1" s="35"/>
      <c r="F1" s="35"/>
      <c r="G1" s="35"/>
      <c r="H1" s="1"/>
      <c r="I1" s="1"/>
      <c r="J1" s="1"/>
      <c r="K1" s="1"/>
    </row>
    <row r="2" spans="1:11" ht="15.6" customHeight="1" x14ac:dyDescent="0.2">
      <c r="A2" s="39" t="s">
        <v>11</v>
      </c>
      <c r="B2" s="78" t="s">
        <v>120</v>
      </c>
      <c r="C2" s="78" t="s">
        <v>121</v>
      </c>
      <c r="D2" s="78" t="s">
        <v>122</v>
      </c>
      <c r="E2" s="78" t="s">
        <v>123</v>
      </c>
      <c r="F2" s="78" t="s">
        <v>124</v>
      </c>
      <c r="G2" s="78" t="s">
        <v>125</v>
      </c>
      <c r="H2" s="1"/>
      <c r="I2" s="1"/>
      <c r="J2" s="1"/>
      <c r="K2" s="1"/>
    </row>
    <row r="3" spans="1:11" ht="15.6" customHeight="1" x14ac:dyDescent="0.2">
      <c r="A3" s="35" t="s">
        <v>12</v>
      </c>
      <c r="B3" s="44"/>
      <c r="C3" s="97"/>
      <c r="D3" s="97"/>
      <c r="E3" s="97"/>
      <c r="F3" s="97"/>
      <c r="G3" s="97"/>
      <c r="H3" s="1"/>
      <c r="I3" s="1"/>
      <c r="J3" s="1"/>
      <c r="K3" s="2"/>
    </row>
    <row r="4" spans="1:11" ht="14.25" x14ac:dyDescent="0.2">
      <c r="A4" s="98"/>
      <c r="B4" s="99" t="s">
        <v>69</v>
      </c>
      <c r="C4" s="99" t="s">
        <v>79</v>
      </c>
      <c r="D4" s="99" t="s">
        <v>96</v>
      </c>
      <c r="E4" s="99" t="s">
        <v>44</v>
      </c>
      <c r="F4" s="99" t="s">
        <v>68</v>
      </c>
      <c r="G4" s="99" t="s">
        <v>69</v>
      </c>
      <c r="H4" s="1"/>
      <c r="I4" s="2"/>
      <c r="J4" s="2"/>
      <c r="K4" s="2"/>
    </row>
    <row r="5" spans="1:11" ht="14.25" x14ac:dyDescent="0.2">
      <c r="A5" s="36"/>
      <c r="B5" s="36"/>
      <c r="C5" s="36"/>
      <c r="D5" s="38"/>
      <c r="E5" s="36"/>
      <c r="F5" s="36"/>
      <c r="G5" s="36"/>
      <c r="H5" s="1"/>
      <c r="I5" s="1"/>
      <c r="J5" s="1"/>
      <c r="K5" s="1"/>
    </row>
    <row r="6" spans="1:11" ht="14.25" x14ac:dyDescent="0.2">
      <c r="A6" s="36" t="s">
        <v>48</v>
      </c>
      <c r="B6" s="100">
        <v>9.59</v>
      </c>
      <c r="C6" s="100">
        <v>158</v>
      </c>
      <c r="D6" s="100">
        <v>15.1</v>
      </c>
      <c r="E6" s="100">
        <v>16.2</v>
      </c>
      <c r="F6" s="100">
        <v>21.7</v>
      </c>
      <c r="G6" s="100">
        <v>8.15</v>
      </c>
      <c r="H6" s="1"/>
      <c r="I6" s="3"/>
      <c r="J6" s="3"/>
      <c r="K6" s="3"/>
    </row>
    <row r="7" spans="1:11" ht="14.25" x14ac:dyDescent="0.2">
      <c r="A7" s="36" t="s">
        <v>49</v>
      </c>
      <c r="B7" s="100">
        <v>11.3</v>
      </c>
      <c r="C7" s="100">
        <v>161</v>
      </c>
      <c r="D7" s="100">
        <v>23.3</v>
      </c>
      <c r="E7" s="100">
        <v>19.3</v>
      </c>
      <c r="F7" s="100">
        <v>22.5</v>
      </c>
      <c r="G7" s="100">
        <v>12.2</v>
      </c>
      <c r="H7" s="1"/>
      <c r="I7" s="3"/>
      <c r="J7" s="3"/>
      <c r="K7" s="3"/>
    </row>
    <row r="8" spans="1:11" ht="14.25" x14ac:dyDescent="0.2">
      <c r="A8" s="36" t="s">
        <v>60</v>
      </c>
      <c r="B8" s="100">
        <v>12.5</v>
      </c>
      <c r="C8" s="100">
        <v>260</v>
      </c>
      <c r="D8" s="100">
        <v>29.1</v>
      </c>
      <c r="E8" s="100">
        <v>24</v>
      </c>
      <c r="F8" s="100">
        <v>31.8</v>
      </c>
      <c r="G8" s="100">
        <v>13.9</v>
      </c>
      <c r="H8" s="1"/>
      <c r="I8" s="3"/>
      <c r="J8" s="3"/>
      <c r="K8" s="3"/>
    </row>
    <row r="9" spans="1:11" ht="14.25" x14ac:dyDescent="0.2">
      <c r="A9" s="36" t="s">
        <v>82</v>
      </c>
      <c r="B9" s="100">
        <v>14.4</v>
      </c>
      <c r="C9" s="100">
        <v>252</v>
      </c>
      <c r="D9" s="100">
        <v>25.4</v>
      </c>
      <c r="E9" s="100">
        <v>26.5</v>
      </c>
      <c r="F9" s="100">
        <v>30.1</v>
      </c>
      <c r="G9" s="100">
        <v>13.8</v>
      </c>
      <c r="H9" s="1"/>
      <c r="I9" s="3"/>
      <c r="J9" s="3"/>
      <c r="K9" s="3"/>
    </row>
    <row r="10" spans="1:11" ht="14.25" x14ac:dyDescent="0.2">
      <c r="A10" s="36" t="s">
        <v>89</v>
      </c>
      <c r="B10" s="100">
        <v>13</v>
      </c>
      <c r="C10" s="100">
        <v>246</v>
      </c>
      <c r="D10" s="100">
        <v>21.4</v>
      </c>
      <c r="E10" s="100">
        <v>20.6</v>
      </c>
      <c r="F10" s="100">
        <v>24.9</v>
      </c>
      <c r="G10" s="100">
        <v>13.8</v>
      </c>
      <c r="H10" s="1"/>
      <c r="I10" s="3"/>
      <c r="J10" s="3"/>
      <c r="K10" s="3"/>
    </row>
    <row r="11" spans="1:11" ht="14.25" x14ac:dyDescent="0.2">
      <c r="A11" s="36" t="s">
        <v>92</v>
      </c>
      <c r="B11" s="100">
        <v>10.1</v>
      </c>
      <c r="C11" s="100">
        <v>194</v>
      </c>
      <c r="D11" s="100">
        <v>21.7</v>
      </c>
      <c r="E11" s="100">
        <v>16.899999999999999</v>
      </c>
      <c r="F11" s="100">
        <v>22</v>
      </c>
      <c r="G11" s="100">
        <v>11.8</v>
      </c>
      <c r="H11" s="1"/>
      <c r="I11" s="3"/>
      <c r="J11" s="3"/>
      <c r="K11" s="3"/>
    </row>
    <row r="12" spans="1:11" ht="14.25" x14ac:dyDescent="0.2">
      <c r="A12" s="36" t="s">
        <v>93</v>
      </c>
      <c r="B12" s="100">
        <v>8.9499999999999993</v>
      </c>
      <c r="C12" s="100">
        <v>227</v>
      </c>
      <c r="D12" s="100">
        <v>19.600000000000001</v>
      </c>
      <c r="E12" s="100">
        <v>15.6</v>
      </c>
      <c r="F12" s="100">
        <v>19.3</v>
      </c>
      <c r="G12" s="100">
        <v>8.9499999999999993</v>
      </c>
      <c r="H12" s="1"/>
      <c r="I12" s="3"/>
      <c r="J12" s="3"/>
      <c r="K12" s="3"/>
    </row>
    <row r="13" spans="1:11" ht="14.25" x14ac:dyDescent="0.2">
      <c r="A13" s="36" t="s">
        <v>109</v>
      </c>
      <c r="B13" s="100">
        <v>9.4700000000000006</v>
      </c>
      <c r="C13" s="100">
        <v>195</v>
      </c>
      <c r="D13" s="100">
        <v>17.399999999999999</v>
      </c>
      <c r="E13" s="100">
        <v>16.600000000000001</v>
      </c>
      <c r="F13" s="100">
        <v>19.7</v>
      </c>
      <c r="G13" s="100">
        <v>8</v>
      </c>
      <c r="H13" s="1"/>
      <c r="I13" s="3"/>
      <c r="J13" s="3"/>
      <c r="K13" s="3"/>
    </row>
    <row r="14" spans="1:11" ht="14.25" x14ac:dyDescent="0.2">
      <c r="A14" s="36" t="s">
        <v>111</v>
      </c>
      <c r="B14" s="100">
        <v>9.33</v>
      </c>
      <c r="C14" s="100">
        <v>142</v>
      </c>
      <c r="D14" s="100">
        <v>17.2</v>
      </c>
      <c r="E14" s="100">
        <v>17.5</v>
      </c>
      <c r="F14" s="100">
        <v>22.9</v>
      </c>
      <c r="G14" s="100">
        <v>9.5299999999999994</v>
      </c>
      <c r="H14" s="1"/>
      <c r="I14" s="3"/>
      <c r="J14" s="3"/>
      <c r="K14" s="3"/>
    </row>
    <row r="15" spans="1:11" ht="14.25" x14ac:dyDescent="0.2">
      <c r="A15" s="36" t="s">
        <v>149</v>
      </c>
      <c r="B15" s="100">
        <v>8.48</v>
      </c>
      <c r="C15" s="100">
        <v>155</v>
      </c>
      <c r="D15" s="100">
        <v>17.399999999999999</v>
      </c>
      <c r="E15" s="100">
        <v>15.8</v>
      </c>
      <c r="F15" s="100">
        <v>21.5</v>
      </c>
      <c r="G15" s="100">
        <v>9.89</v>
      </c>
      <c r="H15" s="1"/>
      <c r="I15" s="7"/>
      <c r="J15" s="3"/>
      <c r="K15" s="3"/>
    </row>
    <row r="16" spans="1:11" ht="14.25" x14ac:dyDescent="0.2">
      <c r="A16" s="36" t="s">
        <v>154</v>
      </c>
      <c r="B16" s="100">
        <v>8.75</v>
      </c>
      <c r="C16" s="100">
        <v>160</v>
      </c>
      <c r="D16" s="100">
        <v>17.8</v>
      </c>
      <c r="E16" s="100">
        <v>14.5</v>
      </c>
      <c r="F16" s="100">
        <v>20.6</v>
      </c>
      <c r="G16" s="100">
        <v>8.85</v>
      </c>
      <c r="H16" s="1"/>
      <c r="I16" s="7"/>
      <c r="J16" s="3"/>
      <c r="K16" s="3"/>
    </row>
    <row r="17" spans="1:11" ht="14.25" x14ac:dyDescent="0.2">
      <c r="A17" s="39"/>
      <c r="B17" s="102"/>
      <c r="C17" s="103"/>
      <c r="D17" s="104"/>
      <c r="E17" s="104"/>
      <c r="F17" s="101"/>
      <c r="G17" s="105"/>
      <c r="H17" s="3"/>
      <c r="I17" s="7"/>
      <c r="J17" s="3"/>
      <c r="K17" s="3"/>
    </row>
    <row r="18" spans="1:11" ht="14.25" x14ac:dyDescent="0.2">
      <c r="A18" s="63" t="s">
        <v>149</v>
      </c>
      <c r="B18" s="100"/>
      <c r="C18" s="100"/>
      <c r="D18" s="100"/>
      <c r="E18" s="100"/>
      <c r="F18" s="100"/>
      <c r="G18" s="100"/>
    </row>
    <row r="19" spans="1:11" ht="14.25" x14ac:dyDescent="0.2">
      <c r="A19" s="39" t="s">
        <v>64</v>
      </c>
      <c r="B19" s="100">
        <v>8.7799999999999994</v>
      </c>
      <c r="C19" s="100">
        <v>141</v>
      </c>
      <c r="D19" s="100">
        <v>16.7</v>
      </c>
      <c r="E19" s="100">
        <v>15.2</v>
      </c>
      <c r="F19" s="100">
        <v>22.3</v>
      </c>
      <c r="G19" s="100">
        <v>9.7899999999999991</v>
      </c>
    </row>
    <row r="20" spans="1:11" ht="14.25" x14ac:dyDescent="0.2">
      <c r="A20" s="39" t="s">
        <v>51</v>
      </c>
      <c r="B20" s="100">
        <v>8.59</v>
      </c>
      <c r="C20" s="100">
        <v>146</v>
      </c>
      <c r="D20" s="100">
        <v>16.7</v>
      </c>
      <c r="E20" s="100">
        <v>15.6</v>
      </c>
      <c r="F20" s="100">
        <v>21.8</v>
      </c>
      <c r="G20" s="100">
        <v>9.7899999999999991</v>
      </c>
    </row>
    <row r="21" spans="1:11" ht="14.25" x14ac:dyDescent="0.2">
      <c r="A21" s="39" t="s">
        <v>52</v>
      </c>
      <c r="B21" s="100">
        <v>8.36</v>
      </c>
      <c r="C21" s="100">
        <v>152</v>
      </c>
      <c r="D21" s="100">
        <v>17</v>
      </c>
      <c r="E21" s="100">
        <v>16.100000000000001</v>
      </c>
      <c r="F21" s="100">
        <v>21.6</v>
      </c>
      <c r="G21" s="100">
        <v>10.199999999999999</v>
      </c>
    </row>
    <row r="22" spans="1:11" ht="14.25" x14ac:dyDescent="0.2">
      <c r="A22" s="39" t="s">
        <v>53</v>
      </c>
      <c r="B22" s="100">
        <v>8.56</v>
      </c>
      <c r="C22" s="100">
        <v>161</v>
      </c>
      <c r="D22" s="100">
        <v>16.899999999999999</v>
      </c>
      <c r="E22" s="100">
        <v>16.3</v>
      </c>
      <c r="F22" s="100">
        <v>20.5</v>
      </c>
      <c r="G22" s="100">
        <v>9.8699999999999992</v>
      </c>
    </row>
    <row r="23" spans="1:11" ht="14.25" x14ac:dyDescent="0.2">
      <c r="A23" s="39" t="s">
        <v>54</v>
      </c>
      <c r="B23" s="100">
        <v>8.64</v>
      </c>
      <c r="C23" s="100">
        <v>170</v>
      </c>
      <c r="D23" s="100">
        <v>17.3</v>
      </c>
      <c r="E23" s="100">
        <v>16.7</v>
      </c>
      <c r="F23" s="100">
        <v>22.7</v>
      </c>
      <c r="G23" s="100">
        <v>9.85</v>
      </c>
    </row>
    <row r="24" spans="1:11" ht="14.25" x14ac:dyDescent="0.2">
      <c r="A24" s="39" t="s">
        <v>55</v>
      </c>
      <c r="B24" s="100">
        <v>8.52</v>
      </c>
      <c r="C24" s="100">
        <v>174</v>
      </c>
      <c r="D24" s="100">
        <v>18</v>
      </c>
      <c r="E24" s="100">
        <v>16.2</v>
      </c>
      <c r="F24" s="100">
        <v>22.3</v>
      </c>
      <c r="G24" s="100">
        <v>9.7899999999999991</v>
      </c>
    </row>
    <row r="25" spans="1:11" ht="14.25" x14ac:dyDescent="0.2">
      <c r="A25" s="39" t="s">
        <v>56</v>
      </c>
      <c r="B25" s="100">
        <v>8.52</v>
      </c>
      <c r="C25" s="100" t="s">
        <v>10</v>
      </c>
      <c r="D25" s="100">
        <v>17.8</v>
      </c>
      <c r="E25" s="100">
        <v>15.8</v>
      </c>
      <c r="F25" s="100">
        <v>19.8</v>
      </c>
      <c r="G25" s="100">
        <v>10.1</v>
      </c>
    </row>
    <row r="26" spans="1:11" ht="14.25" x14ac:dyDescent="0.2">
      <c r="A26" s="39" t="s">
        <v>57</v>
      </c>
      <c r="B26" s="100">
        <v>8.2799999999999994</v>
      </c>
      <c r="C26" s="100" t="s">
        <v>10</v>
      </c>
      <c r="D26" s="100">
        <v>17.600000000000001</v>
      </c>
      <c r="E26" s="100">
        <v>15.8</v>
      </c>
      <c r="F26" s="100">
        <v>20.3</v>
      </c>
      <c r="G26" s="100">
        <v>9.93</v>
      </c>
    </row>
    <row r="27" spans="1:11" ht="14.25" x14ac:dyDescent="0.2">
      <c r="A27" s="39" t="s">
        <v>58</v>
      </c>
      <c r="B27" s="100">
        <v>8.02</v>
      </c>
      <c r="C27" s="100" t="s">
        <v>10</v>
      </c>
      <c r="D27" s="100">
        <v>18.3</v>
      </c>
      <c r="E27" s="100">
        <v>15.2</v>
      </c>
      <c r="F27" s="100">
        <v>20.5</v>
      </c>
      <c r="G27" s="100">
        <v>9.5399999999999991</v>
      </c>
    </row>
    <row r="28" spans="1:11" ht="14.25" x14ac:dyDescent="0.2">
      <c r="A28" s="39" t="s">
        <v>59</v>
      </c>
      <c r="B28" s="100">
        <v>8.31</v>
      </c>
      <c r="C28" s="100" t="s">
        <v>10</v>
      </c>
      <c r="D28" s="100">
        <v>17.899999999999999</v>
      </c>
      <c r="E28" s="100">
        <v>14.9</v>
      </c>
      <c r="F28" s="100">
        <v>21.5</v>
      </c>
      <c r="G28" s="100">
        <v>9.08</v>
      </c>
    </row>
    <row r="29" spans="1:11" ht="14.25" x14ac:dyDescent="0.2">
      <c r="A29" s="39" t="s">
        <v>61</v>
      </c>
      <c r="B29" s="100">
        <v>8.3800000000000008</v>
      </c>
      <c r="C29" s="100" t="s">
        <v>10</v>
      </c>
      <c r="D29" s="100">
        <v>18</v>
      </c>
      <c r="E29" s="100">
        <v>14.8</v>
      </c>
      <c r="F29" s="100">
        <v>20.6</v>
      </c>
      <c r="G29" s="100">
        <v>9.1</v>
      </c>
    </row>
    <row r="30" spans="1:11" ht="14.25" x14ac:dyDescent="0.2">
      <c r="A30" s="39" t="s">
        <v>62</v>
      </c>
      <c r="B30" s="100">
        <v>8.2200000000000006</v>
      </c>
      <c r="C30" s="100">
        <v>149</v>
      </c>
      <c r="D30" s="100">
        <v>17.8</v>
      </c>
      <c r="E30" s="100">
        <v>14.5</v>
      </c>
      <c r="F30" s="100">
        <v>20.5</v>
      </c>
      <c r="G30" s="100">
        <v>8.84</v>
      </c>
    </row>
    <row r="31" spans="1:11" ht="14.25" x14ac:dyDescent="0.2">
      <c r="A31" s="39"/>
      <c r="B31" s="100"/>
      <c r="C31" s="100"/>
      <c r="D31" s="100"/>
      <c r="E31" s="100"/>
      <c r="F31" s="100"/>
      <c r="G31" s="100"/>
    </row>
    <row r="32" spans="1:11" ht="14.25" x14ac:dyDescent="0.2">
      <c r="A32" s="63" t="s">
        <v>154</v>
      </c>
      <c r="B32" s="100"/>
      <c r="C32" s="100"/>
      <c r="D32" s="100"/>
      <c r="E32" s="100"/>
      <c r="F32" s="100"/>
      <c r="G32" s="100"/>
    </row>
    <row r="33" spans="1:7" ht="14.25" x14ac:dyDescent="0.2">
      <c r="A33" s="39" t="s">
        <v>64</v>
      </c>
      <c r="B33" s="100">
        <v>8.35</v>
      </c>
      <c r="C33" s="100">
        <v>150</v>
      </c>
      <c r="D33" s="100">
        <v>18.5</v>
      </c>
      <c r="E33" s="100">
        <v>14.2</v>
      </c>
      <c r="F33" s="100">
        <v>19.8</v>
      </c>
      <c r="G33" s="100">
        <v>8.84</v>
      </c>
    </row>
    <row r="34" spans="1:7" ht="14.25" x14ac:dyDescent="0.2">
      <c r="A34" s="39" t="s">
        <v>51</v>
      </c>
      <c r="B34" s="100">
        <v>8.6</v>
      </c>
      <c r="C34" s="100">
        <v>154</v>
      </c>
      <c r="D34" s="100">
        <v>17.399999999999999</v>
      </c>
      <c r="E34" s="100">
        <v>14.2</v>
      </c>
      <c r="F34" s="100">
        <v>20.399999999999999</v>
      </c>
      <c r="G34" s="100">
        <v>9.0500000000000007</v>
      </c>
    </row>
    <row r="35" spans="1:7" ht="14.25" x14ac:dyDescent="0.2">
      <c r="A35" s="39" t="s">
        <v>52</v>
      </c>
      <c r="B35" s="100">
        <v>8.59</v>
      </c>
      <c r="C35" s="100">
        <v>163</v>
      </c>
      <c r="D35" s="100">
        <v>17.899999999999999</v>
      </c>
      <c r="E35" s="100">
        <v>14.4</v>
      </c>
      <c r="F35" s="100">
        <v>19.2</v>
      </c>
      <c r="G35" s="100">
        <v>8.68</v>
      </c>
    </row>
    <row r="36" spans="1:7" ht="14.25" x14ac:dyDescent="0.2">
      <c r="A36" s="35" t="s">
        <v>53</v>
      </c>
      <c r="B36" s="106">
        <v>8.6999999999999993</v>
      </c>
      <c r="C36" s="106">
        <v>164</v>
      </c>
      <c r="D36" s="106">
        <v>17.600000000000001</v>
      </c>
      <c r="E36" s="106">
        <v>14.4</v>
      </c>
      <c r="F36" s="106">
        <v>19.600000000000001</v>
      </c>
      <c r="G36" s="106">
        <v>8.91</v>
      </c>
    </row>
    <row r="37" spans="1:7" ht="16.5" x14ac:dyDescent="0.2">
      <c r="A37" s="36" t="s">
        <v>127</v>
      </c>
      <c r="B37" s="36"/>
      <c r="C37" s="36"/>
      <c r="D37" s="36"/>
      <c r="E37" s="36"/>
      <c r="F37" s="36"/>
      <c r="G37" s="36"/>
    </row>
    <row r="38" spans="1:7" ht="14.25" x14ac:dyDescent="0.2">
      <c r="A38" s="36" t="s">
        <v>50</v>
      </c>
      <c r="B38" s="107"/>
      <c r="C38" s="107" t="s">
        <v>97</v>
      </c>
      <c r="D38" s="107"/>
      <c r="E38" s="107"/>
      <c r="F38" s="107"/>
      <c r="G38" s="107"/>
    </row>
    <row r="39" spans="1:7" ht="14.25" x14ac:dyDescent="0.2">
      <c r="A39" s="36" t="s">
        <v>128</v>
      </c>
      <c r="B39" s="36"/>
      <c r="C39" s="36"/>
      <c r="D39" s="36"/>
      <c r="E39" s="36"/>
      <c r="F39" s="36"/>
      <c r="G39" s="36"/>
    </row>
    <row r="40" spans="1:7" ht="14.25" x14ac:dyDescent="0.2">
      <c r="A40" s="40" t="s">
        <v>20</v>
      </c>
      <c r="B40" s="69">
        <f ca="1">NOW()</f>
        <v>43874.410704282411</v>
      </c>
      <c r="C40" s="36"/>
      <c r="D40" s="36"/>
      <c r="E40" s="36"/>
      <c r="F40" s="36"/>
      <c r="G40" s="36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60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35" t="s">
        <v>18</v>
      </c>
      <c r="B1" s="35"/>
      <c r="C1" s="35"/>
      <c r="D1" s="35"/>
      <c r="E1" s="35"/>
      <c r="F1" s="35"/>
      <c r="G1" s="35"/>
      <c r="H1" s="35"/>
      <c r="I1" s="36"/>
    </row>
    <row r="2" spans="1:9" ht="15.6" customHeight="1" x14ac:dyDescent="0.2">
      <c r="A2" s="108" t="s">
        <v>11</v>
      </c>
      <c r="B2" s="78" t="s">
        <v>38</v>
      </c>
      <c r="C2" s="78" t="s">
        <v>13</v>
      </c>
      <c r="D2" s="78" t="s">
        <v>81</v>
      </c>
      <c r="E2" s="109" t="s">
        <v>46</v>
      </c>
      <c r="F2" s="109" t="s">
        <v>39</v>
      </c>
      <c r="G2" s="78" t="s">
        <v>43</v>
      </c>
      <c r="H2" s="78" t="s">
        <v>129</v>
      </c>
      <c r="I2" s="110" t="s">
        <v>42</v>
      </c>
    </row>
    <row r="3" spans="1:9" ht="15.6" customHeight="1" x14ac:dyDescent="0.2">
      <c r="A3" s="82" t="s">
        <v>12</v>
      </c>
      <c r="B3" s="43" t="s">
        <v>130</v>
      </c>
      <c r="C3" s="43" t="s">
        <v>131</v>
      </c>
      <c r="D3" s="43" t="s">
        <v>132</v>
      </c>
      <c r="E3" s="43" t="s">
        <v>132</v>
      </c>
      <c r="F3" s="43" t="s">
        <v>133</v>
      </c>
      <c r="G3" s="43" t="s">
        <v>134</v>
      </c>
      <c r="H3" s="43"/>
      <c r="I3" s="43" t="s">
        <v>135</v>
      </c>
    </row>
    <row r="4" spans="1:9" ht="14.25" x14ac:dyDescent="0.2">
      <c r="A4" s="36"/>
      <c r="B4" s="55" t="s">
        <v>98</v>
      </c>
      <c r="C4" s="111"/>
      <c r="D4" s="111"/>
      <c r="E4" s="111"/>
      <c r="F4" s="111"/>
      <c r="G4" s="111"/>
      <c r="H4" s="111"/>
      <c r="I4" s="111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4.25" x14ac:dyDescent="0.2">
      <c r="A6" s="36" t="s">
        <v>48</v>
      </c>
      <c r="B6" s="100">
        <v>35.950000000000003</v>
      </c>
      <c r="C6" s="100">
        <v>40.270000000000003</v>
      </c>
      <c r="D6" s="100">
        <v>52.8</v>
      </c>
      <c r="E6" s="100">
        <v>42.88</v>
      </c>
      <c r="F6" s="100">
        <v>59.62</v>
      </c>
      <c r="G6" s="100">
        <v>39.29</v>
      </c>
      <c r="H6" s="100">
        <v>31.99</v>
      </c>
      <c r="I6" s="100">
        <v>32.26</v>
      </c>
    </row>
    <row r="7" spans="1:9" ht="14.25" x14ac:dyDescent="0.2">
      <c r="A7" s="36" t="s">
        <v>49</v>
      </c>
      <c r="B7" s="100">
        <v>53.2</v>
      </c>
      <c r="C7" s="100">
        <v>54.5</v>
      </c>
      <c r="D7" s="100">
        <v>86.12</v>
      </c>
      <c r="E7" s="100">
        <v>58.68</v>
      </c>
      <c r="F7" s="100">
        <v>77.239999999999995</v>
      </c>
      <c r="G7" s="100">
        <v>60.76</v>
      </c>
      <c r="H7" s="100">
        <v>51.52</v>
      </c>
      <c r="I7" s="100">
        <v>51.34</v>
      </c>
    </row>
    <row r="8" spans="1:9" ht="14.25" x14ac:dyDescent="0.2">
      <c r="A8" s="36" t="s">
        <v>60</v>
      </c>
      <c r="B8" s="100">
        <v>51.9</v>
      </c>
      <c r="C8" s="100">
        <v>53.22</v>
      </c>
      <c r="D8" s="100">
        <v>83.2</v>
      </c>
      <c r="E8" s="100">
        <v>57.19</v>
      </c>
      <c r="F8" s="100">
        <v>100.15</v>
      </c>
      <c r="G8" s="100">
        <v>56.09</v>
      </c>
      <c r="H8" s="100">
        <v>48.11</v>
      </c>
      <c r="I8" s="100">
        <v>50.33</v>
      </c>
    </row>
    <row r="9" spans="1:9" ht="14.25" x14ac:dyDescent="0.2">
      <c r="A9" s="36" t="s">
        <v>82</v>
      </c>
      <c r="B9" s="100">
        <v>47.13</v>
      </c>
      <c r="C9" s="100">
        <v>48.6</v>
      </c>
      <c r="D9" s="100">
        <v>65.87</v>
      </c>
      <c r="E9" s="100">
        <v>56.17</v>
      </c>
      <c r="F9" s="100">
        <v>91.83</v>
      </c>
      <c r="G9" s="100">
        <v>46.66</v>
      </c>
      <c r="H9" s="100">
        <v>51.8</v>
      </c>
      <c r="I9" s="100">
        <v>43.24</v>
      </c>
    </row>
    <row r="10" spans="1:9" ht="14.25" x14ac:dyDescent="0.2">
      <c r="A10" s="36" t="s">
        <v>89</v>
      </c>
      <c r="B10" s="100">
        <v>38.229999999999997</v>
      </c>
      <c r="C10" s="100">
        <v>60.66</v>
      </c>
      <c r="D10" s="100">
        <v>59.12</v>
      </c>
      <c r="E10" s="100">
        <v>43.7</v>
      </c>
      <c r="F10" s="100">
        <v>68.23</v>
      </c>
      <c r="G10" s="100">
        <v>39.43</v>
      </c>
      <c r="H10" s="100">
        <v>43.93</v>
      </c>
      <c r="I10" s="100">
        <v>39.76</v>
      </c>
    </row>
    <row r="11" spans="1:9" ht="14.25" x14ac:dyDescent="0.2">
      <c r="A11" s="36" t="s">
        <v>92</v>
      </c>
      <c r="B11" s="100">
        <v>31.6</v>
      </c>
      <c r="C11" s="100">
        <v>45.74</v>
      </c>
      <c r="D11" s="100">
        <v>66.72</v>
      </c>
      <c r="E11" s="100">
        <v>37.81</v>
      </c>
      <c r="F11" s="100">
        <v>57.96</v>
      </c>
      <c r="G11" s="100">
        <v>37.479999999999997</v>
      </c>
      <c r="H11" s="100">
        <v>33.43</v>
      </c>
      <c r="I11" s="100">
        <v>31.36</v>
      </c>
    </row>
    <row r="12" spans="1:9" ht="14.25" x14ac:dyDescent="0.2">
      <c r="A12" s="36" t="s">
        <v>93</v>
      </c>
      <c r="B12" s="100">
        <v>29.86</v>
      </c>
      <c r="C12" s="100">
        <v>45.87</v>
      </c>
      <c r="D12" s="100">
        <v>57.81</v>
      </c>
      <c r="E12" s="100">
        <v>35.270000000000003</v>
      </c>
      <c r="F12" s="100">
        <v>58.26</v>
      </c>
      <c r="G12" s="100">
        <v>39.25</v>
      </c>
      <c r="H12" s="100">
        <v>32.229999999999997</v>
      </c>
      <c r="I12" s="100">
        <v>30.07</v>
      </c>
    </row>
    <row r="13" spans="1:9" ht="14.25" x14ac:dyDescent="0.2">
      <c r="A13" s="36" t="s">
        <v>109</v>
      </c>
      <c r="B13" s="100">
        <v>32.549999999999997</v>
      </c>
      <c r="C13" s="100">
        <v>40.92</v>
      </c>
      <c r="D13" s="100">
        <v>53.54</v>
      </c>
      <c r="E13" s="100">
        <v>38.729999999999997</v>
      </c>
      <c r="F13" s="100">
        <v>66.73</v>
      </c>
      <c r="G13" s="100">
        <v>37.43</v>
      </c>
      <c r="H13" s="100">
        <v>33.07</v>
      </c>
      <c r="I13" s="100">
        <v>34.75</v>
      </c>
    </row>
    <row r="14" spans="1:9" ht="14.25" x14ac:dyDescent="0.2">
      <c r="A14" s="36" t="s">
        <v>111</v>
      </c>
      <c r="B14" s="100">
        <v>30.04</v>
      </c>
      <c r="C14" s="100">
        <v>31.87</v>
      </c>
      <c r="D14" s="100">
        <v>54.57</v>
      </c>
      <c r="E14" s="100">
        <v>38.270000000000003</v>
      </c>
      <c r="F14" s="100">
        <v>66.72</v>
      </c>
      <c r="G14" s="100">
        <v>30.35</v>
      </c>
      <c r="H14" s="100">
        <v>34.159999999999997</v>
      </c>
      <c r="I14" s="100">
        <v>31.21</v>
      </c>
    </row>
    <row r="15" spans="1:9" ht="14.25" x14ac:dyDescent="0.2">
      <c r="A15" s="36" t="s">
        <v>149</v>
      </c>
      <c r="B15" s="100">
        <v>28.26</v>
      </c>
      <c r="C15" s="100">
        <v>35.14</v>
      </c>
      <c r="D15" s="100">
        <v>53.28</v>
      </c>
      <c r="E15" s="100">
        <v>36.090000000000003</v>
      </c>
      <c r="F15" s="100">
        <v>64.72</v>
      </c>
      <c r="G15" s="100">
        <v>26.93</v>
      </c>
      <c r="H15" s="100">
        <v>31.65</v>
      </c>
      <c r="I15" s="100">
        <v>33.11</v>
      </c>
    </row>
    <row r="16" spans="1:9" ht="16.5" x14ac:dyDescent="0.2">
      <c r="A16" s="36" t="s">
        <v>152</v>
      </c>
      <c r="B16" s="100">
        <v>33.5</v>
      </c>
      <c r="C16" s="100">
        <v>41.5</v>
      </c>
      <c r="D16" s="100">
        <v>68</v>
      </c>
      <c r="E16" s="100">
        <v>40</v>
      </c>
      <c r="F16" s="100">
        <v>66</v>
      </c>
      <c r="G16" s="100">
        <v>32.5</v>
      </c>
      <c r="H16" s="100">
        <v>36.5</v>
      </c>
      <c r="I16" s="100">
        <v>38</v>
      </c>
    </row>
    <row r="17" spans="1:9" ht="14.25" x14ac:dyDescent="0.2">
      <c r="A17" s="36"/>
      <c r="B17" s="52"/>
      <c r="C17" s="103"/>
      <c r="D17" s="112"/>
      <c r="E17" s="112"/>
      <c r="F17" s="112"/>
      <c r="G17" s="112"/>
      <c r="H17" s="36"/>
      <c r="I17" s="36"/>
    </row>
    <row r="18" spans="1:9" ht="14.25" x14ac:dyDescent="0.2">
      <c r="A18" s="36" t="s">
        <v>149</v>
      </c>
      <c r="B18" s="100"/>
      <c r="C18" s="100"/>
      <c r="D18" s="100"/>
      <c r="E18" s="100"/>
      <c r="F18" s="100"/>
      <c r="G18" s="100"/>
      <c r="H18" s="100"/>
      <c r="I18" s="100"/>
    </row>
    <row r="19" spans="1:9" ht="14.25" x14ac:dyDescent="0.2">
      <c r="A19" s="39" t="s">
        <v>51</v>
      </c>
      <c r="B19" s="100">
        <v>28.89</v>
      </c>
      <c r="C19" s="100">
        <v>30.56</v>
      </c>
      <c r="D19" s="100">
        <v>54</v>
      </c>
      <c r="E19" s="100">
        <v>38.94</v>
      </c>
      <c r="F19" s="100">
        <v>66.63</v>
      </c>
      <c r="G19" s="100">
        <v>27.18</v>
      </c>
      <c r="H19" s="100">
        <v>33</v>
      </c>
      <c r="I19" s="100">
        <v>31.29</v>
      </c>
    </row>
    <row r="20" spans="1:9" ht="14.25" x14ac:dyDescent="0.2">
      <c r="A20" s="39" t="s">
        <v>52</v>
      </c>
      <c r="B20" s="100">
        <v>27.492999999999999</v>
      </c>
      <c r="C20" s="100">
        <v>31.45</v>
      </c>
      <c r="D20" s="100">
        <v>52.8</v>
      </c>
      <c r="E20" s="100">
        <v>37.450000000000003</v>
      </c>
      <c r="F20" s="100">
        <v>64.8</v>
      </c>
      <c r="G20" s="100">
        <v>26.37</v>
      </c>
      <c r="H20" s="100">
        <v>34.33</v>
      </c>
      <c r="I20" s="100">
        <v>35</v>
      </c>
    </row>
    <row r="21" spans="1:9" ht="14.25" x14ac:dyDescent="0.2">
      <c r="A21" s="39" t="s">
        <v>53</v>
      </c>
      <c r="B21" s="100">
        <v>28.14</v>
      </c>
      <c r="C21" s="100">
        <v>32.06</v>
      </c>
      <c r="D21" s="100">
        <v>53.5</v>
      </c>
      <c r="E21" s="100">
        <v>36.75</v>
      </c>
      <c r="F21" s="100">
        <v>62.25</v>
      </c>
      <c r="G21" s="100">
        <v>26.46</v>
      </c>
      <c r="H21" s="100">
        <v>31</v>
      </c>
      <c r="I21" s="100">
        <v>32.5</v>
      </c>
    </row>
    <row r="22" spans="1:9" ht="14.25" x14ac:dyDescent="0.2">
      <c r="A22" s="39" t="s">
        <v>54</v>
      </c>
      <c r="B22" s="100">
        <v>28.44</v>
      </c>
      <c r="C22" s="100">
        <v>33.94</v>
      </c>
      <c r="D22" s="100">
        <v>53.5</v>
      </c>
      <c r="E22" s="100">
        <v>37.130000000000003</v>
      </c>
      <c r="F22" s="100">
        <v>61.88</v>
      </c>
      <c r="G22" s="100">
        <v>26.21</v>
      </c>
      <c r="H22" s="100" t="s">
        <v>10</v>
      </c>
      <c r="I22" s="100">
        <v>33.130000000000003</v>
      </c>
    </row>
    <row r="23" spans="1:9" ht="14.25" x14ac:dyDescent="0.2">
      <c r="A23" s="39" t="s">
        <v>55</v>
      </c>
      <c r="B23" s="100">
        <v>29.58</v>
      </c>
      <c r="C23" s="100">
        <v>36.44</v>
      </c>
      <c r="D23" s="100">
        <v>53</v>
      </c>
      <c r="E23" s="100">
        <v>37.75</v>
      </c>
      <c r="F23" s="100">
        <v>61.13</v>
      </c>
      <c r="G23" s="100">
        <v>25.65</v>
      </c>
      <c r="H23" s="100" t="s">
        <v>10</v>
      </c>
      <c r="I23" s="100">
        <v>33</v>
      </c>
    </row>
    <row r="24" spans="1:9" ht="14.25" x14ac:dyDescent="0.2">
      <c r="A24" s="39" t="s">
        <v>56</v>
      </c>
      <c r="B24" s="100">
        <v>28.62</v>
      </c>
      <c r="C24" s="100">
        <v>35.700000000000003</v>
      </c>
      <c r="D24" s="100">
        <v>53.2</v>
      </c>
      <c r="E24" s="100">
        <v>36.15</v>
      </c>
      <c r="F24" s="100">
        <v>61</v>
      </c>
      <c r="G24" s="100">
        <v>26.72</v>
      </c>
      <c r="H24" s="100" t="s">
        <v>10</v>
      </c>
      <c r="I24" s="100">
        <v>32.15</v>
      </c>
    </row>
    <row r="25" spans="1:9" ht="14.25" x14ac:dyDescent="0.2">
      <c r="A25" s="39" t="s">
        <v>57</v>
      </c>
      <c r="B25" s="100">
        <v>27.86</v>
      </c>
      <c r="C25" s="100">
        <v>37.130000000000003</v>
      </c>
      <c r="D25" s="100">
        <v>54</v>
      </c>
      <c r="E25" s="100">
        <v>35.44</v>
      </c>
      <c r="F25" s="100">
        <v>65.25</v>
      </c>
      <c r="G25" s="100">
        <v>27.94</v>
      </c>
      <c r="H25" s="100" t="s">
        <v>10</v>
      </c>
      <c r="I25" s="100">
        <v>31.86</v>
      </c>
    </row>
    <row r="26" spans="1:9" ht="14.25" x14ac:dyDescent="0.2">
      <c r="A26" s="39" t="s">
        <v>58</v>
      </c>
      <c r="B26" s="100">
        <v>26.93</v>
      </c>
      <c r="C26" s="100">
        <v>35.65</v>
      </c>
      <c r="D26" s="100">
        <v>53.4</v>
      </c>
      <c r="E26" s="100">
        <v>34.1</v>
      </c>
      <c r="F26" s="100">
        <v>66</v>
      </c>
      <c r="G26" s="100">
        <v>27.76</v>
      </c>
      <c r="H26" s="100" t="s">
        <v>10</v>
      </c>
      <c r="I26" s="100">
        <v>33.700000000000003</v>
      </c>
    </row>
    <row r="27" spans="1:9" ht="14.25" x14ac:dyDescent="0.2">
      <c r="A27" s="39" t="s">
        <v>59</v>
      </c>
      <c r="B27" s="100">
        <v>28.24</v>
      </c>
      <c r="C27" s="100">
        <v>36.69</v>
      </c>
      <c r="D27" s="100">
        <v>51</v>
      </c>
      <c r="E27" s="100">
        <v>34.630000000000003</v>
      </c>
      <c r="F27" s="100">
        <v>66</v>
      </c>
      <c r="G27" s="100">
        <v>27.38</v>
      </c>
      <c r="H27" s="100" t="s">
        <v>10</v>
      </c>
      <c r="I27" s="100" t="s">
        <v>10</v>
      </c>
    </row>
    <row r="28" spans="1:9" ht="14.25" x14ac:dyDescent="0.2">
      <c r="A28" s="39" t="s">
        <v>61</v>
      </c>
      <c r="B28" s="100">
        <v>27.68</v>
      </c>
      <c r="C28" s="100">
        <v>37.5</v>
      </c>
      <c r="D28" s="100">
        <v>52.5</v>
      </c>
      <c r="E28" s="100">
        <v>34.56</v>
      </c>
      <c r="F28" s="100">
        <v>66.13</v>
      </c>
      <c r="G28" s="100">
        <v>26.75</v>
      </c>
      <c r="H28" s="100" t="s">
        <v>10</v>
      </c>
      <c r="I28" s="100">
        <v>35</v>
      </c>
    </row>
    <row r="29" spans="1:9" ht="14.25" x14ac:dyDescent="0.2">
      <c r="A29" s="39" t="s">
        <v>62</v>
      </c>
      <c r="B29" s="100">
        <v>28.41</v>
      </c>
      <c r="C29" s="100">
        <v>36.450000000000003</v>
      </c>
      <c r="D29" s="100">
        <v>53.4</v>
      </c>
      <c r="E29" s="100">
        <v>35.25</v>
      </c>
      <c r="F29" s="100">
        <v>66</v>
      </c>
      <c r="G29" s="100">
        <v>27.31</v>
      </c>
      <c r="H29" s="100" t="s">
        <v>10</v>
      </c>
      <c r="I29" s="100" t="s">
        <v>10</v>
      </c>
    </row>
    <row r="30" spans="1:9" ht="14.25" x14ac:dyDescent="0.2">
      <c r="A30" s="39" t="s">
        <v>64</v>
      </c>
      <c r="B30" s="100">
        <v>28.81</v>
      </c>
      <c r="C30" s="100">
        <v>38.07</v>
      </c>
      <c r="D30" s="100">
        <v>55</v>
      </c>
      <c r="E30" s="100">
        <v>35</v>
      </c>
      <c r="F30" s="100">
        <v>67</v>
      </c>
      <c r="G30" s="100">
        <v>27.48</v>
      </c>
      <c r="H30" s="100" t="s">
        <v>10</v>
      </c>
      <c r="I30" s="100">
        <v>34</v>
      </c>
    </row>
    <row r="31" spans="1:9" ht="14.25" x14ac:dyDescent="0.2">
      <c r="A31" s="39"/>
      <c r="B31" s="100"/>
      <c r="C31" s="100"/>
      <c r="D31" s="100"/>
      <c r="E31" s="100"/>
      <c r="F31" s="100"/>
      <c r="G31" s="100"/>
      <c r="H31" s="100"/>
      <c r="I31" s="100"/>
    </row>
    <row r="32" spans="1:9" ht="14.25" x14ac:dyDescent="0.2">
      <c r="A32" s="36" t="s">
        <v>154</v>
      </c>
      <c r="B32" s="100"/>
      <c r="C32" s="100"/>
      <c r="D32" s="100"/>
      <c r="E32" s="100"/>
      <c r="F32" s="100"/>
      <c r="G32" s="100"/>
      <c r="H32" s="100"/>
      <c r="I32" s="100"/>
    </row>
    <row r="33" spans="1:9" ht="14.25" x14ac:dyDescent="0.2">
      <c r="A33" s="39" t="s">
        <v>51</v>
      </c>
      <c r="B33" s="100">
        <v>30.14</v>
      </c>
      <c r="C33" s="100">
        <v>37.94</v>
      </c>
      <c r="D33" s="100">
        <v>56</v>
      </c>
      <c r="E33" s="100">
        <v>36.31</v>
      </c>
      <c r="F33" s="100">
        <v>61.5</v>
      </c>
      <c r="G33" s="100">
        <v>28.3</v>
      </c>
      <c r="H33" s="100" t="s">
        <v>10</v>
      </c>
      <c r="I33" s="100" t="s">
        <v>10</v>
      </c>
    </row>
    <row r="34" spans="1:9" ht="14.25" x14ac:dyDescent="0.2">
      <c r="A34" s="39" t="s">
        <v>52</v>
      </c>
      <c r="B34" s="100">
        <v>30.62</v>
      </c>
      <c r="C34" s="100">
        <v>38.4</v>
      </c>
      <c r="D34" s="100">
        <v>56</v>
      </c>
      <c r="E34" s="100">
        <v>36.15</v>
      </c>
      <c r="F34" s="100">
        <v>63.1</v>
      </c>
      <c r="G34" s="100">
        <v>30.36</v>
      </c>
      <c r="H34" s="100" t="s">
        <v>10</v>
      </c>
      <c r="I34" s="100">
        <v>35</v>
      </c>
    </row>
    <row r="35" spans="1:9" ht="14.25" x14ac:dyDescent="0.2">
      <c r="A35" s="39" t="s">
        <v>53</v>
      </c>
      <c r="B35" s="100">
        <v>32.270000000000003</v>
      </c>
      <c r="C35" s="100">
        <v>40.25</v>
      </c>
      <c r="D35" s="100">
        <v>76</v>
      </c>
      <c r="E35" s="100">
        <v>38.06</v>
      </c>
      <c r="F35" s="100">
        <v>60.13</v>
      </c>
      <c r="G35" s="100">
        <v>31.25</v>
      </c>
      <c r="H35" s="100" t="s">
        <v>10</v>
      </c>
      <c r="I35" s="100" t="s">
        <v>10</v>
      </c>
    </row>
    <row r="36" spans="1:9" ht="14.25" x14ac:dyDescent="0.2">
      <c r="A36" s="35" t="s">
        <v>54</v>
      </c>
      <c r="B36" s="106">
        <v>33.04</v>
      </c>
      <c r="C36" s="106">
        <v>40.1</v>
      </c>
      <c r="D36" s="106">
        <v>70</v>
      </c>
      <c r="E36" s="106">
        <v>37.9</v>
      </c>
      <c r="F36" s="106">
        <v>59</v>
      </c>
      <c r="G36" s="106">
        <v>33.299999999999997</v>
      </c>
      <c r="H36" s="106" t="s">
        <v>10</v>
      </c>
      <c r="I36" s="106">
        <v>36.14</v>
      </c>
    </row>
    <row r="37" spans="1:9" ht="16.5" x14ac:dyDescent="0.2">
      <c r="A37" s="77" t="s">
        <v>145</v>
      </c>
      <c r="B37" s="113"/>
      <c r="C37" s="113"/>
      <c r="D37" s="113"/>
      <c r="E37" s="113"/>
      <c r="F37" s="113"/>
      <c r="G37" s="113"/>
      <c r="H37" s="113"/>
      <c r="I37" s="113"/>
    </row>
    <row r="38" spans="1:9" ht="16.5" x14ac:dyDescent="0.2">
      <c r="A38" s="36" t="s">
        <v>146</v>
      </c>
      <c r="B38" s="113"/>
      <c r="C38" s="113"/>
      <c r="D38" s="113"/>
      <c r="E38" s="113"/>
      <c r="F38" s="113"/>
      <c r="G38" s="113"/>
      <c r="H38" s="113"/>
      <c r="I38" s="113"/>
    </row>
    <row r="39" spans="1:9" ht="14.25" x14ac:dyDescent="0.2">
      <c r="A39" s="36" t="s">
        <v>136</v>
      </c>
      <c r="B39" s="36"/>
      <c r="C39" s="36"/>
      <c r="D39" s="36"/>
      <c r="E39" s="36"/>
      <c r="F39" s="113"/>
      <c r="G39" s="36"/>
      <c r="H39" s="36"/>
      <c r="I39" s="36"/>
    </row>
    <row r="40" spans="1:9" ht="14.25" x14ac:dyDescent="0.2">
      <c r="A40" s="40" t="s">
        <v>20</v>
      </c>
      <c r="B40" s="69">
        <f ca="1">NOW()</f>
        <v>43874.410704282411</v>
      </c>
      <c r="C40" s="36"/>
      <c r="D40" s="36"/>
      <c r="E40" s="36"/>
      <c r="F40" s="36"/>
      <c r="G40" s="36"/>
      <c r="H40" s="36"/>
      <c r="I40" s="36"/>
    </row>
    <row r="41" spans="1:9" ht="15.75" x14ac:dyDescent="0.25">
      <c r="C41" s="14"/>
      <c r="G41" s="14"/>
      <c r="H41" s="14"/>
      <c r="I41" s="14"/>
    </row>
    <row r="42" spans="1:9" ht="15.75" x14ac:dyDescent="0.25">
      <c r="C42" s="14"/>
      <c r="G42" s="14"/>
      <c r="H42" s="14"/>
      <c r="I42" s="14"/>
    </row>
    <row r="43" spans="1:9" ht="15.75" x14ac:dyDescent="0.25">
      <c r="C43" s="14"/>
      <c r="G43" s="14"/>
      <c r="H43" s="14"/>
      <c r="I43" s="14"/>
    </row>
    <row r="44" spans="1:9" ht="15.75" x14ac:dyDescent="0.25">
      <c r="C44" s="14"/>
      <c r="G44" s="14"/>
      <c r="H44" s="14"/>
      <c r="I44" s="14"/>
    </row>
    <row r="45" spans="1:9" ht="15.75" x14ac:dyDescent="0.25">
      <c r="C45" s="14"/>
      <c r="G45" s="14"/>
      <c r="H45" s="14"/>
      <c r="I45" s="14"/>
    </row>
    <row r="46" spans="1:9" ht="15.75" x14ac:dyDescent="0.25">
      <c r="C46" s="14"/>
      <c r="G46" s="14"/>
      <c r="H46" s="14"/>
      <c r="I46" s="14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G55" s="14"/>
      <c r="H55" s="14"/>
      <c r="I55" s="14"/>
    </row>
    <row r="56" spans="3:9" ht="15.75" x14ac:dyDescent="0.25">
      <c r="C56" s="14"/>
      <c r="G56" s="14"/>
      <c r="H56" s="14"/>
      <c r="I56" s="14"/>
    </row>
    <row r="57" spans="3:9" ht="15.75" x14ac:dyDescent="0.25">
      <c r="C57" s="14"/>
      <c r="H57" s="14"/>
      <c r="I57" s="14"/>
    </row>
    <row r="58" spans="3:9" ht="15.75" x14ac:dyDescent="0.25">
      <c r="C58" s="14"/>
      <c r="H58" s="14"/>
      <c r="I58" s="14"/>
    </row>
    <row r="59" spans="3:9" ht="15.75" x14ac:dyDescent="0.25">
      <c r="C59" s="14"/>
      <c r="F59" s="16"/>
      <c r="H59" s="14"/>
      <c r="I59" s="14"/>
    </row>
    <row r="60" spans="3:9" ht="15.75" x14ac:dyDescent="0.25">
      <c r="F60" s="16"/>
      <c r="H60" s="14"/>
      <c r="I60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2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35" t="s">
        <v>37</v>
      </c>
      <c r="B1" s="35"/>
      <c r="C1" s="35"/>
      <c r="D1" s="35"/>
      <c r="E1" s="35"/>
      <c r="F1" s="35"/>
      <c r="G1" s="35"/>
    </row>
    <row r="2" spans="1:8" ht="15.6" customHeight="1" x14ac:dyDescent="0.2">
      <c r="A2" s="39" t="s">
        <v>11</v>
      </c>
      <c r="B2" s="78" t="s">
        <v>38</v>
      </c>
      <c r="C2" s="114" t="s">
        <v>13</v>
      </c>
      <c r="D2" s="114" t="s">
        <v>81</v>
      </c>
      <c r="E2" s="114" t="s">
        <v>39</v>
      </c>
      <c r="F2" s="78" t="s">
        <v>40</v>
      </c>
      <c r="G2" s="38" t="s">
        <v>41</v>
      </c>
    </row>
    <row r="3" spans="1:8" ht="15.6" customHeight="1" x14ac:dyDescent="0.2">
      <c r="A3" s="35" t="s">
        <v>12</v>
      </c>
      <c r="B3" s="43" t="s">
        <v>137</v>
      </c>
      <c r="C3" s="43" t="s">
        <v>138</v>
      </c>
      <c r="D3" s="43" t="s">
        <v>139</v>
      </c>
      <c r="E3" s="43" t="s">
        <v>140</v>
      </c>
      <c r="F3" s="43" t="s">
        <v>141</v>
      </c>
      <c r="G3" s="43" t="s">
        <v>142</v>
      </c>
    </row>
    <row r="4" spans="1:8" ht="14.25" x14ac:dyDescent="0.2">
      <c r="A4" s="36"/>
      <c r="B4" s="55" t="s">
        <v>99</v>
      </c>
      <c r="C4" s="111"/>
      <c r="D4" s="111"/>
      <c r="E4" s="111"/>
      <c r="F4" s="111"/>
      <c r="G4" s="111"/>
    </row>
    <row r="5" spans="1:8" ht="14.25" x14ac:dyDescent="0.2">
      <c r="A5" s="36"/>
      <c r="B5" s="36"/>
      <c r="C5" s="36"/>
      <c r="D5" s="36"/>
      <c r="E5" s="36"/>
      <c r="F5" s="36"/>
      <c r="G5" s="36"/>
    </row>
    <row r="6" spans="1:8" ht="14.25" x14ac:dyDescent="0.2">
      <c r="A6" s="36" t="s">
        <v>48</v>
      </c>
      <c r="B6" s="100">
        <v>311.27</v>
      </c>
      <c r="C6" s="100">
        <v>220.9</v>
      </c>
      <c r="D6" s="100">
        <v>151.04</v>
      </c>
      <c r="E6" s="115" t="s">
        <v>10</v>
      </c>
      <c r="F6" s="100">
        <v>224.92</v>
      </c>
      <c r="G6" s="100">
        <v>209.23</v>
      </c>
      <c r="H6" s="16"/>
    </row>
    <row r="7" spans="1:8" ht="14.25" x14ac:dyDescent="0.2">
      <c r="A7" s="36" t="s">
        <v>49</v>
      </c>
      <c r="B7" s="100">
        <v>345.52</v>
      </c>
      <c r="C7" s="100">
        <v>273.83999999999997</v>
      </c>
      <c r="D7" s="100">
        <v>219.72</v>
      </c>
      <c r="E7" s="115" t="s">
        <v>10</v>
      </c>
      <c r="F7" s="100">
        <v>263.63</v>
      </c>
      <c r="G7" s="100">
        <v>240.65</v>
      </c>
      <c r="H7" s="16"/>
    </row>
    <row r="8" spans="1:8" ht="14.25" x14ac:dyDescent="0.2">
      <c r="A8" s="36" t="s">
        <v>60</v>
      </c>
      <c r="B8" s="100">
        <v>393.53</v>
      </c>
      <c r="C8" s="100">
        <v>275.13</v>
      </c>
      <c r="D8" s="100">
        <v>246.75</v>
      </c>
      <c r="E8" s="115" t="s">
        <v>10</v>
      </c>
      <c r="F8" s="100">
        <v>307.58999999999997</v>
      </c>
      <c r="G8" s="100">
        <v>265.68</v>
      </c>
      <c r="H8" s="16"/>
    </row>
    <row r="9" spans="1:8" ht="14.25" x14ac:dyDescent="0.2">
      <c r="A9" s="36" t="s">
        <v>82</v>
      </c>
      <c r="B9" s="100">
        <v>468.11</v>
      </c>
      <c r="C9" s="100">
        <v>331.52</v>
      </c>
      <c r="D9" s="100">
        <v>241.57</v>
      </c>
      <c r="E9" s="115" t="s">
        <v>10</v>
      </c>
      <c r="F9" s="100">
        <v>354.22</v>
      </c>
      <c r="G9" s="100">
        <v>329.31</v>
      </c>
      <c r="H9" s="16"/>
    </row>
    <row r="10" spans="1:8" ht="14.25" x14ac:dyDescent="0.2">
      <c r="A10" s="36" t="s">
        <v>89</v>
      </c>
      <c r="B10" s="100">
        <v>489.94</v>
      </c>
      <c r="C10" s="100">
        <v>377.71</v>
      </c>
      <c r="D10" s="100">
        <v>238.87</v>
      </c>
      <c r="E10" s="115" t="s">
        <v>10</v>
      </c>
      <c r="F10" s="100">
        <v>359.7</v>
      </c>
      <c r="G10" s="100">
        <v>337.23</v>
      </c>
      <c r="H10" s="16"/>
    </row>
    <row r="11" spans="1:8" ht="14.25" x14ac:dyDescent="0.2">
      <c r="A11" s="36" t="s">
        <v>92</v>
      </c>
      <c r="B11" s="100">
        <v>368.49</v>
      </c>
      <c r="C11" s="100">
        <v>304.27</v>
      </c>
      <c r="D11" s="100">
        <v>209.97</v>
      </c>
      <c r="E11" s="115" t="s">
        <v>10</v>
      </c>
      <c r="F11" s="100">
        <v>301.2</v>
      </c>
      <c r="G11" s="100">
        <v>256.58</v>
      </c>
      <c r="H11" s="16"/>
    </row>
    <row r="12" spans="1:8" ht="14.25" x14ac:dyDescent="0.2">
      <c r="A12" s="36" t="s">
        <v>93</v>
      </c>
      <c r="B12" s="100">
        <v>324.56</v>
      </c>
      <c r="C12" s="100">
        <v>261.19</v>
      </c>
      <c r="D12" s="100">
        <v>153.16999999999999</v>
      </c>
      <c r="E12" s="115" t="s">
        <v>10</v>
      </c>
      <c r="F12" s="100">
        <v>262.2</v>
      </c>
      <c r="G12" s="100">
        <v>260.23</v>
      </c>
    </row>
    <row r="13" spans="1:8" ht="14.25" x14ac:dyDescent="0.2">
      <c r="A13" s="36" t="s">
        <v>109</v>
      </c>
      <c r="B13" s="100">
        <v>316.88</v>
      </c>
      <c r="C13" s="100">
        <v>208.61</v>
      </c>
      <c r="D13" s="100">
        <v>145.1</v>
      </c>
      <c r="E13" s="115" t="s">
        <v>10</v>
      </c>
      <c r="F13" s="100">
        <v>267.94</v>
      </c>
      <c r="G13" s="100">
        <v>282.49</v>
      </c>
    </row>
    <row r="14" spans="1:8" ht="14.25" x14ac:dyDescent="0.2">
      <c r="A14" s="36" t="s">
        <v>111</v>
      </c>
      <c r="B14" s="100">
        <v>345.02</v>
      </c>
      <c r="C14" s="100">
        <v>260.88</v>
      </c>
      <c r="D14" s="100">
        <v>173.53</v>
      </c>
      <c r="E14" s="115" t="s">
        <v>10</v>
      </c>
      <c r="F14" s="100">
        <v>291.14999999999998</v>
      </c>
      <c r="G14" s="100">
        <v>239.15</v>
      </c>
    </row>
    <row r="15" spans="1:8" ht="14.25" x14ac:dyDescent="0.2">
      <c r="A15" s="36" t="s">
        <v>149</v>
      </c>
      <c r="B15" s="100">
        <v>308.27999999999997</v>
      </c>
      <c r="C15" s="100">
        <v>228.64</v>
      </c>
      <c r="D15" s="122">
        <v>164.16</v>
      </c>
      <c r="E15" s="115" t="s">
        <v>10</v>
      </c>
      <c r="F15" s="100">
        <v>272.38</v>
      </c>
      <c r="G15" s="100">
        <v>225.77</v>
      </c>
    </row>
    <row r="16" spans="1:8" ht="16.5" x14ac:dyDescent="0.2">
      <c r="A16" s="36" t="s">
        <v>152</v>
      </c>
      <c r="B16" s="100">
        <v>305</v>
      </c>
      <c r="C16" s="100">
        <v>230</v>
      </c>
      <c r="D16" s="122">
        <v>170</v>
      </c>
      <c r="E16" s="115" t="s">
        <v>10</v>
      </c>
      <c r="F16" s="100">
        <v>265</v>
      </c>
      <c r="G16" s="100">
        <v>240</v>
      </c>
    </row>
    <row r="17" spans="1:13" ht="14.25" x14ac:dyDescent="0.2">
      <c r="A17" s="116"/>
      <c r="B17" s="100"/>
      <c r="C17" s="100"/>
      <c r="D17" s="100"/>
      <c r="E17" s="115"/>
      <c r="F17" s="100"/>
      <c r="G17" s="100"/>
      <c r="H17" s="13"/>
    </row>
    <row r="18" spans="1:13" ht="14.25" x14ac:dyDescent="0.2">
      <c r="A18" s="36" t="s">
        <v>149</v>
      </c>
      <c r="B18" s="100"/>
      <c r="C18" s="100"/>
      <c r="D18" s="100"/>
      <c r="E18" s="115"/>
      <c r="F18" s="100"/>
      <c r="G18" s="100"/>
      <c r="I18" s="6"/>
      <c r="J18" s="6"/>
      <c r="K18" s="6"/>
      <c r="L18" s="6"/>
      <c r="M18" s="6"/>
    </row>
    <row r="19" spans="1:13" ht="14.25" x14ac:dyDescent="0.2">
      <c r="A19" s="116" t="s">
        <v>51</v>
      </c>
      <c r="B19" s="100">
        <v>319.14999999999998</v>
      </c>
      <c r="C19" s="100">
        <v>249</v>
      </c>
      <c r="D19" s="100">
        <v>164</v>
      </c>
      <c r="E19" s="115" t="s">
        <v>10</v>
      </c>
      <c r="F19" s="100">
        <v>279.39999999999998</v>
      </c>
      <c r="G19" s="100">
        <v>196.5</v>
      </c>
      <c r="I19" s="6"/>
      <c r="J19" s="6"/>
      <c r="K19" s="6"/>
      <c r="L19" s="6"/>
      <c r="M19" s="6"/>
    </row>
    <row r="20" spans="1:13" ht="14.25" x14ac:dyDescent="0.2">
      <c r="A20" s="116" t="s">
        <v>52</v>
      </c>
      <c r="B20" s="100">
        <v>310.61500000000001</v>
      </c>
      <c r="C20" s="100">
        <v>240</v>
      </c>
      <c r="D20" s="100">
        <v>171.25</v>
      </c>
      <c r="E20" s="115" t="s">
        <v>10</v>
      </c>
      <c r="F20" s="100">
        <v>279.16250000000002</v>
      </c>
      <c r="G20" s="100">
        <v>209.38</v>
      </c>
      <c r="I20" s="6"/>
      <c r="J20" s="6"/>
      <c r="K20" s="6"/>
      <c r="L20" s="6"/>
      <c r="M20" s="6"/>
    </row>
    <row r="21" spans="1:13" ht="14.25" x14ac:dyDescent="0.2">
      <c r="A21" s="36" t="s">
        <v>53</v>
      </c>
      <c r="B21" s="100">
        <v>311.7</v>
      </c>
      <c r="C21" s="100">
        <v>243.75</v>
      </c>
      <c r="D21" s="100">
        <v>187.5</v>
      </c>
      <c r="E21" s="115" t="s">
        <v>10</v>
      </c>
      <c r="F21" s="100">
        <v>291.42</v>
      </c>
      <c r="G21" s="100">
        <v>225.83</v>
      </c>
      <c r="I21" s="6"/>
      <c r="J21" s="6"/>
      <c r="K21" s="6"/>
      <c r="L21" s="6"/>
      <c r="M21" s="6"/>
    </row>
    <row r="22" spans="1:13" ht="14.25" x14ac:dyDescent="0.2">
      <c r="A22" s="36" t="s">
        <v>54</v>
      </c>
      <c r="B22" s="100">
        <v>314.92</v>
      </c>
      <c r="C22" s="100">
        <v>247.5</v>
      </c>
      <c r="D22" s="100">
        <v>190.5</v>
      </c>
      <c r="E22" s="115" t="s">
        <v>10</v>
      </c>
      <c r="F22" s="100" t="s">
        <v>10</v>
      </c>
      <c r="G22" s="100">
        <v>219</v>
      </c>
      <c r="I22" s="6"/>
      <c r="J22" s="6"/>
      <c r="K22" s="6"/>
      <c r="L22" s="6"/>
      <c r="M22" s="6"/>
    </row>
    <row r="23" spans="1:13" ht="14.25" x14ac:dyDescent="0.2">
      <c r="A23" s="36" t="s">
        <v>55</v>
      </c>
      <c r="B23" s="100">
        <v>306.83</v>
      </c>
      <c r="C23" s="100">
        <v>235</v>
      </c>
      <c r="D23" s="100">
        <v>187.5</v>
      </c>
      <c r="E23" s="115" t="s">
        <v>10</v>
      </c>
      <c r="F23" s="100" t="s">
        <v>10</v>
      </c>
      <c r="G23" s="100">
        <v>225</v>
      </c>
      <c r="I23" s="6"/>
      <c r="J23" s="6"/>
      <c r="K23" s="6"/>
      <c r="L23" s="6"/>
      <c r="M23" s="6"/>
    </row>
    <row r="24" spans="1:13" ht="14.25" x14ac:dyDescent="0.2">
      <c r="A24" s="36" t="s">
        <v>56</v>
      </c>
      <c r="B24" s="100">
        <v>306.38</v>
      </c>
      <c r="C24" s="100">
        <v>226.25</v>
      </c>
      <c r="D24" s="100">
        <v>189.38</v>
      </c>
      <c r="E24" s="115" t="s">
        <v>10</v>
      </c>
      <c r="F24" s="100" t="s">
        <v>10</v>
      </c>
      <c r="G24" s="100">
        <v>235.63</v>
      </c>
      <c r="I24" s="6"/>
      <c r="J24" s="6"/>
      <c r="K24" s="6"/>
      <c r="L24" s="6"/>
      <c r="M24" s="6"/>
    </row>
    <row r="25" spans="1:13" ht="14.25" x14ac:dyDescent="0.2">
      <c r="A25" s="36" t="s">
        <v>57</v>
      </c>
      <c r="B25" s="100">
        <v>304.26</v>
      </c>
      <c r="C25" s="100">
        <v>216.5</v>
      </c>
      <c r="D25" s="100">
        <v>166.5</v>
      </c>
      <c r="E25" s="115" t="s">
        <v>10</v>
      </c>
      <c r="F25" s="100" t="s">
        <v>10</v>
      </c>
      <c r="G25" s="100">
        <v>241.5</v>
      </c>
      <c r="I25" s="6"/>
      <c r="J25" s="6"/>
      <c r="K25" s="6"/>
      <c r="L25" s="6"/>
      <c r="M25" s="6"/>
    </row>
    <row r="26" spans="1:13" ht="14.25" x14ac:dyDescent="0.2">
      <c r="A26" s="36" t="s">
        <v>58</v>
      </c>
      <c r="B26" s="100">
        <v>297.52</v>
      </c>
      <c r="C26" s="100">
        <v>215</v>
      </c>
      <c r="D26" s="100">
        <v>141.25</v>
      </c>
      <c r="E26" s="115" t="s">
        <v>10</v>
      </c>
      <c r="F26" s="100">
        <v>259.55</v>
      </c>
      <c r="G26" s="100">
        <v>233.75</v>
      </c>
      <c r="I26" s="6"/>
      <c r="J26" s="6"/>
      <c r="K26" s="6"/>
      <c r="L26" s="6"/>
      <c r="M26" s="6"/>
    </row>
    <row r="27" spans="1:13" ht="14.25" x14ac:dyDescent="0.2">
      <c r="A27" s="36" t="s">
        <v>59</v>
      </c>
      <c r="B27" s="100">
        <v>324.75</v>
      </c>
      <c r="C27" s="100">
        <v>215.63</v>
      </c>
      <c r="D27" s="100">
        <v>143.13</v>
      </c>
      <c r="E27" s="115" t="s">
        <v>10</v>
      </c>
      <c r="F27" s="100">
        <v>278.76</v>
      </c>
      <c r="G27" s="100">
        <v>228.88</v>
      </c>
      <c r="I27" s="6"/>
      <c r="J27" s="6"/>
      <c r="K27" s="6"/>
      <c r="L27" s="6"/>
      <c r="M27" s="6"/>
    </row>
    <row r="28" spans="1:13" ht="14.25" x14ac:dyDescent="0.2">
      <c r="A28" s="36" t="s">
        <v>61</v>
      </c>
      <c r="B28" s="100">
        <v>310.77</v>
      </c>
      <c r="C28" s="100">
        <v>218</v>
      </c>
      <c r="D28" s="100">
        <v>142</v>
      </c>
      <c r="E28" s="115" t="s">
        <v>10</v>
      </c>
      <c r="F28" s="100">
        <v>265.45</v>
      </c>
      <c r="G28" s="100">
        <v>232.5</v>
      </c>
      <c r="I28" s="6"/>
      <c r="J28" s="6"/>
      <c r="K28" s="6"/>
      <c r="L28" s="6"/>
      <c r="M28" s="6"/>
    </row>
    <row r="29" spans="1:13" ht="14.25" x14ac:dyDescent="0.2">
      <c r="A29" s="36" t="s">
        <v>62</v>
      </c>
      <c r="B29" s="100">
        <v>296.92</v>
      </c>
      <c r="C29" s="100">
        <v>221.25</v>
      </c>
      <c r="D29" s="100">
        <v>144.38</v>
      </c>
      <c r="E29" s="115" t="s">
        <v>10</v>
      </c>
      <c r="F29" s="100" t="s">
        <v>10</v>
      </c>
      <c r="G29" s="100">
        <v>235</v>
      </c>
      <c r="I29" s="6"/>
      <c r="J29" s="6"/>
      <c r="K29" s="6"/>
      <c r="L29" s="6"/>
      <c r="M29" s="6"/>
    </row>
    <row r="30" spans="1:13" ht="14.25" x14ac:dyDescent="0.2">
      <c r="A30" s="36" t="s">
        <v>64</v>
      </c>
      <c r="B30" s="100">
        <v>295.57</v>
      </c>
      <c r="C30" s="100">
        <v>215.83</v>
      </c>
      <c r="D30" s="100">
        <v>142.5</v>
      </c>
      <c r="E30" s="115" t="s">
        <v>10</v>
      </c>
      <c r="F30" s="100">
        <v>253.03</v>
      </c>
      <c r="G30" s="100">
        <v>226.25</v>
      </c>
      <c r="I30" s="6"/>
      <c r="J30" s="6"/>
      <c r="K30" s="6"/>
      <c r="L30" s="6"/>
      <c r="M30" s="6"/>
    </row>
    <row r="31" spans="1:13" ht="14.25" x14ac:dyDescent="0.2">
      <c r="A31" s="116"/>
      <c r="B31" s="100"/>
      <c r="C31" s="100"/>
      <c r="D31" s="100"/>
      <c r="E31" s="115"/>
      <c r="F31" s="100"/>
      <c r="G31" s="100"/>
      <c r="I31" s="6"/>
      <c r="J31" s="6"/>
      <c r="K31" s="6"/>
      <c r="L31" s="6"/>
      <c r="M31" s="6"/>
    </row>
    <row r="32" spans="1:13" ht="14.25" x14ac:dyDescent="0.2">
      <c r="A32" s="36" t="s">
        <v>154</v>
      </c>
      <c r="B32" s="100"/>
      <c r="C32" s="100"/>
      <c r="D32" s="100"/>
      <c r="E32" s="115"/>
      <c r="F32" s="100"/>
      <c r="G32" s="100"/>
      <c r="I32" s="6"/>
      <c r="J32" s="6"/>
      <c r="K32" s="6"/>
      <c r="L32" s="6"/>
      <c r="M32" s="6"/>
    </row>
    <row r="33" spans="1:13" ht="14.25" x14ac:dyDescent="0.2">
      <c r="A33" s="36" t="s">
        <v>51</v>
      </c>
      <c r="B33" s="100">
        <v>309.48</v>
      </c>
      <c r="C33" s="100">
        <v>213.13</v>
      </c>
      <c r="D33" s="100">
        <v>169</v>
      </c>
      <c r="E33" s="115" t="s">
        <v>10</v>
      </c>
      <c r="F33" s="100">
        <v>267.89999999999998</v>
      </c>
      <c r="G33" s="100">
        <v>226.5</v>
      </c>
      <c r="I33" s="6"/>
      <c r="J33" s="6"/>
      <c r="K33" s="6"/>
      <c r="L33" s="6"/>
      <c r="M33" s="6"/>
    </row>
    <row r="34" spans="1:13" ht="14.25" x14ac:dyDescent="0.2">
      <c r="A34" s="36" t="s">
        <v>52</v>
      </c>
      <c r="B34" s="100">
        <v>303.13</v>
      </c>
      <c r="C34" s="100">
        <v>233.75</v>
      </c>
      <c r="D34" s="100">
        <v>166.88</v>
      </c>
      <c r="E34" s="115" t="s">
        <v>10</v>
      </c>
      <c r="F34" s="100" t="s">
        <v>10</v>
      </c>
      <c r="G34" s="100">
        <v>226.88</v>
      </c>
      <c r="I34" s="6"/>
      <c r="J34" s="6"/>
      <c r="K34" s="6"/>
      <c r="L34" s="6"/>
      <c r="M34" s="6"/>
    </row>
    <row r="35" spans="1:13" ht="14.25" x14ac:dyDescent="0.2">
      <c r="A35" s="36" t="s">
        <v>53</v>
      </c>
      <c r="B35" s="100">
        <v>299.58999999999997</v>
      </c>
      <c r="C35" s="100">
        <v>250.83</v>
      </c>
      <c r="D35" s="100">
        <v>180</v>
      </c>
      <c r="E35" s="115" t="s">
        <v>10</v>
      </c>
      <c r="F35" s="100" t="s">
        <v>10</v>
      </c>
      <c r="G35" s="100">
        <f>(235+227.5+232.5)/3</f>
        <v>231.66666666666666</v>
      </c>
      <c r="I35" s="6"/>
      <c r="J35" s="6"/>
      <c r="K35" s="6"/>
      <c r="L35" s="6"/>
      <c r="M35" s="6"/>
    </row>
    <row r="36" spans="1:13" ht="14.25" x14ac:dyDescent="0.2">
      <c r="A36" s="117" t="s">
        <v>54</v>
      </c>
      <c r="B36" s="106">
        <v>300.11</v>
      </c>
      <c r="C36" s="106">
        <v>239.38</v>
      </c>
      <c r="D36" s="106">
        <v>185</v>
      </c>
      <c r="E36" s="118" t="s">
        <v>10</v>
      </c>
      <c r="F36" s="106" t="s">
        <v>10</v>
      </c>
      <c r="G36" s="106">
        <v>248.13</v>
      </c>
      <c r="I36" s="6"/>
      <c r="J36" s="6"/>
      <c r="K36" s="6"/>
      <c r="L36" s="6"/>
      <c r="M36" s="6"/>
    </row>
    <row r="37" spans="1:13" ht="16.5" x14ac:dyDescent="0.2">
      <c r="A37" s="77" t="s">
        <v>147</v>
      </c>
      <c r="B37" s="119"/>
      <c r="C37" s="119"/>
      <c r="D37" s="119"/>
      <c r="E37" s="119"/>
      <c r="F37" s="119"/>
      <c r="G37" s="119"/>
      <c r="I37" s="11"/>
      <c r="J37" s="6"/>
      <c r="K37" s="6"/>
      <c r="L37" s="6"/>
      <c r="M37" s="6"/>
    </row>
    <row r="38" spans="1:13" ht="16.5" x14ac:dyDescent="0.2">
      <c r="A38" s="77" t="s">
        <v>143</v>
      </c>
      <c r="B38" s="120"/>
      <c r="C38" s="120"/>
      <c r="D38" s="120"/>
      <c r="E38" s="120"/>
      <c r="F38" s="120"/>
      <c r="G38" s="120"/>
      <c r="I38" s="11"/>
      <c r="J38" s="6"/>
      <c r="K38" s="6"/>
      <c r="L38" s="6"/>
      <c r="M38" s="6"/>
    </row>
    <row r="39" spans="1:13" ht="14.25" x14ac:dyDescent="0.2">
      <c r="A39" s="36" t="s">
        <v>50</v>
      </c>
      <c r="B39" s="120"/>
      <c r="C39" s="120"/>
      <c r="D39" s="120"/>
      <c r="E39" s="120"/>
      <c r="F39" s="120"/>
      <c r="G39" s="120"/>
      <c r="H39" s="1"/>
      <c r="I39" s="11"/>
      <c r="J39" s="6"/>
      <c r="K39" s="6"/>
      <c r="L39" s="6"/>
      <c r="M39" s="6"/>
    </row>
    <row r="40" spans="1:13" ht="14.25" x14ac:dyDescent="0.2">
      <c r="A40" s="36" t="s">
        <v>144</v>
      </c>
      <c r="B40" s="36"/>
      <c r="C40" s="36"/>
      <c r="D40" s="36"/>
      <c r="E40" s="36"/>
      <c r="F40" s="36"/>
      <c r="G40" s="36"/>
      <c r="I40" s="11"/>
      <c r="J40" s="6"/>
      <c r="K40" s="6"/>
      <c r="L40" s="6"/>
      <c r="M40" s="6"/>
    </row>
    <row r="41" spans="1:13" ht="14.25" x14ac:dyDescent="0.2">
      <c r="A41" s="40" t="s">
        <v>20</v>
      </c>
      <c r="B41" s="69">
        <f ca="1">NOW()</f>
        <v>43874.410704282411</v>
      </c>
      <c r="C41" s="36"/>
      <c r="D41" s="36"/>
      <c r="E41" s="36"/>
      <c r="F41" s="36"/>
      <c r="G41" s="36"/>
      <c r="I41" s="12"/>
      <c r="J41" s="8"/>
      <c r="K41" s="8"/>
      <c r="L41" s="8"/>
      <c r="M41" s="8"/>
    </row>
    <row r="42" spans="1:13" ht="15.75" x14ac:dyDescent="0.25">
      <c r="F42" s="14"/>
      <c r="I42" s="12"/>
      <c r="J42" s="8"/>
      <c r="K42" s="8"/>
      <c r="L42" s="8"/>
      <c r="M42" s="8"/>
    </row>
    <row r="43" spans="1:13" x14ac:dyDescent="0.2">
      <c r="I43" s="11"/>
      <c r="J43" s="11"/>
      <c r="K43" s="6"/>
      <c r="L43" s="6"/>
      <c r="M43" s="6"/>
    </row>
    <row r="44" spans="1:13" x14ac:dyDescent="0.2">
      <c r="I44" s="11"/>
      <c r="J44" s="11"/>
      <c r="K44" s="6"/>
      <c r="L44" s="6"/>
      <c r="M44" s="6"/>
    </row>
    <row r="45" spans="1:13" x14ac:dyDescent="0.2">
      <c r="I45" s="11"/>
      <c r="J45" s="11"/>
      <c r="K45" s="6"/>
      <c r="L45" s="6"/>
      <c r="M45" s="6"/>
    </row>
    <row r="46" spans="1:13" x14ac:dyDescent="0.2">
      <c r="I46" s="11"/>
      <c r="J46" s="11"/>
      <c r="K46" s="6"/>
      <c r="L46" s="6"/>
      <c r="M46" s="6"/>
    </row>
    <row r="47" spans="1:13" x14ac:dyDescent="0.2">
      <c r="I47" s="11"/>
      <c r="J47" s="11"/>
      <c r="K47" s="6"/>
      <c r="L47" s="6"/>
      <c r="M47" s="6"/>
    </row>
    <row r="48" spans="1:13" x14ac:dyDescent="0.2">
      <c r="I48" s="11"/>
      <c r="J48" s="11"/>
      <c r="K48" s="6"/>
      <c r="L48" s="6"/>
      <c r="M48" s="6"/>
    </row>
    <row r="50" spans="9:13" x14ac:dyDescent="0.2">
      <c r="I50" s="9"/>
      <c r="J50" s="9"/>
      <c r="K50" s="9"/>
      <c r="L50" s="9"/>
      <c r="M50" s="9"/>
    </row>
    <row r="51" spans="9:13" x14ac:dyDescent="0.2">
      <c r="I51" s="9"/>
      <c r="J51" s="9"/>
      <c r="K51" s="9"/>
      <c r="L51" s="9"/>
      <c r="M51" s="9"/>
    </row>
    <row r="52" spans="9:13" x14ac:dyDescent="0.2">
      <c r="J52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347"/>
  <sheetViews>
    <sheetView zoomScale="110" zoomScaleNormal="110" workbookViewId="0">
      <selection activeCell="B9" sqref="B9"/>
    </sheetView>
  </sheetViews>
  <sheetFormatPr defaultRowHeight="12.75" x14ac:dyDescent="0.2"/>
  <cols>
    <col min="1" max="1" width="10.7109375" style="124" customWidth="1"/>
    <col min="2" max="2" width="9.7109375" customWidth="1"/>
    <col min="3" max="3" width="18.28515625" customWidth="1"/>
    <col min="4" max="6" width="10.5703125" customWidth="1"/>
  </cols>
  <sheetData>
    <row r="1" spans="1:3" x14ac:dyDescent="0.2">
      <c r="A1" s="144" t="s">
        <v>179</v>
      </c>
      <c r="B1" s="139" t="s">
        <v>177</v>
      </c>
      <c r="C1" t="s">
        <v>156</v>
      </c>
    </row>
    <row r="2" spans="1:3" ht="14.25" x14ac:dyDescent="0.2">
      <c r="A2" s="144" t="s">
        <v>180</v>
      </c>
      <c r="B2" s="36"/>
      <c r="C2" t="s">
        <v>178</v>
      </c>
    </row>
    <row r="3" spans="1:3" x14ac:dyDescent="0.2">
      <c r="B3" s="144"/>
    </row>
    <row r="4" spans="1:3" x14ac:dyDescent="0.2">
      <c r="A4" s="124">
        <v>2014</v>
      </c>
      <c r="B4" s="164">
        <v>14.476293</v>
      </c>
      <c r="C4" s="164">
        <f>24.219231-B4</f>
        <v>9.7429380000000005</v>
      </c>
    </row>
    <row r="5" spans="1:3" x14ac:dyDescent="0.2">
      <c r="A5" s="124">
        <v>2015</v>
      </c>
      <c r="B5" s="164">
        <v>10.488690999999999</v>
      </c>
      <c r="C5" s="164">
        <f>20.230176-B5</f>
        <v>9.7414850000000008</v>
      </c>
    </row>
    <row r="6" spans="1:3" x14ac:dyDescent="0.2">
      <c r="A6" s="124">
        <v>2016</v>
      </c>
      <c r="B6" s="164">
        <v>14.202579</v>
      </c>
      <c r="C6" s="164">
        <f>21.394461-B6</f>
        <v>7.1918819999999997</v>
      </c>
    </row>
    <row r="7" spans="1:3" x14ac:dyDescent="0.2">
      <c r="A7" s="124">
        <v>2017</v>
      </c>
      <c r="B7" s="164">
        <v>12.224418</v>
      </c>
      <c r="C7" s="164">
        <f>19.475893-B7</f>
        <v>7.2514749999999992</v>
      </c>
    </row>
    <row r="8" spans="1:3" x14ac:dyDescent="0.2">
      <c r="A8" s="124">
        <v>2018</v>
      </c>
      <c r="B8" s="164">
        <v>3.1192289999999998</v>
      </c>
      <c r="C8" s="164">
        <f>9.146625-B8</f>
        <v>6.0273960000000004</v>
      </c>
    </row>
    <row r="9" spans="1:3" x14ac:dyDescent="0.2">
      <c r="A9" s="124">
        <v>2019</v>
      </c>
      <c r="B9" s="164">
        <v>7.9888769999999996</v>
      </c>
      <c r="C9" s="164">
        <f>13.849395-B9</f>
        <v>5.8605179999999999</v>
      </c>
    </row>
    <row r="10" spans="1:3" x14ac:dyDescent="0.2">
      <c r="B10" s="164"/>
    </row>
    <row r="11" spans="1:3" x14ac:dyDescent="0.2">
      <c r="B11" s="164"/>
    </row>
    <row r="12" spans="1:3" x14ac:dyDescent="0.2">
      <c r="B12" s="164"/>
    </row>
    <row r="13" spans="1:3" x14ac:dyDescent="0.2">
      <c r="B13" s="164"/>
    </row>
    <row r="14" spans="1:3" x14ac:dyDescent="0.2">
      <c r="B14" s="164"/>
    </row>
    <row r="15" spans="1:3" x14ac:dyDescent="0.2">
      <c r="B15" s="164"/>
    </row>
    <row r="16" spans="1:3" x14ac:dyDescent="0.2">
      <c r="B16" s="121"/>
    </row>
    <row r="17" spans="2:2" x14ac:dyDescent="0.2">
      <c r="B17" s="165"/>
    </row>
    <row r="18" spans="2:2" x14ac:dyDescent="0.2">
      <c r="B18" s="165"/>
    </row>
    <row r="19" spans="2:2" x14ac:dyDescent="0.2">
      <c r="B19" s="165"/>
    </row>
    <row r="20" spans="2:2" x14ac:dyDescent="0.2">
      <c r="B20" s="165"/>
    </row>
    <row r="21" spans="2:2" x14ac:dyDescent="0.2">
      <c r="B21" s="165"/>
    </row>
    <row r="22" spans="2:2" x14ac:dyDescent="0.2">
      <c r="B22" s="165"/>
    </row>
    <row r="23" spans="2:2" x14ac:dyDescent="0.2">
      <c r="B23" s="165"/>
    </row>
    <row r="24" spans="2:2" x14ac:dyDescent="0.2">
      <c r="B24" s="165"/>
    </row>
    <row r="25" spans="2:2" x14ac:dyDescent="0.2">
      <c r="B25" s="165"/>
    </row>
    <row r="26" spans="2:2" x14ac:dyDescent="0.2">
      <c r="B26" s="165"/>
    </row>
    <row r="27" spans="2:2" x14ac:dyDescent="0.2">
      <c r="B27" s="165"/>
    </row>
    <row r="28" spans="2:2" x14ac:dyDescent="0.2">
      <c r="B28" s="165"/>
    </row>
    <row r="29" spans="2:2" x14ac:dyDescent="0.2">
      <c r="B29" s="165"/>
    </row>
    <row r="30" spans="2:2" x14ac:dyDescent="0.2">
      <c r="B30" s="165"/>
    </row>
    <row r="31" spans="2:2" x14ac:dyDescent="0.2">
      <c r="B31" s="121"/>
    </row>
    <row r="32" spans="2:2" x14ac:dyDescent="0.2">
      <c r="B32" s="121"/>
    </row>
    <row r="33" spans="2:2" x14ac:dyDescent="0.2">
      <c r="B33" s="121"/>
    </row>
    <row r="34" spans="2:2" x14ac:dyDescent="0.2">
      <c r="B34" s="121"/>
    </row>
    <row r="35" spans="2:2" x14ac:dyDescent="0.2">
      <c r="B35" s="121"/>
    </row>
    <row r="36" spans="2:2" x14ac:dyDescent="0.2">
      <c r="B36" s="121"/>
    </row>
    <row r="37" spans="2:2" x14ac:dyDescent="0.2">
      <c r="B37" s="121"/>
    </row>
    <row r="38" spans="2:2" x14ac:dyDescent="0.2">
      <c r="B38" s="16"/>
    </row>
    <row r="39" spans="2:2" x14ac:dyDescent="0.2">
      <c r="B39" s="16"/>
    </row>
    <row r="40" spans="2:2" x14ac:dyDescent="0.2">
      <c r="B40" s="16"/>
    </row>
    <row r="41" spans="2:2" x14ac:dyDescent="0.2">
      <c r="B41" s="16"/>
    </row>
    <row r="42" spans="2:2" x14ac:dyDescent="0.2">
      <c r="B42" s="16"/>
    </row>
    <row r="43" spans="2:2" x14ac:dyDescent="0.2">
      <c r="B43" s="16"/>
    </row>
    <row r="44" spans="2:2" x14ac:dyDescent="0.2">
      <c r="B44" s="16"/>
    </row>
    <row r="45" spans="2:2" x14ac:dyDescent="0.2">
      <c r="B45" s="153"/>
    </row>
    <row r="46" spans="2:2" x14ac:dyDescent="0.2">
      <c r="B46" s="153"/>
    </row>
    <row r="47" spans="2:2" x14ac:dyDescent="0.2">
      <c r="B47" s="153"/>
    </row>
    <row r="48" spans="2:2" x14ac:dyDescent="0.2">
      <c r="B48" s="153"/>
    </row>
    <row r="49" spans="2:2" x14ac:dyDescent="0.2">
      <c r="B49" s="153"/>
    </row>
    <row r="50" spans="2:2" x14ac:dyDescent="0.2">
      <c r="B50" s="16"/>
    </row>
    <row r="51" spans="2:2" x14ac:dyDescent="0.2">
      <c r="B51" s="16"/>
    </row>
    <row r="52" spans="2:2" x14ac:dyDescent="0.2">
      <c r="B52" s="16"/>
    </row>
    <row r="53" spans="2:2" x14ac:dyDescent="0.2">
      <c r="B53" s="16"/>
    </row>
    <row r="54" spans="2:2" x14ac:dyDescent="0.2">
      <c r="B54" s="16"/>
    </row>
    <row r="55" spans="2:2" x14ac:dyDescent="0.2">
      <c r="B55" s="16"/>
    </row>
    <row r="56" spans="2:2" x14ac:dyDescent="0.2">
      <c r="B56" s="16"/>
    </row>
    <row r="57" spans="2:2" x14ac:dyDescent="0.2">
      <c r="B57" s="16"/>
    </row>
    <row r="58" spans="2:2" x14ac:dyDescent="0.2">
      <c r="B58" s="16"/>
    </row>
    <row r="59" spans="2:2" x14ac:dyDescent="0.2">
      <c r="B59" s="16"/>
    </row>
    <row r="60" spans="2:2" x14ac:dyDescent="0.2">
      <c r="B60" s="16"/>
    </row>
    <row r="61" spans="2:2" x14ac:dyDescent="0.2">
      <c r="B61" s="16"/>
    </row>
    <row r="62" spans="2:2" x14ac:dyDescent="0.2">
      <c r="B62" s="16"/>
    </row>
    <row r="63" spans="2:2" x14ac:dyDescent="0.2">
      <c r="B63" s="16"/>
    </row>
    <row r="64" spans="2:2" x14ac:dyDescent="0.2">
      <c r="B64" s="16"/>
    </row>
    <row r="65" spans="2:2" x14ac:dyDescent="0.2">
      <c r="B65" s="16"/>
    </row>
    <row r="66" spans="2:2" x14ac:dyDescent="0.2">
      <c r="B66" s="16"/>
    </row>
    <row r="67" spans="2:2" x14ac:dyDescent="0.2">
      <c r="B67" s="16"/>
    </row>
    <row r="68" spans="2:2" x14ac:dyDescent="0.2">
      <c r="B68" s="16"/>
    </row>
    <row r="69" spans="2:2" x14ac:dyDescent="0.2">
      <c r="B69" s="16"/>
    </row>
    <row r="70" spans="2:2" x14ac:dyDescent="0.2">
      <c r="B70" s="16"/>
    </row>
    <row r="71" spans="2:2" x14ac:dyDescent="0.2">
      <c r="B71" s="16"/>
    </row>
    <row r="72" spans="2:2" x14ac:dyDescent="0.2">
      <c r="B72" s="16"/>
    </row>
    <row r="73" spans="2:2" x14ac:dyDescent="0.2">
      <c r="B73" s="16"/>
    </row>
    <row r="74" spans="2:2" x14ac:dyDescent="0.2">
      <c r="B74" s="16"/>
    </row>
    <row r="75" spans="2:2" x14ac:dyDescent="0.2">
      <c r="B75" s="16"/>
    </row>
    <row r="76" spans="2:2" x14ac:dyDescent="0.2">
      <c r="B76" s="16"/>
    </row>
    <row r="77" spans="2:2" x14ac:dyDescent="0.2">
      <c r="B77" s="16"/>
    </row>
    <row r="78" spans="2:2" x14ac:dyDescent="0.2">
      <c r="B78" s="16"/>
    </row>
    <row r="79" spans="2:2" x14ac:dyDescent="0.2">
      <c r="B79" s="16"/>
    </row>
    <row r="80" spans="2:2" x14ac:dyDescent="0.2">
      <c r="B80" s="16"/>
    </row>
    <row r="81" spans="2:2" x14ac:dyDescent="0.2">
      <c r="B81" s="16"/>
    </row>
    <row r="82" spans="2:2" x14ac:dyDescent="0.2">
      <c r="B82" s="16"/>
    </row>
    <row r="83" spans="2:2" x14ac:dyDescent="0.2">
      <c r="B83" s="16"/>
    </row>
    <row r="84" spans="2:2" x14ac:dyDescent="0.2">
      <c r="B84" s="16"/>
    </row>
    <row r="85" spans="2:2" x14ac:dyDescent="0.2">
      <c r="B85" s="16"/>
    </row>
    <row r="86" spans="2:2" x14ac:dyDescent="0.2">
      <c r="B86" s="16"/>
    </row>
    <row r="87" spans="2:2" x14ac:dyDescent="0.2">
      <c r="B87" s="16"/>
    </row>
    <row r="88" spans="2:2" x14ac:dyDescent="0.2">
      <c r="B88" s="16"/>
    </row>
    <row r="89" spans="2:2" x14ac:dyDescent="0.2">
      <c r="B89" s="16"/>
    </row>
    <row r="90" spans="2:2" x14ac:dyDescent="0.2">
      <c r="B90" s="16"/>
    </row>
    <row r="91" spans="2:2" x14ac:dyDescent="0.2">
      <c r="B91" s="16"/>
    </row>
    <row r="92" spans="2:2" x14ac:dyDescent="0.2">
      <c r="B92" s="16"/>
    </row>
    <row r="93" spans="2:2" x14ac:dyDescent="0.2">
      <c r="B93" s="16"/>
    </row>
    <row r="94" spans="2:2" x14ac:dyDescent="0.2">
      <c r="B94" s="16"/>
    </row>
    <row r="95" spans="2:2" x14ac:dyDescent="0.2">
      <c r="B95" s="16"/>
    </row>
    <row r="96" spans="2:2" x14ac:dyDescent="0.2">
      <c r="B96" s="16"/>
    </row>
    <row r="97" spans="2:2" x14ac:dyDescent="0.2">
      <c r="B97" s="16"/>
    </row>
    <row r="98" spans="2:2" x14ac:dyDescent="0.2">
      <c r="B98" s="16"/>
    </row>
    <row r="99" spans="2:2" x14ac:dyDescent="0.2">
      <c r="B99" s="16"/>
    </row>
    <row r="100" spans="2:2" x14ac:dyDescent="0.2">
      <c r="B100" s="16"/>
    </row>
    <row r="101" spans="2:2" x14ac:dyDescent="0.2">
      <c r="B101" s="16"/>
    </row>
    <row r="102" spans="2:2" x14ac:dyDescent="0.2">
      <c r="B102" s="16"/>
    </row>
    <row r="103" spans="2:2" x14ac:dyDescent="0.2">
      <c r="B103" s="16"/>
    </row>
    <row r="104" spans="2:2" x14ac:dyDescent="0.2">
      <c r="B104" s="16"/>
    </row>
    <row r="105" spans="2:2" x14ac:dyDescent="0.2">
      <c r="B105" s="16"/>
    </row>
    <row r="106" spans="2:2" x14ac:dyDescent="0.2">
      <c r="B106" s="16"/>
    </row>
    <row r="107" spans="2:2" x14ac:dyDescent="0.2">
      <c r="B107" s="16"/>
    </row>
    <row r="108" spans="2:2" x14ac:dyDescent="0.2">
      <c r="B108" s="16"/>
    </row>
    <row r="109" spans="2:2" x14ac:dyDescent="0.2">
      <c r="B109" s="16"/>
    </row>
    <row r="110" spans="2:2" x14ac:dyDescent="0.2">
      <c r="B110" s="16"/>
    </row>
    <row r="111" spans="2:2" x14ac:dyDescent="0.2">
      <c r="B111" s="16"/>
    </row>
    <row r="112" spans="2:2" x14ac:dyDescent="0.2">
      <c r="B112" s="16"/>
    </row>
    <row r="113" spans="2:2" x14ac:dyDescent="0.2">
      <c r="B113" s="16"/>
    </row>
    <row r="114" spans="2:2" x14ac:dyDescent="0.2">
      <c r="B114" s="16"/>
    </row>
    <row r="115" spans="2:2" x14ac:dyDescent="0.2">
      <c r="B115" s="16"/>
    </row>
    <row r="116" spans="2:2" x14ac:dyDescent="0.2">
      <c r="B116" s="16"/>
    </row>
    <row r="117" spans="2:2" x14ac:dyDescent="0.2">
      <c r="B117" s="16"/>
    </row>
    <row r="118" spans="2:2" x14ac:dyDescent="0.2">
      <c r="B118" s="16"/>
    </row>
    <row r="119" spans="2:2" x14ac:dyDescent="0.2">
      <c r="B119" s="16"/>
    </row>
    <row r="120" spans="2:2" x14ac:dyDescent="0.2">
      <c r="B120" s="16"/>
    </row>
    <row r="121" spans="2:2" x14ac:dyDescent="0.2">
      <c r="B121" s="16"/>
    </row>
    <row r="122" spans="2:2" x14ac:dyDescent="0.2">
      <c r="B122" s="16"/>
    </row>
    <row r="123" spans="2:2" x14ac:dyDescent="0.2">
      <c r="B123" s="16"/>
    </row>
    <row r="124" spans="2:2" x14ac:dyDescent="0.2">
      <c r="B124" s="16"/>
    </row>
    <row r="125" spans="2:2" x14ac:dyDescent="0.2">
      <c r="B125" s="16"/>
    </row>
    <row r="126" spans="2:2" x14ac:dyDescent="0.2">
      <c r="B126" s="16"/>
    </row>
    <row r="127" spans="2:2" x14ac:dyDescent="0.2">
      <c r="B127" s="16"/>
    </row>
    <row r="128" spans="2:2" x14ac:dyDescent="0.2">
      <c r="B128" s="16"/>
    </row>
    <row r="129" spans="2:2" x14ac:dyDescent="0.2">
      <c r="B129" s="16"/>
    </row>
    <row r="130" spans="2:2" x14ac:dyDescent="0.2">
      <c r="B130" s="16"/>
    </row>
    <row r="131" spans="2:2" x14ac:dyDescent="0.2">
      <c r="B131" s="16"/>
    </row>
    <row r="132" spans="2:2" x14ac:dyDescent="0.2">
      <c r="B132" s="16"/>
    </row>
    <row r="133" spans="2:2" x14ac:dyDescent="0.2">
      <c r="B133" s="16"/>
    </row>
    <row r="134" spans="2:2" x14ac:dyDescent="0.2">
      <c r="B134" s="16"/>
    </row>
    <row r="135" spans="2:2" x14ac:dyDescent="0.2">
      <c r="B135" s="16"/>
    </row>
    <row r="136" spans="2:2" x14ac:dyDescent="0.2">
      <c r="B136" s="16"/>
    </row>
    <row r="137" spans="2:2" x14ac:dyDescent="0.2">
      <c r="B137" s="16"/>
    </row>
    <row r="138" spans="2:2" x14ac:dyDescent="0.2">
      <c r="B138" s="16"/>
    </row>
    <row r="139" spans="2:2" x14ac:dyDescent="0.2">
      <c r="B139" s="16"/>
    </row>
    <row r="140" spans="2:2" x14ac:dyDescent="0.2">
      <c r="B140" s="16"/>
    </row>
    <row r="141" spans="2:2" x14ac:dyDescent="0.2">
      <c r="B141" s="16"/>
    </row>
    <row r="142" spans="2:2" x14ac:dyDescent="0.2">
      <c r="B142" s="16"/>
    </row>
    <row r="143" spans="2:2" x14ac:dyDescent="0.2">
      <c r="B143" s="16"/>
    </row>
    <row r="144" spans="2:2" x14ac:dyDescent="0.2">
      <c r="B144" s="16"/>
    </row>
    <row r="145" spans="2:2" x14ac:dyDescent="0.2">
      <c r="B145" s="16"/>
    </row>
    <row r="146" spans="2:2" x14ac:dyDescent="0.2">
      <c r="B146" s="16"/>
    </row>
    <row r="147" spans="2:2" x14ac:dyDescent="0.2">
      <c r="B147" s="16"/>
    </row>
    <row r="148" spans="2:2" x14ac:dyDescent="0.2">
      <c r="B148" s="16"/>
    </row>
    <row r="149" spans="2:2" x14ac:dyDescent="0.2">
      <c r="B149" s="16"/>
    </row>
    <row r="150" spans="2:2" x14ac:dyDescent="0.2">
      <c r="B150" s="16"/>
    </row>
    <row r="151" spans="2:2" x14ac:dyDescent="0.2">
      <c r="B151" s="16"/>
    </row>
    <row r="152" spans="2:2" x14ac:dyDescent="0.2">
      <c r="B152" s="16"/>
    </row>
    <row r="153" spans="2:2" x14ac:dyDescent="0.2">
      <c r="B153" s="16"/>
    </row>
    <row r="154" spans="2:2" x14ac:dyDescent="0.2">
      <c r="B154" s="16"/>
    </row>
    <row r="155" spans="2:2" x14ac:dyDescent="0.2">
      <c r="B155" s="16"/>
    </row>
    <row r="156" spans="2:2" x14ac:dyDescent="0.2">
      <c r="B156" s="16"/>
    </row>
    <row r="157" spans="2:2" x14ac:dyDescent="0.2">
      <c r="B157" s="16"/>
    </row>
    <row r="158" spans="2:2" x14ac:dyDescent="0.2">
      <c r="B158" s="16"/>
    </row>
    <row r="159" spans="2:2" x14ac:dyDescent="0.2">
      <c r="B159" s="16"/>
    </row>
    <row r="160" spans="2:2" x14ac:dyDescent="0.2">
      <c r="B160" s="16"/>
    </row>
    <row r="161" spans="2:2" x14ac:dyDescent="0.2">
      <c r="B161" s="16"/>
    </row>
    <row r="162" spans="2:2" x14ac:dyDescent="0.2">
      <c r="B162" s="16"/>
    </row>
    <row r="163" spans="2:2" x14ac:dyDescent="0.2">
      <c r="B163" s="16"/>
    </row>
    <row r="164" spans="2:2" x14ac:dyDescent="0.2">
      <c r="B164" s="16"/>
    </row>
    <row r="165" spans="2:2" x14ac:dyDescent="0.2">
      <c r="B165" s="16"/>
    </row>
    <row r="166" spans="2:2" x14ac:dyDescent="0.2">
      <c r="B166" s="16"/>
    </row>
    <row r="167" spans="2:2" x14ac:dyDescent="0.2">
      <c r="B167" s="16"/>
    </row>
    <row r="168" spans="2:2" x14ac:dyDescent="0.2">
      <c r="B168" s="16"/>
    </row>
    <row r="169" spans="2:2" x14ac:dyDescent="0.2">
      <c r="B169" s="16"/>
    </row>
    <row r="170" spans="2:2" x14ac:dyDescent="0.2">
      <c r="B170" s="16"/>
    </row>
    <row r="171" spans="2:2" x14ac:dyDescent="0.2">
      <c r="B171" s="16"/>
    </row>
    <row r="172" spans="2:2" x14ac:dyDescent="0.2">
      <c r="B172" s="16"/>
    </row>
    <row r="173" spans="2:2" x14ac:dyDescent="0.2">
      <c r="B173" s="16"/>
    </row>
    <row r="174" spans="2:2" x14ac:dyDescent="0.2">
      <c r="B174" s="16"/>
    </row>
    <row r="175" spans="2:2" x14ac:dyDescent="0.2">
      <c r="B175" s="16"/>
    </row>
    <row r="176" spans="2:2" x14ac:dyDescent="0.2">
      <c r="B176" s="16"/>
    </row>
    <row r="177" spans="2:2" x14ac:dyDescent="0.2">
      <c r="B177" s="16"/>
    </row>
    <row r="178" spans="2:2" x14ac:dyDescent="0.2">
      <c r="B178" s="16"/>
    </row>
    <row r="179" spans="2:2" x14ac:dyDescent="0.2">
      <c r="B179" s="16"/>
    </row>
    <row r="180" spans="2:2" x14ac:dyDescent="0.2">
      <c r="B180" s="16"/>
    </row>
    <row r="181" spans="2:2" x14ac:dyDescent="0.2">
      <c r="B181" s="16"/>
    </row>
    <row r="182" spans="2:2" x14ac:dyDescent="0.2">
      <c r="B182" s="16"/>
    </row>
    <row r="183" spans="2:2" x14ac:dyDescent="0.2">
      <c r="B183" s="16"/>
    </row>
    <row r="184" spans="2:2" x14ac:dyDescent="0.2">
      <c r="B184" s="16"/>
    </row>
    <row r="185" spans="2:2" x14ac:dyDescent="0.2">
      <c r="B185" s="16"/>
    </row>
    <row r="186" spans="2:2" x14ac:dyDescent="0.2">
      <c r="B186" s="16"/>
    </row>
    <row r="187" spans="2:2" x14ac:dyDescent="0.2">
      <c r="B187" s="16"/>
    </row>
    <row r="188" spans="2:2" x14ac:dyDescent="0.2">
      <c r="B188" s="16"/>
    </row>
    <row r="189" spans="2:2" x14ac:dyDescent="0.2">
      <c r="B189" s="16"/>
    </row>
    <row r="190" spans="2:2" x14ac:dyDescent="0.2">
      <c r="B190" s="16"/>
    </row>
    <row r="191" spans="2:2" x14ac:dyDescent="0.2">
      <c r="B191" s="16"/>
    </row>
    <row r="192" spans="2:2" x14ac:dyDescent="0.2">
      <c r="B192" s="16"/>
    </row>
    <row r="193" spans="2:2" x14ac:dyDescent="0.2">
      <c r="B193" s="16"/>
    </row>
    <row r="194" spans="2:2" x14ac:dyDescent="0.2">
      <c r="B194" s="16"/>
    </row>
    <row r="195" spans="2:2" x14ac:dyDescent="0.2">
      <c r="B195" s="16"/>
    </row>
    <row r="196" spans="2:2" x14ac:dyDescent="0.2">
      <c r="B196" s="16"/>
    </row>
    <row r="197" spans="2:2" x14ac:dyDescent="0.2">
      <c r="B197" s="16"/>
    </row>
    <row r="198" spans="2:2" x14ac:dyDescent="0.2">
      <c r="B198" s="16"/>
    </row>
    <row r="199" spans="2:2" x14ac:dyDescent="0.2">
      <c r="B199" s="16"/>
    </row>
    <row r="200" spans="2:2" x14ac:dyDescent="0.2">
      <c r="B200" s="16"/>
    </row>
    <row r="201" spans="2:2" x14ac:dyDescent="0.2">
      <c r="B201" s="16"/>
    </row>
    <row r="202" spans="2:2" x14ac:dyDescent="0.2">
      <c r="B202" s="16"/>
    </row>
    <row r="203" spans="2:2" x14ac:dyDescent="0.2">
      <c r="B203" s="16"/>
    </row>
    <row r="204" spans="2:2" x14ac:dyDescent="0.2">
      <c r="B204" s="16"/>
    </row>
    <row r="205" spans="2:2" x14ac:dyDescent="0.2">
      <c r="B205" s="16"/>
    </row>
    <row r="206" spans="2:2" x14ac:dyDescent="0.2">
      <c r="B206" s="16"/>
    </row>
    <row r="207" spans="2:2" x14ac:dyDescent="0.2">
      <c r="B207" s="16"/>
    </row>
    <row r="208" spans="2:2" x14ac:dyDescent="0.2">
      <c r="B208" s="16"/>
    </row>
    <row r="209" spans="2:2" x14ac:dyDescent="0.2">
      <c r="B209" s="16"/>
    </row>
    <row r="210" spans="2:2" x14ac:dyDescent="0.2">
      <c r="B210" s="16"/>
    </row>
    <row r="211" spans="2:2" x14ac:dyDescent="0.2">
      <c r="B211" s="16"/>
    </row>
    <row r="212" spans="2:2" x14ac:dyDescent="0.2">
      <c r="B212" s="16"/>
    </row>
    <row r="213" spans="2:2" x14ac:dyDescent="0.2">
      <c r="B213" s="16"/>
    </row>
    <row r="214" spans="2:2" x14ac:dyDescent="0.2">
      <c r="B214" s="16"/>
    </row>
    <row r="215" spans="2:2" x14ac:dyDescent="0.2">
      <c r="B215" s="16"/>
    </row>
    <row r="216" spans="2:2" x14ac:dyDescent="0.2">
      <c r="B216" s="16"/>
    </row>
    <row r="217" spans="2:2" x14ac:dyDescent="0.2">
      <c r="B217" s="16"/>
    </row>
    <row r="218" spans="2:2" x14ac:dyDescent="0.2">
      <c r="B218" s="16"/>
    </row>
    <row r="219" spans="2:2" x14ac:dyDescent="0.2">
      <c r="B219" s="16"/>
    </row>
    <row r="220" spans="2:2" x14ac:dyDescent="0.2">
      <c r="B220" s="16"/>
    </row>
    <row r="221" spans="2:2" x14ac:dyDescent="0.2">
      <c r="B221" s="16"/>
    </row>
    <row r="222" spans="2:2" x14ac:dyDescent="0.2">
      <c r="B222" s="16"/>
    </row>
    <row r="223" spans="2:2" x14ac:dyDescent="0.2">
      <c r="B223" s="16"/>
    </row>
    <row r="224" spans="2:2" x14ac:dyDescent="0.2">
      <c r="B224" s="16"/>
    </row>
    <row r="225" spans="2:2" x14ac:dyDescent="0.2">
      <c r="B225" s="16"/>
    </row>
    <row r="226" spans="2:2" x14ac:dyDescent="0.2">
      <c r="B226" s="16"/>
    </row>
    <row r="227" spans="2:2" x14ac:dyDescent="0.2">
      <c r="B227" s="16"/>
    </row>
    <row r="228" spans="2:2" x14ac:dyDescent="0.2">
      <c r="B228" s="16"/>
    </row>
    <row r="229" spans="2:2" x14ac:dyDescent="0.2">
      <c r="B229" s="16"/>
    </row>
    <row r="230" spans="2:2" x14ac:dyDescent="0.2">
      <c r="B230" s="16"/>
    </row>
    <row r="231" spans="2:2" x14ac:dyDescent="0.2">
      <c r="B231" s="16"/>
    </row>
    <row r="232" spans="2:2" x14ac:dyDescent="0.2">
      <c r="B232" s="16"/>
    </row>
    <row r="233" spans="2:2" x14ac:dyDescent="0.2">
      <c r="B233" s="16"/>
    </row>
    <row r="234" spans="2:2" x14ac:dyDescent="0.2">
      <c r="B234" s="16"/>
    </row>
    <row r="235" spans="2:2" x14ac:dyDescent="0.2">
      <c r="B235" s="16"/>
    </row>
    <row r="236" spans="2:2" x14ac:dyDescent="0.2">
      <c r="B236" s="16"/>
    </row>
    <row r="237" spans="2:2" x14ac:dyDescent="0.2">
      <c r="B237" s="16"/>
    </row>
    <row r="238" spans="2:2" x14ac:dyDescent="0.2">
      <c r="B238" s="16"/>
    </row>
    <row r="239" spans="2:2" x14ac:dyDescent="0.2">
      <c r="B239" s="16"/>
    </row>
    <row r="240" spans="2:2" x14ac:dyDescent="0.2">
      <c r="B240" s="16"/>
    </row>
    <row r="241" spans="2:2" x14ac:dyDescent="0.2">
      <c r="B241" s="16"/>
    </row>
    <row r="242" spans="2:2" x14ac:dyDescent="0.2">
      <c r="B242" s="16"/>
    </row>
    <row r="243" spans="2:2" x14ac:dyDescent="0.2">
      <c r="B243" s="16"/>
    </row>
    <row r="244" spans="2:2" x14ac:dyDescent="0.2">
      <c r="B244" s="16"/>
    </row>
    <row r="245" spans="2:2" x14ac:dyDescent="0.2">
      <c r="B245" s="16"/>
    </row>
    <row r="246" spans="2:2" x14ac:dyDescent="0.2">
      <c r="B246" s="16"/>
    </row>
    <row r="247" spans="2:2" x14ac:dyDescent="0.2">
      <c r="B247" s="16"/>
    </row>
    <row r="248" spans="2:2" x14ac:dyDescent="0.2">
      <c r="B248" s="16"/>
    </row>
    <row r="249" spans="2:2" x14ac:dyDescent="0.2">
      <c r="B249" s="16"/>
    </row>
    <row r="250" spans="2:2" x14ac:dyDescent="0.2">
      <c r="B250" s="16"/>
    </row>
    <row r="251" spans="2:2" x14ac:dyDescent="0.2">
      <c r="B251" s="16"/>
    </row>
    <row r="252" spans="2:2" x14ac:dyDescent="0.2">
      <c r="B252" s="16"/>
    </row>
    <row r="253" spans="2:2" x14ac:dyDescent="0.2">
      <c r="B253" s="16"/>
    </row>
    <row r="254" spans="2:2" x14ac:dyDescent="0.2">
      <c r="B254" s="16"/>
    </row>
    <row r="255" spans="2:2" x14ac:dyDescent="0.2">
      <c r="B255" s="16"/>
    </row>
    <row r="256" spans="2:2" x14ac:dyDescent="0.2">
      <c r="B256" s="16"/>
    </row>
    <row r="257" spans="2:2" x14ac:dyDescent="0.2">
      <c r="B257" s="16"/>
    </row>
    <row r="258" spans="2:2" x14ac:dyDescent="0.2">
      <c r="B258" s="16"/>
    </row>
    <row r="259" spans="2:2" x14ac:dyDescent="0.2">
      <c r="B259" s="16"/>
    </row>
    <row r="260" spans="2:2" x14ac:dyDescent="0.2">
      <c r="B260" s="16"/>
    </row>
    <row r="261" spans="2:2" x14ac:dyDescent="0.2">
      <c r="B261" s="16"/>
    </row>
    <row r="262" spans="2:2" x14ac:dyDescent="0.2">
      <c r="B262" s="16"/>
    </row>
    <row r="263" spans="2:2" x14ac:dyDescent="0.2">
      <c r="B263" s="16"/>
    </row>
    <row r="264" spans="2:2" x14ac:dyDescent="0.2">
      <c r="B264" s="16"/>
    </row>
    <row r="265" spans="2:2" x14ac:dyDescent="0.2">
      <c r="B265" s="16"/>
    </row>
    <row r="266" spans="2:2" x14ac:dyDescent="0.2">
      <c r="B266" s="16"/>
    </row>
    <row r="267" spans="2:2" x14ac:dyDescent="0.2">
      <c r="B267" s="16"/>
    </row>
    <row r="268" spans="2:2" x14ac:dyDescent="0.2">
      <c r="B268" s="16"/>
    </row>
    <row r="269" spans="2:2" x14ac:dyDescent="0.2">
      <c r="B269" s="16"/>
    </row>
    <row r="270" spans="2:2" x14ac:dyDescent="0.2">
      <c r="B270" s="16"/>
    </row>
    <row r="271" spans="2:2" x14ac:dyDescent="0.2">
      <c r="B271" s="16"/>
    </row>
    <row r="272" spans="2:2" x14ac:dyDescent="0.2">
      <c r="B272" s="16"/>
    </row>
    <row r="273" spans="2:2" x14ac:dyDescent="0.2">
      <c r="B273" s="16"/>
    </row>
    <row r="274" spans="2:2" x14ac:dyDescent="0.2">
      <c r="B274" s="16"/>
    </row>
    <row r="275" spans="2:2" x14ac:dyDescent="0.2">
      <c r="B275" s="16"/>
    </row>
    <row r="276" spans="2:2" x14ac:dyDescent="0.2">
      <c r="B276" s="16"/>
    </row>
    <row r="277" spans="2:2" x14ac:dyDescent="0.2">
      <c r="B277" s="16"/>
    </row>
    <row r="278" spans="2:2" x14ac:dyDescent="0.2">
      <c r="B278" s="16"/>
    </row>
    <row r="279" spans="2:2" x14ac:dyDescent="0.2">
      <c r="B279" s="16"/>
    </row>
    <row r="280" spans="2:2" x14ac:dyDescent="0.2">
      <c r="B280" s="16"/>
    </row>
    <row r="281" spans="2:2" x14ac:dyDescent="0.2">
      <c r="B281" s="16"/>
    </row>
    <row r="282" spans="2:2" x14ac:dyDescent="0.2">
      <c r="B282" s="16"/>
    </row>
    <row r="283" spans="2:2" x14ac:dyDescent="0.2">
      <c r="B283" s="16"/>
    </row>
    <row r="284" spans="2:2" x14ac:dyDescent="0.2">
      <c r="B284" s="16"/>
    </row>
    <row r="285" spans="2:2" x14ac:dyDescent="0.2">
      <c r="B285" s="16"/>
    </row>
    <row r="286" spans="2:2" x14ac:dyDescent="0.2">
      <c r="B286" s="16"/>
    </row>
    <row r="287" spans="2:2" x14ac:dyDescent="0.2">
      <c r="B287" s="16"/>
    </row>
    <row r="288" spans="2:2" x14ac:dyDescent="0.2">
      <c r="B288" s="16"/>
    </row>
    <row r="289" spans="2:2" x14ac:dyDescent="0.2">
      <c r="B289" s="16"/>
    </row>
    <row r="290" spans="2:2" x14ac:dyDescent="0.2">
      <c r="B290" s="16"/>
    </row>
    <row r="291" spans="2:2" x14ac:dyDescent="0.2">
      <c r="B291" s="16"/>
    </row>
    <row r="292" spans="2:2" x14ac:dyDescent="0.2">
      <c r="B292" s="16"/>
    </row>
    <row r="293" spans="2:2" x14ac:dyDescent="0.2">
      <c r="B293" s="16"/>
    </row>
    <row r="294" spans="2:2" x14ac:dyDescent="0.2">
      <c r="B294" s="16"/>
    </row>
    <row r="295" spans="2:2" x14ac:dyDescent="0.2">
      <c r="B295" s="16"/>
    </row>
    <row r="296" spans="2:2" x14ac:dyDescent="0.2">
      <c r="B296" s="16"/>
    </row>
    <row r="297" spans="2:2" x14ac:dyDescent="0.2">
      <c r="B297" s="16"/>
    </row>
    <row r="298" spans="2:2" x14ac:dyDescent="0.2">
      <c r="B298" s="16"/>
    </row>
    <row r="299" spans="2:2" x14ac:dyDescent="0.2">
      <c r="B299" s="16"/>
    </row>
    <row r="300" spans="2:2" x14ac:dyDescent="0.2">
      <c r="B300" s="16"/>
    </row>
    <row r="301" spans="2:2" x14ac:dyDescent="0.2">
      <c r="B301" s="16"/>
    </row>
    <row r="302" spans="2:2" x14ac:dyDescent="0.2">
      <c r="B302" s="16"/>
    </row>
    <row r="303" spans="2:2" x14ac:dyDescent="0.2">
      <c r="B303" s="16"/>
    </row>
    <row r="304" spans="2:2" x14ac:dyDescent="0.2">
      <c r="B304" s="16"/>
    </row>
    <row r="305" spans="2:2" x14ac:dyDescent="0.2">
      <c r="B305" s="16"/>
    </row>
    <row r="306" spans="2:2" x14ac:dyDescent="0.2">
      <c r="B306" s="16"/>
    </row>
    <row r="307" spans="2:2" x14ac:dyDescent="0.2">
      <c r="B307" s="16"/>
    </row>
    <row r="308" spans="2:2" x14ac:dyDescent="0.2">
      <c r="B308" s="16"/>
    </row>
    <row r="309" spans="2:2" x14ac:dyDescent="0.2">
      <c r="B309" s="16"/>
    </row>
    <row r="310" spans="2:2" x14ac:dyDescent="0.2">
      <c r="B310" s="16"/>
    </row>
    <row r="311" spans="2:2" x14ac:dyDescent="0.2">
      <c r="B311" s="16"/>
    </row>
    <row r="312" spans="2:2" x14ac:dyDescent="0.2">
      <c r="B312" s="16"/>
    </row>
    <row r="313" spans="2:2" x14ac:dyDescent="0.2">
      <c r="B313" s="16"/>
    </row>
    <row r="314" spans="2:2" x14ac:dyDescent="0.2">
      <c r="B314" s="16"/>
    </row>
    <row r="315" spans="2:2" x14ac:dyDescent="0.2">
      <c r="B315" s="16"/>
    </row>
    <row r="316" spans="2:2" x14ac:dyDescent="0.2">
      <c r="B316" s="16"/>
    </row>
    <row r="317" spans="2:2" x14ac:dyDescent="0.2">
      <c r="B317" s="16"/>
    </row>
    <row r="318" spans="2:2" x14ac:dyDescent="0.2">
      <c r="B318" s="16"/>
    </row>
    <row r="319" spans="2:2" x14ac:dyDescent="0.2">
      <c r="B319" s="16"/>
    </row>
    <row r="320" spans="2:2" x14ac:dyDescent="0.2">
      <c r="B320" s="16"/>
    </row>
    <row r="321" spans="2:2" x14ac:dyDescent="0.2">
      <c r="B321" s="16"/>
    </row>
    <row r="322" spans="2:2" x14ac:dyDescent="0.2">
      <c r="B322" s="16"/>
    </row>
    <row r="323" spans="2:2" x14ac:dyDescent="0.2">
      <c r="B323" s="16"/>
    </row>
    <row r="324" spans="2:2" x14ac:dyDescent="0.2">
      <c r="B324" s="16"/>
    </row>
    <row r="325" spans="2:2" x14ac:dyDescent="0.2">
      <c r="B325" s="16"/>
    </row>
    <row r="326" spans="2:2" x14ac:dyDescent="0.2">
      <c r="B326" s="16"/>
    </row>
    <row r="327" spans="2:2" x14ac:dyDescent="0.2">
      <c r="B327" s="16"/>
    </row>
    <row r="328" spans="2:2" x14ac:dyDescent="0.2">
      <c r="B328" s="16"/>
    </row>
    <row r="329" spans="2:2" x14ac:dyDescent="0.2">
      <c r="B329" s="16"/>
    </row>
    <row r="330" spans="2:2" x14ac:dyDescent="0.2">
      <c r="B330" s="16"/>
    </row>
    <row r="331" spans="2:2" x14ac:dyDescent="0.2">
      <c r="B331" s="16"/>
    </row>
    <row r="332" spans="2:2" x14ac:dyDescent="0.2">
      <c r="B332" s="16"/>
    </row>
    <row r="333" spans="2:2" x14ac:dyDescent="0.2">
      <c r="B333" s="16"/>
    </row>
    <row r="334" spans="2:2" x14ac:dyDescent="0.2">
      <c r="B334" s="16"/>
    </row>
    <row r="335" spans="2:2" x14ac:dyDescent="0.2">
      <c r="B335" s="16"/>
    </row>
    <row r="336" spans="2:2" x14ac:dyDescent="0.2">
      <c r="B336" s="16"/>
    </row>
    <row r="337" spans="2:2" x14ac:dyDescent="0.2">
      <c r="B337" s="16"/>
    </row>
    <row r="338" spans="2:2" x14ac:dyDescent="0.2">
      <c r="B338" s="16"/>
    </row>
    <row r="339" spans="2:2" x14ac:dyDescent="0.2">
      <c r="B339" s="16"/>
    </row>
    <row r="340" spans="2:2" x14ac:dyDescent="0.2">
      <c r="B340" s="16"/>
    </row>
    <row r="341" spans="2:2" x14ac:dyDescent="0.2">
      <c r="B341" s="16"/>
    </row>
    <row r="342" spans="2:2" x14ac:dyDescent="0.2">
      <c r="B342" s="16"/>
    </row>
    <row r="343" spans="2:2" x14ac:dyDescent="0.2">
      <c r="B343" s="16"/>
    </row>
    <row r="344" spans="2:2" x14ac:dyDescent="0.2">
      <c r="B344" s="16"/>
    </row>
    <row r="345" spans="2:2" x14ac:dyDescent="0.2">
      <c r="B345" s="16"/>
    </row>
    <row r="346" spans="2:2" x14ac:dyDescent="0.2">
      <c r="B346" s="16"/>
    </row>
    <row r="347" spans="2:2" x14ac:dyDescent="0.2">
      <c r="B347" s="16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OCS-20b, February 2020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2020-02-13T14:51:30Z</dcterms:modified>
  <cp:category>Oilseeds</cp:category>
</cp:coreProperties>
</file>