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excel\Update\"/>
    </mc:Choice>
  </mc:AlternateContent>
  <bookViews>
    <workbookView xWindow="0" yWindow="0" windowWidth="10875" windowHeight="14940" tabRatio="633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Cover" sheetId="11" r:id="rId9"/>
    <sheet name="Oil Crops Chart Gallery Fig 1" sheetId="8" r:id="rId10"/>
    <sheet name="Oil Crops Chart Gallery Fig 2" sheetId="12" r:id="rId11"/>
  </sheets>
  <definedNames>
    <definedName name="_xlnm.Print_Area" localSheetId="1">'Table 1'!$A$1:$N$47</definedName>
    <definedName name="_xlnm.Print_Area" localSheetId="7">'Table 10'!$A$1:$G$45</definedName>
    <definedName name="_xlnm.Print_Area" localSheetId="2">'Table 2'!$A$1:$J$37</definedName>
    <definedName name="_xlnm.Print_Area" localSheetId="3">'Table 3'!$A$1:$M$53</definedName>
    <definedName name="_xlnm.Print_Area" localSheetId="5">'Table 8'!$A$1:$G$43</definedName>
    <definedName name="_xlnm.Print_Area" localSheetId="6">'Table 9'!$A$1:$I$45</definedName>
    <definedName name="_xlnm.Print_Area" localSheetId="4">'Tables 4-7'!$A$1:$O$52</definedName>
    <definedName name="WASDE_Updated" localSheetId="0">Contents!#REF!</definedName>
  </definedNames>
  <calcPr calcId="152511"/>
</workbook>
</file>

<file path=xl/calcChain.xml><?xml version="1.0" encoding="utf-8"?>
<calcChain xmlns="http://schemas.openxmlformats.org/spreadsheetml/2006/main">
  <c r="J36" i="9" l="1"/>
  <c r="D36" i="9"/>
  <c r="H34" i="2"/>
  <c r="D34" i="2"/>
  <c r="L43" i="1"/>
  <c r="G44" i="1"/>
  <c r="G43" i="1"/>
  <c r="L36" i="9" l="1"/>
  <c r="L35" i="9"/>
  <c r="C37" i="9"/>
  <c r="J34" i="2"/>
  <c r="J33" i="2"/>
  <c r="C34" i="2"/>
  <c r="C33" i="2"/>
  <c r="J43" i="1"/>
  <c r="J41" i="1"/>
  <c r="B36" i="9" l="1"/>
  <c r="E36" i="9" s="1"/>
  <c r="K36" i="9" s="1"/>
  <c r="G36" i="9" s="1"/>
  <c r="H35" i="2"/>
  <c r="D35" i="2"/>
  <c r="C35" i="2"/>
  <c r="B34" i="2"/>
  <c r="E34" i="2" s="1"/>
  <c r="I34" i="2" s="1"/>
  <c r="G34" i="2" s="1"/>
  <c r="L44" i="1"/>
  <c r="H44" i="1" l="1"/>
  <c r="K19" i="1" l="1"/>
  <c r="K23" i="1"/>
  <c r="J35" i="9"/>
  <c r="D35" i="9"/>
  <c r="H33" i="2"/>
  <c r="D33" i="2"/>
  <c r="L41" i="1"/>
  <c r="G41" i="1"/>
  <c r="D7" i="1" l="1"/>
  <c r="D8" i="1"/>
  <c r="D6" i="1"/>
  <c r="L33" i="9" l="1"/>
  <c r="L34" i="9"/>
  <c r="J32" i="2"/>
  <c r="C32" i="2"/>
  <c r="J39" i="1"/>
  <c r="J40" i="1"/>
  <c r="E42" i="1" l="1"/>
  <c r="L42" i="1"/>
  <c r="J42" i="1"/>
  <c r="G42" i="1"/>
  <c r="B33" i="2"/>
  <c r="E33" i="2" s="1"/>
  <c r="J37" i="9"/>
  <c r="H37" i="9"/>
  <c r="D37" i="9"/>
  <c r="B35" i="9"/>
  <c r="E35" i="9" s="1"/>
  <c r="K35" i="9" s="1"/>
  <c r="G35" i="9" s="1"/>
  <c r="I35" i="9" s="1"/>
  <c r="D30" i="9"/>
  <c r="D29" i="9"/>
  <c r="D28" i="9"/>
  <c r="D24" i="9"/>
  <c r="D19" i="9"/>
  <c r="D18" i="9"/>
  <c r="D17" i="9"/>
  <c r="D16" i="9"/>
  <c r="D13" i="9"/>
  <c r="J30" i="9"/>
  <c r="J29" i="9"/>
  <c r="J28" i="9"/>
  <c r="J24" i="9"/>
  <c r="J23" i="9"/>
  <c r="J22" i="9"/>
  <c r="J21" i="9"/>
  <c r="J18" i="9"/>
  <c r="J17" i="9"/>
  <c r="J16" i="9"/>
  <c r="J14" i="9"/>
  <c r="H28" i="2"/>
  <c r="H27" i="2"/>
  <c r="H26" i="2"/>
  <c r="H22" i="2"/>
  <c r="H21" i="2"/>
  <c r="H20" i="2"/>
  <c r="H19" i="2"/>
  <c r="H18" i="2"/>
  <c r="H17" i="2"/>
  <c r="H16" i="2"/>
  <c r="H15" i="2"/>
  <c r="H14" i="2"/>
  <c r="H13" i="2"/>
  <c r="H12" i="2"/>
  <c r="H11" i="2"/>
  <c r="D28" i="2"/>
  <c r="D27" i="2"/>
  <c r="D26" i="2"/>
  <c r="D22" i="2"/>
  <c r="D21" i="2"/>
  <c r="D20" i="2"/>
  <c r="D19" i="2"/>
  <c r="D18" i="2"/>
  <c r="D17" i="2"/>
  <c r="D16" i="2"/>
  <c r="D15" i="2"/>
  <c r="D14" i="2"/>
  <c r="D13" i="2"/>
  <c r="D12" i="2"/>
  <c r="D11" i="2"/>
  <c r="G33" i="1"/>
  <c r="G32" i="1"/>
  <c r="G31" i="1"/>
  <c r="G26" i="1"/>
  <c r="G25" i="1"/>
  <c r="G24" i="1"/>
  <c r="G22" i="1"/>
  <c r="G21" i="1"/>
  <c r="G20" i="1"/>
  <c r="G18" i="1"/>
  <c r="G17" i="1"/>
  <c r="G16" i="1"/>
  <c r="G14" i="1"/>
  <c r="G13" i="1"/>
  <c r="G12" i="1"/>
  <c r="L35" i="1"/>
  <c r="L33" i="1"/>
  <c r="L32" i="1"/>
  <c r="L31" i="1"/>
  <c r="L26" i="1"/>
  <c r="L25" i="1"/>
  <c r="L24" i="1"/>
  <c r="L22" i="1"/>
  <c r="L21" i="1"/>
  <c r="L20" i="1"/>
  <c r="L18" i="1"/>
  <c r="L17" i="1"/>
  <c r="L16" i="1"/>
  <c r="L14" i="1"/>
  <c r="L13" i="1"/>
  <c r="L12" i="1"/>
  <c r="I33" i="2" l="1"/>
  <c r="I35" i="2" s="1"/>
  <c r="E35" i="2"/>
  <c r="J44" i="1"/>
  <c r="K42" i="1"/>
  <c r="K44" i="1" s="1"/>
  <c r="H42" i="1"/>
  <c r="M42" i="1" s="1"/>
  <c r="G33" i="2"/>
  <c r="D33" i="9"/>
  <c r="E33" i="9" s="1"/>
  <c r="E31" i="9"/>
  <c r="E32" i="9"/>
  <c r="E32" i="2"/>
  <c r="I32" i="2" s="1"/>
  <c r="G32" i="2" s="1"/>
  <c r="C31" i="2"/>
  <c r="E31" i="2" s="1"/>
  <c r="I31" i="2" s="1"/>
  <c r="G31" i="2" s="1"/>
  <c r="I30" i="2"/>
  <c r="B28" i="2"/>
  <c r="B29" i="2"/>
  <c r="B30" i="2"/>
  <c r="B31" i="2"/>
  <c r="B32" i="2"/>
  <c r="J31" i="2"/>
  <c r="D31" i="2"/>
  <c r="H31" i="2"/>
  <c r="G35" i="2" l="1"/>
  <c r="L46" i="3"/>
  <c r="N46" i="3"/>
  <c r="H47" i="3"/>
  <c r="N47" i="3" s="1"/>
  <c r="L47" i="3" s="1"/>
  <c r="H46" i="3"/>
  <c r="E48" i="3"/>
  <c r="H48" i="3" s="1"/>
  <c r="N48" i="3" s="1"/>
  <c r="L48" i="3" s="1"/>
  <c r="E47" i="3"/>
  <c r="D48" i="3"/>
  <c r="D47" i="3"/>
  <c r="D46" i="3"/>
  <c r="B35" i="3"/>
  <c r="B34" i="3"/>
  <c r="E34" i="3" s="1"/>
  <c r="I34" i="3" s="1"/>
  <c r="G34" i="3" s="1"/>
  <c r="B22" i="3"/>
  <c r="E22" i="3" s="1"/>
  <c r="I22" i="3" s="1"/>
  <c r="G22" i="3" s="1"/>
  <c r="B21" i="3"/>
  <c r="B9" i="3"/>
  <c r="E9" i="3" s="1"/>
  <c r="J9" i="3" s="1"/>
  <c r="I9" i="3" s="1"/>
  <c r="B8" i="3"/>
  <c r="E8" i="3" s="1"/>
  <c r="J8" i="3" s="1"/>
  <c r="I8" i="3" s="1"/>
  <c r="G20" i="3"/>
  <c r="J7" i="3"/>
  <c r="I7" i="3" s="1"/>
  <c r="I20" i="3"/>
  <c r="E35" i="3"/>
  <c r="I35" i="3" s="1"/>
  <c r="G35" i="3" s="1"/>
  <c r="E33" i="3"/>
  <c r="I33" i="3" s="1"/>
  <c r="G33" i="3" s="1"/>
  <c r="E21" i="3"/>
  <c r="I21" i="3" s="1"/>
  <c r="G21" i="3" s="1"/>
  <c r="E20" i="3"/>
  <c r="E7" i="3"/>
  <c r="K33" i="9" l="1"/>
  <c r="B33" i="9"/>
  <c r="B34" i="9"/>
  <c r="E34" i="9" s="1"/>
  <c r="K32" i="9"/>
  <c r="K34" i="9"/>
  <c r="J33" i="9"/>
  <c r="J34" i="9"/>
  <c r="D34" i="9"/>
  <c r="L40" i="1"/>
  <c r="G40" i="1"/>
  <c r="H32" i="2"/>
  <c r="D32" i="2"/>
  <c r="G34" i="9" l="1"/>
  <c r="K37" i="9"/>
  <c r="G33" i="9"/>
  <c r="I33" i="9" s="1"/>
  <c r="E8" i="9"/>
  <c r="K8" i="9" s="1"/>
  <c r="G8" i="9" s="1"/>
  <c r="I8" i="9" s="1"/>
  <c r="B9" i="9"/>
  <c r="E9" i="9" s="1"/>
  <c r="K9" i="9" s="1"/>
  <c r="G9" i="9" s="1"/>
  <c r="I9" i="9" s="1"/>
  <c r="B8" i="9"/>
  <c r="L7" i="9"/>
  <c r="H7" i="9"/>
  <c r="C7" i="9"/>
  <c r="E37" i="9"/>
  <c r="E7" i="1"/>
  <c r="H7" i="1" s="1"/>
  <c r="M7" i="1" s="1"/>
  <c r="K7" i="1" s="1"/>
  <c r="E8" i="1"/>
  <c r="H8" i="1" s="1"/>
  <c r="M8" i="1" s="1"/>
  <c r="K8" i="1" s="1"/>
  <c r="H6" i="1"/>
  <c r="M6" i="1" s="1"/>
  <c r="K6" i="1" s="1"/>
  <c r="E8" i="2"/>
  <c r="I8" i="2" s="1"/>
  <c r="G8" i="2" s="1"/>
  <c r="E7" i="2"/>
  <c r="I7" i="2" s="1"/>
  <c r="G7" i="2" s="1"/>
  <c r="C6" i="2"/>
  <c r="F7" i="1"/>
  <c r="F6" i="1"/>
  <c r="I34" i="9" l="1"/>
  <c r="I37" i="9" s="1"/>
  <c r="G37" i="9"/>
  <c r="H30" i="2"/>
  <c r="D30" i="2"/>
  <c r="J32" i="9"/>
  <c r="D32" i="9"/>
  <c r="L37" i="1"/>
  <c r="G37" i="1"/>
  <c r="L16" i="9" l="1"/>
  <c r="L31" i="9" l="1"/>
  <c r="L32" i="9"/>
  <c r="J30" i="2"/>
  <c r="J29" i="2"/>
  <c r="C30" i="2"/>
  <c r="C29" i="2"/>
  <c r="J36" i="1"/>
  <c r="J37" i="1"/>
  <c r="E30" i="2" l="1"/>
  <c r="G30" i="2" s="1"/>
  <c r="B32" i="9"/>
  <c r="G32" i="9" s="1"/>
  <c r="J38" i="1"/>
  <c r="L38" i="1"/>
  <c r="G38" i="1"/>
  <c r="E38" i="1"/>
  <c r="H38" i="1" s="1"/>
  <c r="M38" i="1" s="1"/>
  <c r="M44" i="1" s="1"/>
  <c r="I32" i="9" l="1"/>
  <c r="K38" i="1"/>
  <c r="D29" i="2"/>
  <c r="H29" i="2"/>
  <c r="J31" i="9"/>
  <c r="D31" i="9"/>
  <c r="L36" i="1"/>
  <c r="G36" i="1"/>
  <c r="J22" i="2" l="1"/>
  <c r="C22" i="2"/>
  <c r="L24" i="9"/>
  <c r="J31" i="1"/>
  <c r="G35" i="1" l="1"/>
  <c r="J35" i="1" l="1"/>
  <c r="L30" i="9"/>
  <c r="J28" i="2" l="1"/>
  <c r="C28" i="2"/>
  <c r="E30" i="9" l="1"/>
  <c r="K30" i="9" s="1"/>
  <c r="G30" i="9" s="1"/>
  <c r="I30" i="9" s="1"/>
  <c r="B31" i="9"/>
  <c r="K31" i="9" s="1"/>
  <c r="E29" i="2"/>
  <c r="I29" i="2" s="1"/>
  <c r="G31" i="9" l="1"/>
  <c r="G29" i="2"/>
  <c r="E28" i="2"/>
  <c r="I28" i="2" s="1"/>
  <c r="B30" i="9"/>
  <c r="I31" i="9" l="1"/>
  <c r="G28" i="2"/>
  <c r="F15" i="1"/>
  <c r="E29" i="9" l="1"/>
  <c r="K29" i="9" s="1"/>
  <c r="G29" i="9" s="1"/>
  <c r="I29" i="9" s="1"/>
  <c r="L29" i="9" l="1"/>
  <c r="L28" i="9"/>
  <c r="J27" i="2"/>
  <c r="J26" i="2"/>
  <c r="J33" i="1"/>
  <c r="J32" i="1"/>
  <c r="C27" i="2"/>
  <c r="C26" i="2"/>
  <c r="F44" i="1" l="1"/>
  <c r="B29" i="9" l="1"/>
  <c r="B27" i="2"/>
  <c r="E27" i="2" s="1"/>
  <c r="I27" i="2" s="1"/>
  <c r="G27" i="2" s="1"/>
  <c r="J34" i="1"/>
  <c r="L34" i="1"/>
  <c r="G34" i="1"/>
  <c r="B26" i="2" l="1"/>
  <c r="E26" i="2" s="1"/>
  <c r="I26" i="2" s="1"/>
  <c r="K24" i="9"/>
  <c r="G24" i="9" s="1"/>
  <c r="H25" i="9"/>
  <c r="B28" i="9"/>
  <c r="E11" i="2"/>
  <c r="I11" i="2" s="1"/>
  <c r="G11" i="2" s="1"/>
  <c r="L13" i="9"/>
  <c r="J11" i="2"/>
  <c r="B12" i="2"/>
  <c r="C11" i="2"/>
  <c r="C25" i="9"/>
  <c r="E34" i="1"/>
  <c r="H34" i="1" s="1"/>
  <c r="M34" i="1" s="1"/>
  <c r="D23" i="9"/>
  <c r="L22" i="9"/>
  <c r="B23" i="9"/>
  <c r="L23" i="9"/>
  <c r="B24" i="9"/>
  <c r="E24" i="9"/>
  <c r="J21" i="2"/>
  <c r="B22" i="2"/>
  <c r="C21" i="2"/>
  <c r="J26" i="1"/>
  <c r="F28" i="1"/>
  <c r="E27" i="1"/>
  <c r="D22" i="9"/>
  <c r="C20" i="2"/>
  <c r="J19" i="2"/>
  <c r="B20" i="2"/>
  <c r="E20" i="2"/>
  <c r="I20" i="2"/>
  <c r="G20" i="2" s="1"/>
  <c r="J20" i="2"/>
  <c r="B21" i="2"/>
  <c r="J25" i="1"/>
  <c r="L27" i="1"/>
  <c r="G27" i="1"/>
  <c r="D21" i="9"/>
  <c r="L21" i="9"/>
  <c r="B22" i="9"/>
  <c r="E22" i="9"/>
  <c r="K22" i="9"/>
  <c r="G22" i="9"/>
  <c r="I22" i="9"/>
  <c r="C19" i="2"/>
  <c r="J24" i="1"/>
  <c r="J27" i="1"/>
  <c r="J15" i="9"/>
  <c r="J13" i="9"/>
  <c r="D15" i="9"/>
  <c r="D14" i="9"/>
  <c r="E13" i="9"/>
  <c r="K13" i="9" s="1"/>
  <c r="J20" i="9"/>
  <c r="D20" i="9"/>
  <c r="L15" i="1"/>
  <c r="L20" i="9"/>
  <c r="B21" i="9"/>
  <c r="C18" i="2"/>
  <c r="J18" i="2"/>
  <c r="B19" i="2"/>
  <c r="B20" i="9"/>
  <c r="E20" i="9"/>
  <c r="K20" i="9"/>
  <c r="G20" i="9"/>
  <c r="I20" i="9"/>
  <c r="J22" i="1"/>
  <c r="E23" i="1"/>
  <c r="J19" i="9"/>
  <c r="L19" i="9"/>
  <c r="J17" i="2"/>
  <c r="B18" i="2"/>
  <c r="C17" i="2"/>
  <c r="J21" i="1"/>
  <c r="G23" i="1"/>
  <c r="L23" i="1"/>
  <c r="J20" i="1"/>
  <c r="J23" i="1"/>
  <c r="L18" i="9"/>
  <c r="B19" i="9"/>
  <c r="J16" i="2"/>
  <c r="B17" i="2"/>
  <c r="C16" i="2"/>
  <c r="L17" i="9"/>
  <c r="B18" i="9"/>
  <c r="E18" i="9"/>
  <c r="K18" i="9" s="1"/>
  <c r="G18" i="9" s="1"/>
  <c r="I18" i="9" s="1"/>
  <c r="J15" i="2"/>
  <c r="B16" i="2"/>
  <c r="J14" i="2"/>
  <c r="B15" i="2"/>
  <c r="C14" i="2"/>
  <c r="C15" i="2"/>
  <c r="J17" i="1"/>
  <c r="J18" i="1"/>
  <c r="B17" i="9"/>
  <c r="E19" i="1"/>
  <c r="G19" i="1"/>
  <c r="L15" i="9"/>
  <c r="B16" i="9"/>
  <c r="L14" i="9"/>
  <c r="B15" i="9"/>
  <c r="E15" i="9"/>
  <c r="K15" i="9"/>
  <c r="B14" i="9"/>
  <c r="E14" i="9"/>
  <c r="K14" i="9"/>
  <c r="J13" i="2"/>
  <c r="B14" i="2"/>
  <c r="J12" i="2"/>
  <c r="B13" i="2"/>
  <c r="C13" i="2"/>
  <c r="C12" i="2"/>
  <c r="E12" i="2"/>
  <c r="I12" i="2"/>
  <c r="G12" i="2"/>
  <c r="J16" i="1"/>
  <c r="B47" i="6"/>
  <c r="B46" i="5"/>
  <c r="B46" i="4"/>
  <c r="B40" i="9"/>
  <c r="B38" i="2"/>
  <c r="B48" i="1"/>
  <c r="J14" i="1"/>
  <c r="J13" i="1"/>
  <c r="J12" i="1"/>
  <c r="J15" i="1"/>
  <c r="J28" i="1" s="1"/>
  <c r="G15" i="1"/>
  <c r="H15" i="1"/>
  <c r="M15" i="1" s="1"/>
  <c r="A5" i="10"/>
  <c r="B52" i="3"/>
  <c r="E17" i="9"/>
  <c r="K17" i="9" s="1"/>
  <c r="G17" i="9" s="1"/>
  <c r="I17" i="9" s="1"/>
  <c r="D25" i="9"/>
  <c r="D7" i="9" s="1"/>
  <c r="E7" i="9" s="1"/>
  <c r="K7" i="9" s="1"/>
  <c r="E16" i="9"/>
  <c r="K16" i="9" s="1"/>
  <c r="G16" i="9" s="1"/>
  <c r="I16" i="9" s="1"/>
  <c r="E19" i="9"/>
  <c r="K19" i="9"/>
  <c r="G19" i="9"/>
  <c r="I19" i="9"/>
  <c r="G14" i="9"/>
  <c r="I14" i="9"/>
  <c r="G15" i="9"/>
  <c r="I15" i="9"/>
  <c r="E21" i="9"/>
  <c r="K21" i="9"/>
  <c r="G21" i="9"/>
  <c r="I21" i="9"/>
  <c r="J25" i="9"/>
  <c r="J7" i="9" s="1"/>
  <c r="E23" i="9"/>
  <c r="K23" i="9"/>
  <c r="G23" i="9"/>
  <c r="I23" i="9"/>
  <c r="H23" i="2"/>
  <c r="E16" i="2"/>
  <c r="I16" i="2" s="1"/>
  <c r="G16" i="2" s="1"/>
  <c r="E22" i="2"/>
  <c r="I22" i="2" s="1"/>
  <c r="E19" i="2"/>
  <c r="I19" i="2"/>
  <c r="G19" i="2" s="1"/>
  <c r="E15" i="2"/>
  <c r="I15" i="2"/>
  <c r="G15" i="2" s="1"/>
  <c r="D23" i="2"/>
  <c r="D6" i="2" s="1"/>
  <c r="E6" i="2" s="1"/>
  <c r="I6" i="2" s="1"/>
  <c r="G6" i="2" s="1"/>
  <c r="E14" i="2"/>
  <c r="I14" i="2"/>
  <c r="G14" i="2" s="1"/>
  <c r="E21" i="2"/>
  <c r="I21" i="2" s="1"/>
  <c r="G21" i="2" s="1"/>
  <c r="E17" i="2"/>
  <c r="I17" i="2" s="1"/>
  <c r="G17" i="2" s="1"/>
  <c r="E18" i="2"/>
  <c r="I18" i="2" s="1"/>
  <c r="G18" i="2" s="1"/>
  <c r="E13" i="2"/>
  <c r="I13" i="2" s="1"/>
  <c r="G13" i="2" s="1"/>
  <c r="C23" i="2"/>
  <c r="L19" i="1"/>
  <c r="H23" i="1"/>
  <c r="M23" i="1" s="1"/>
  <c r="J19" i="1"/>
  <c r="G7" i="9" l="1"/>
  <c r="I7" i="9" s="1"/>
  <c r="K25" i="9"/>
  <c r="G13" i="9"/>
  <c r="I13" i="9" s="1"/>
  <c r="E25" i="9"/>
  <c r="E23" i="2"/>
  <c r="H27" i="1"/>
  <c r="M27" i="1" s="1"/>
  <c r="K27" i="1" s="1"/>
  <c r="G28" i="1"/>
  <c r="H28" i="1" s="1"/>
  <c r="K15" i="1"/>
  <c r="L28" i="1"/>
  <c r="G26" i="2"/>
  <c r="I23" i="2"/>
  <c r="G22" i="2"/>
  <c r="G23" i="2" s="1"/>
  <c r="E28" i="9"/>
  <c r="K28" i="9" s="1"/>
  <c r="I24" i="9"/>
  <c r="H19" i="1"/>
  <c r="M19" i="1" s="1"/>
  <c r="K34" i="1"/>
  <c r="I25" i="9" l="1"/>
  <c r="G25" i="9"/>
  <c r="M28" i="1"/>
  <c r="K28" i="1"/>
  <c r="G28" i="9"/>
  <c r="I28" i="9"/>
</calcChain>
</file>

<file path=xl/sharedStrings.xml><?xml version="1.0" encoding="utf-8"?>
<sst xmlns="http://schemas.openxmlformats.org/spreadsheetml/2006/main" count="550" uniqueCount="186">
  <si>
    <t xml:space="preserve">          Supply</t>
  </si>
  <si>
    <t>Production</t>
  </si>
  <si>
    <t>Imports</t>
  </si>
  <si>
    <t>Total</t>
  </si>
  <si>
    <t>Exports</t>
  </si>
  <si>
    <t>residual</t>
  </si>
  <si>
    <t>Ending</t>
  </si>
  <si>
    <t>stocks</t>
  </si>
  <si>
    <t>Beginning</t>
  </si>
  <si>
    <t>Domestic</t>
  </si>
  <si>
    <t>NA</t>
  </si>
  <si>
    <t>Table 4--Cottonseed:  U.S. supply and disappearance</t>
  </si>
  <si>
    <t>Table 5--Cottonseed meal:  U.S. supply and disappearance</t>
  </si>
  <si>
    <t>Table 6--Cottonseed oil:  U.S. supply and disappearance</t>
  </si>
  <si>
    <t>Table 7--Peanuts:  U.S. supply and disappearance</t>
  </si>
  <si>
    <t>Marketing</t>
  </si>
  <si>
    <t>year</t>
  </si>
  <si>
    <t>Cottonseed</t>
  </si>
  <si>
    <t xml:space="preserve">     1,000 short tons</t>
  </si>
  <si>
    <t xml:space="preserve">  1,000 short tons</t>
  </si>
  <si>
    <t xml:space="preserve">     Million pounds</t>
  </si>
  <si>
    <t xml:space="preserve">      Million pounds</t>
  </si>
  <si>
    <t>Table 9--U.S. vegetable oil and fats prices</t>
  </si>
  <si>
    <t>Table 2--Soybean meal:  U.S. supply and disappearance</t>
  </si>
  <si>
    <t>Disappearance</t>
  </si>
  <si>
    <t>Table 3--Soybean oil:  U.S. supply and disappearance</t>
  </si>
  <si>
    <t>Last update:</t>
  </si>
  <si>
    <t>Area</t>
  </si>
  <si>
    <t>Planted</t>
  </si>
  <si>
    <t>Harvested</t>
  </si>
  <si>
    <t>Yield</t>
  </si>
  <si>
    <t xml:space="preserve">Exports  </t>
  </si>
  <si>
    <t xml:space="preserve">Total  </t>
  </si>
  <si>
    <t xml:space="preserve">stocks </t>
  </si>
  <si>
    <t xml:space="preserve">Ending </t>
  </si>
  <si>
    <t xml:space="preserve">Domestic </t>
  </si>
  <si>
    <t xml:space="preserve">Beginning </t>
  </si>
  <si>
    <t xml:space="preserve">Imports </t>
  </si>
  <si>
    <t xml:space="preserve">Total </t>
  </si>
  <si>
    <t xml:space="preserve">Exports </t>
  </si>
  <si>
    <t xml:space="preserve">Crush </t>
  </si>
  <si>
    <t xml:space="preserve">Other </t>
  </si>
  <si>
    <t xml:space="preserve">food </t>
  </si>
  <si>
    <t xml:space="preserve">Table 10--U.S. oilseed meal prices </t>
  </si>
  <si>
    <t xml:space="preserve">Soybean </t>
  </si>
  <si>
    <t xml:space="preserve">Peanut </t>
  </si>
  <si>
    <t xml:space="preserve">Canola  </t>
  </si>
  <si>
    <t xml:space="preserve">Linseed </t>
  </si>
  <si>
    <t xml:space="preserve">Edible  </t>
  </si>
  <si>
    <t xml:space="preserve">Corn  </t>
  </si>
  <si>
    <t xml:space="preserve">$/cwt. </t>
  </si>
  <si>
    <t>Table 8--Oilseed prices received by U.S. farmers</t>
  </si>
  <si>
    <t>Canola</t>
  </si>
  <si>
    <t xml:space="preserve">stocks  </t>
  </si>
  <si>
    <t>2009/10</t>
  </si>
  <si>
    <t>2010/11</t>
  </si>
  <si>
    <t>NA = Not available.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</si>
  <si>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</si>
  <si>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</si>
  <si>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</si>
  <si>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</si>
  <si>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</si>
  <si>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</si>
  <si>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</si>
  <si>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</si>
  <si>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</si>
  <si>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2011/12</t>
  </si>
  <si>
    <t>July</t>
  </si>
  <si>
    <t>August</t>
  </si>
  <si>
    <t>Use</t>
  </si>
  <si>
    <t>September</t>
  </si>
  <si>
    <t>Crush</t>
  </si>
  <si>
    <t>Table 1--Soybeans:  Annual U.S. supply and disappearance</t>
  </si>
  <si>
    <t>Soybeans:  Quarterly U.S. supply and disappearance</t>
  </si>
  <si>
    <t>Bu./acre</t>
  </si>
  <si>
    <t>Cents/pound</t>
  </si>
  <si>
    <t xml:space="preserve">$/bushel </t>
  </si>
  <si>
    <t>Foreign Trade Statistics.</t>
  </si>
  <si>
    <t>Pounds/acre</t>
  </si>
  <si>
    <t xml:space="preserve">  September-November</t>
  </si>
  <si>
    <t xml:space="preserve">  December-February</t>
  </si>
  <si>
    <t xml:space="preserve">  March-May</t>
  </si>
  <si>
    <t xml:space="preserve">  June-August</t>
  </si>
  <si>
    <t>Year beginning</t>
  </si>
  <si>
    <t>October 1</t>
  </si>
  <si>
    <t>August 1</t>
  </si>
  <si>
    <t xml:space="preserve">$/short ton  </t>
  </si>
  <si>
    <t>September 1</t>
  </si>
  <si>
    <t>Sunflowerseed</t>
  </si>
  <si>
    <t>NA= Not available.</t>
  </si>
  <si>
    <t>2012/13</t>
  </si>
  <si>
    <t>Supply</t>
  </si>
  <si>
    <t>Million acres</t>
  </si>
  <si>
    <t>1,000 acres</t>
  </si>
  <si>
    <t xml:space="preserve">  Total  </t>
  </si>
  <si>
    <t xml:space="preserve"> stocks </t>
  </si>
  <si>
    <t>Biodiesel</t>
  </si>
  <si>
    <t>2013/14</t>
  </si>
  <si>
    <t>Seed and</t>
  </si>
  <si>
    <t>Seed &amp;</t>
  </si>
  <si>
    <t>2014/15</t>
  </si>
  <si>
    <t>2015/16</t>
  </si>
  <si>
    <t xml:space="preserve">  September</t>
  </si>
  <si>
    <t xml:space="preserve">     -------------------------------------------- 1,000 short tons--------------------------------------------</t>
  </si>
  <si>
    <t xml:space="preserve">$/cwt </t>
  </si>
  <si>
    <t>cwt=hundredweight.</t>
  </si>
  <si>
    <t>------------------------------------------------------- Cents/ pound----------------------------------------------</t>
  </si>
  <si>
    <t>--------------------------------------------------- $/short ton------------------------------------------</t>
  </si>
  <si>
    <t xml:space="preserve">  October</t>
  </si>
  <si>
    <t>Million pounds</t>
  </si>
  <si>
    <t xml:space="preserve">  November</t>
  </si>
  <si>
    <t xml:space="preserve">  December</t>
  </si>
  <si>
    <t xml:space="preserve">  January</t>
  </si>
  <si>
    <t xml:space="preserve">  February</t>
  </si>
  <si>
    <t xml:space="preserve">  March</t>
  </si>
  <si>
    <t xml:space="preserve">  April</t>
  </si>
  <si>
    <t xml:space="preserve">  May</t>
  </si>
  <si>
    <t>2016/17</t>
  </si>
  <si>
    <t>Food &amp; Other</t>
  </si>
  <si>
    <t>2017/18</t>
  </si>
  <si>
    <t>Oil Crops Outlook Tables</t>
  </si>
  <si>
    <t>Last update</t>
  </si>
  <si>
    <t xml:space="preserve">Contacts: Mark Ash at mash@ers.usda.gov   </t>
  </si>
  <si>
    <t xml:space="preserve">and Mariana Matias at mariana.matias@ers.usda.gov </t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</si>
  <si>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Grain Stocks </t>
    </r>
    <r>
      <rPr>
        <sz val="11"/>
        <rFont val="Arial"/>
        <family val="2"/>
      </rPr>
      <t>and U.S. Department of Commerce, U.S. Census Bureau,</t>
    </r>
  </si>
  <si>
    <r>
      <t xml:space="preserve">Source: USDA, World Agricultural Outlook Board, </t>
    </r>
    <r>
      <rPr>
        <i/>
        <sz val="11"/>
        <rFont val="Arial"/>
        <family val="2"/>
      </rPr>
      <t>World Agricultural Supply and Demand Estimates.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</si>
  <si>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 Note: 1 metric ton equals 2,204.622 pounds. NA: Not available.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</si>
  <si>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</si>
  <si>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Sources: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National Agricultural Statistics Service,</t>
    </r>
    <r>
      <rPr>
        <i/>
        <sz val="11"/>
        <rFont val="Arial"/>
        <family val="2"/>
      </rPr>
      <t xml:space="preserve"> Crop Production </t>
    </r>
    <r>
      <rPr>
        <sz val="11"/>
        <rFont val="Arial"/>
        <family val="2"/>
      </rPr>
      <t>and U.S. Department of Commerce,</t>
    </r>
  </si>
  <si>
    <r>
      <t xml:space="preserve">U.S. Census Bureau, </t>
    </r>
    <r>
      <rPr>
        <i/>
        <sz val="11"/>
        <rFont val="Arial"/>
        <family val="2"/>
      </rPr>
      <t>Foreign Trade Statistics.</t>
    </r>
  </si>
  <si>
    <r>
      <t xml:space="preserve">Source:  USDA, Foreign Agricultural Service, </t>
    </r>
    <r>
      <rPr>
        <i/>
        <sz val="11"/>
        <rFont val="Arial"/>
        <family val="2"/>
      </rPr>
      <t>PS&amp;D Online.</t>
    </r>
  </si>
  <si>
    <r>
      <t>Source:  USDA, Foreign Agricultural Service, Production, Supply, and Distribution Online</t>
    </r>
    <r>
      <rPr>
        <i/>
        <sz val="11"/>
        <rFont val="Arial"/>
        <family val="2"/>
      </rPr>
      <t>.</t>
    </r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</si>
  <si>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Peanut Stocks and Processing,</t>
    </r>
    <r>
      <rPr>
        <sz val="11"/>
        <rFont val="Arial"/>
        <family val="2"/>
      </rPr>
      <t>and U.S. Department of Commerce,</t>
    </r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</si>
  <si>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</si>
  <si>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</si>
  <si>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</si>
  <si>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</si>
  <si>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</si>
  <si>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</si>
  <si>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r>
      <t>2017/18</t>
    </r>
    <r>
      <rPr>
        <vertAlign val="superscript"/>
        <sz val="11"/>
        <rFont val="Arial"/>
        <family val="2"/>
      </rPr>
      <t>1</t>
    </r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</si>
  <si>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September-August.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August-July.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July-June.</t>
    </r>
  </si>
  <si>
    <r>
      <t xml:space="preserve">Source: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</si>
  <si>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</si>
  <si>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</si>
  <si>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</si>
  <si>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</si>
  <si>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</si>
  <si>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oil </t>
    </r>
    <r>
      <rPr>
        <vertAlign val="superscript"/>
        <sz val="11"/>
        <rFont val="Arial"/>
        <family val="2"/>
      </rPr>
      <t xml:space="preserve">6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</si>
  <si>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</si>
  <si>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r>
      <t xml:space="preserve">Sources: USDA, Agricultural Marketing Service,  </t>
    </r>
    <r>
      <rPr>
        <i/>
        <sz val="11"/>
        <rFont val="Arial"/>
        <family val="2"/>
      </rPr>
      <t xml:space="preserve">Monthly Feedstuff Prices </t>
    </r>
    <r>
      <rPr>
        <sz val="11"/>
        <rFont val="Arial"/>
        <family val="2"/>
      </rPr>
      <t>and</t>
    </r>
    <r>
      <rPr>
        <i/>
        <sz val="11"/>
        <rFont val="Arial"/>
        <family val="2"/>
      </rPr>
      <t xml:space="preserve"> Milling and Baking News.</t>
    </r>
    <r>
      <rPr>
        <sz val="11"/>
        <rFont val="Arial"/>
        <family val="2"/>
      </rPr>
      <t xml:space="preserve">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</si>
  <si>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</si>
  <si>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</si>
  <si>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</si>
  <si>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</si>
  <si>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</si>
  <si>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r>
      <t xml:space="preserve">meal </t>
    </r>
    <r>
      <rPr>
        <vertAlign val="superscript"/>
        <sz val="11"/>
        <rFont val="Arial"/>
        <family val="2"/>
      </rPr>
      <t xml:space="preserve">7  </t>
    </r>
  </si>
  <si>
    <r>
      <t>5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34-percent Minneapolis. </t>
    </r>
  </si>
  <si>
    <r>
      <t xml:space="preserve">Source: USDA, Agricultural Marketing Service, </t>
    </r>
    <r>
      <rPr>
        <i/>
        <sz val="11"/>
        <rFont val="Arial"/>
        <family val="2"/>
      </rPr>
      <t>Monthly Feedstuff Prices.</t>
    </r>
    <r>
      <rPr>
        <sz val="11"/>
        <rFont val="Arial"/>
        <family val="2"/>
      </rPr>
      <t xml:space="preserve"> </t>
    </r>
  </si>
  <si>
    <r>
      <t>1</t>
    </r>
    <r>
      <rPr>
        <sz val="11"/>
        <rFont val="Arial"/>
        <family val="2"/>
      </rPr>
      <t xml:space="preserve"> Preliminary.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Midwest. </t>
    </r>
    <r>
      <rPr>
        <vertAlign val="superscript"/>
        <sz val="11"/>
        <rFont val="Arial"/>
        <family val="2"/>
      </rPr>
      <t/>
    </r>
  </si>
  <si>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Southeast mills.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Chicago.  NA = Not available.</t>
    </r>
  </si>
  <si>
    <r>
      <t>1</t>
    </r>
    <r>
      <rPr>
        <sz val="11"/>
        <rFont val="Arial"/>
        <family val="2"/>
      </rPr>
      <t xml:space="preserve"> Preliminary.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High-protein Decatur, IL.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41-percent Memphis.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34-percent North Dakota-Minnesota.</t>
    </r>
  </si>
  <si>
    <r>
      <t>2018/19</t>
    </r>
    <r>
      <rPr>
        <vertAlign val="superscript"/>
        <sz val="11"/>
        <rFont val="Arial"/>
        <family val="2"/>
      </rPr>
      <t>1</t>
    </r>
  </si>
  <si>
    <r>
      <t>2018/19</t>
    </r>
    <r>
      <rPr>
        <vertAlign val="superscript"/>
        <sz val="11"/>
        <rFont val="Arial"/>
        <family val="2"/>
      </rPr>
      <t>2</t>
    </r>
  </si>
  <si>
    <t>2018/19</t>
  </si>
  <si>
    <t>Total to date</t>
  </si>
  <si>
    <t>Million metric tons</t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</si>
  <si>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 Note: 1 metric ton equals 1.10231 short tons. NA: Not available.</t>
    </r>
  </si>
  <si>
    <r>
      <t>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 Note: 1 metric ton equals 36.744 bushels and 1 hectare equals 2.471 acres. NA: Not available.</t>
    </r>
  </si>
  <si>
    <t>---------------------------------------------Million bushels----------------------------------------------------------</t>
  </si>
  <si>
    <r>
      <t>2019/20</t>
    </r>
    <r>
      <rPr>
        <vertAlign val="superscript"/>
        <sz val="11"/>
        <rFont val="Arial"/>
        <family val="2"/>
      </rPr>
      <t>1</t>
    </r>
  </si>
  <si>
    <r>
      <t>2019/20</t>
    </r>
    <r>
      <rPr>
        <vertAlign val="superscript"/>
        <sz val="11"/>
        <rFont val="Arial"/>
        <family val="2"/>
      </rPr>
      <t>2</t>
    </r>
  </si>
  <si>
    <t>2019/20</t>
  </si>
  <si>
    <t>5-year average</t>
  </si>
  <si>
    <t>Blooming</t>
  </si>
  <si>
    <t>Setting pods</t>
  </si>
  <si>
    <t>progress</t>
  </si>
  <si>
    <t>Soybean crop</t>
  </si>
  <si>
    <t>sunflowerseed</t>
  </si>
  <si>
    <t>Yield (right axis)</t>
  </si>
  <si>
    <t>Russia</t>
  </si>
  <si>
    <t>Ukraine</t>
  </si>
  <si>
    <t>Soybean</t>
  </si>
  <si>
    <t>Million bushels</t>
  </si>
  <si>
    <t>Crop value</t>
  </si>
  <si>
    <t>Billion dollars</t>
  </si>
  <si>
    <t>2008/09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</si>
</sst>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_);\(#,##0.0\)"/>
    <numFmt numFmtId="170" formatCode="0.000"/>
    <numFmt numFmtId="171" formatCode="#,##0.0"/>
    <numFmt numFmtId="172" formatCode="[$-409]mmm\-yy;@"/>
    <numFmt numFmtId="173" formatCode="mmm\-yyyy"/>
    <numFmt numFmtId="174" formatCode="0.0000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b/>
      <sz val="14"/>
      <name val="Helvetica"/>
    </font>
    <font>
      <u/>
      <sz val="8"/>
      <color indexed="12"/>
      <name val="Arial"/>
      <family val="2"/>
    </font>
    <font>
      <b/>
      <sz val="10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9" fontId="1" fillId="0" borderId="0" applyFont="0" applyFill="0" applyBorder="0" applyAlignment="0" applyProtection="0"/>
  </cellStyleXfs>
  <cellXfs count="172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1" applyNumberFormat="1" applyFont="1" applyBorder="1"/>
    <xf numFmtId="164" fontId="0" fillId="0" borderId="0" xfId="1" quotePrefix="1" applyNumberFormat="1" applyFont="1" applyBorder="1" applyAlignment="1">
      <alignment horizontal="center"/>
    </xf>
    <xf numFmtId="164" fontId="0" fillId="0" borderId="0" xfId="1" quotePrefix="1" applyNumberFormat="1" applyFont="1" applyBorder="1"/>
    <xf numFmtId="43" fontId="0" fillId="0" borderId="0" xfId="1" applyFont="1"/>
    <xf numFmtId="43" fontId="0" fillId="0" borderId="0" xfId="1" applyNumberFormat="1" applyFont="1" applyBorder="1"/>
    <xf numFmtId="43" fontId="0" fillId="0" borderId="0" xfId="1" applyFont="1" applyBorder="1"/>
    <xf numFmtId="43" fontId="0" fillId="0" borderId="0" xfId="0" applyNumberFormat="1"/>
    <xf numFmtId="0" fontId="2" fillId="0" borderId="0" xfId="0" applyFont="1"/>
    <xf numFmtId="43" fontId="0" fillId="0" borderId="0" xfId="1" applyFont="1" applyAlignment="1">
      <alignment horizontal="center"/>
    </xf>
    <xf numFmtId="43" fontId="0" fillId="0" borderId="0" xfId="1" applyFont="1" applyBorder="1" applyAlignment="1">
      <alignment horizontal="center"/>
    </xf>
    <xf numFmtId="167" fontId="0" fillId="0" borderId="0" xfId="0" applyNumberFormat="1"/>
    <xf numFmtId="0" fontId="5" fillId="0" borderId="0" xfId="0" applyFont="1"/>
    <xf numFmtId="0" fontId="0" fillId="0" borderId="0" xfId="0" applyProtection="1"/>
    <xf numFmtId="2" fontId="0" fillId="0" borderId="0" xfId="0" applyNumberFormat="1"/>
    <xf numFmtId="165" fontId="0" fillId="0" borderId="0" xfId="0" applyNumberFormat="1"/>
    <xf numFmtId="167" fontId="0" fillId="0" borderId="0" xfId="0" applyNumberFormat="1" applyProtection="1"/>
    <xf numFmtId="173" fontId="0" fillId="0" borderId="0" xfId="0" applyNumberFormat="1" applyProtection="1"/>
    <xf numFmtId="172" fontId="2" fillId="0" borderId="0" xfId="0" quotePrefix="1" applyNumberFormat="1" applyFont="1"/>
    <xf numFmtId="171" fontId="5" fillId="0" borderId="0" xfId="1" applyNumberFormat="1" applyFont="1" applyBorder="1" applyAlignment="1">
      <alignment horizontal="center"/>
    </xf>
    <xf numFmtId="0" fontId="2" fillId="0" borderId="0" xfId="8" applyFont="1" applyBorder="1" applyAlignment="1">
      <alignment vertical="top" wrapText="1"/>
    </xf>
    <xf numFmtId="0" fontId="2" fillId="0" borderId="0" xfId="8" applyFont="1"/>
    <xf numFmtId="0" fontId="7" fillId="0" borderId="0" xfId="7" applyFont="1" applyAlignment="1">
      <alignment horizontal="left"/>
    </xf>
    <xf numFmtId="0" fontId="8" fillId="0" borderId="0" xfId="5" applyFont="1" applyAlignment="1" applyProtection="1"/>
    <xf numFmtId="0" fontId="3" fillId="0" borderId="0" xfId="8" applyFont="1"/>
    <xf numFmtId="0" fontId="9" fillId="0" borderId="0" xfId="7" applyFont="1" applyAlignment="1">
      <alignment horizontal="left"/>
    </xf>
    <xf numFmtId="0" fontId="2" fillId="0" borderId="0" xfId="8" applyFont="1" applyFill="1"/>
    <xf numFmtId="0" fontId="2" fillId="0" borderId="0" xfId="8" quotePrefix="1" applyFont="1"/>
    <xf numFmtId="0" fontId="11" fillId="0" borderId="0" xfId="8" applyFont="1" applyFill="1"/>
    <xf numFmtId="0" fontId="2" fillId="0" borderId="0" xfId="8" applyFont="1" applyBorder="1" applyAlignment="1">
      <alignment wrapText="1"/>
    </xf>
    <xf numFmtId="0" fontId="12" fillId="0" borderId="0" xfId="8" applyFont="1"/>
    <xf numFmtId="0" fontId="6" fillId="0" borderId="0" xfId="7" quotePrefix="1" applyAlignment="1">
      <alignment horizontal="left"/>
    </xf>
    <xf numFmtId="0" fontId="4" fillId="0" borderId="0" xfId="4" applyAlignment="1" applyProtection="1"/>
    <xf numFmtId="14" fontId="9" fillId="0" borderId="0" xfId="7" applyNumberFormat="1" applyFont="1" applyAlignment="1">
      <alignment horizontal="left"/>
    </xf>
    <xf numFmtId="171" fontId="0" fillId="0" borderId="0" xfId="0" applyNumberFormat="1"/>
    <xf numFmtId="0" fontId="13" fillId="0" borderId="1" xfId="0" applyFont="1" applyBorder="1"/>
    <xf numFmtId="0" fontId="13" fillId="0" borderId="0" xfId="0" applyFont="1"/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Border="1"/>
    <xf numFmtId="0" fontId="13" fillId="0" borderId="0" xfId="0" applyFont="1" applyAlignment="1">
      <alignment horizontal="right"/>
    </xf>
    <xf numFmtId="16" fontId="13" fillId="0" borderId="1" xfId="0" quotePrefix="1" applyNumberFormat="1" applyFont="1" applyBorder="1"/>
    <xf numFmtId="16" fontId="13" fillId="0" borderId="1" xfId="0" applyNumberFormat="1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 indent="1"/>
    </xf>
    <xf numFmtId="0" fontId="14" fillId="0" borderId="0" xfId="0" quotePrefix="1" applyFont="1" applyAlignment="1">
      <alignment horizontal="right"/>
    </xf>
    <xf numFmtId="167" fontId="13" fillId="0" borderId="0" xfId="0" applyNumberFormat="1" applyFont="1" applyAlignment="1">
      <alignment horizontal="center"/>
    </xf>
    <xf numFmtId="165" fontId="13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center"/>
    </xf>
    <xf numFmtId="3" fontId="13" fillId="0" borderId="0" xfId="1" applyNumberFormat="1" applyFont="1" applyBorder="1" applyAlignment="1">
      <alignment horizontal="right" indent="1"/>
    </xf>
    <xf numFmtId="165" fontId="13" fillId="0" borderId="0" xfId="1" applyNumberFormat="1" applyFont="1"/>
    <xf numFmtId="164" fontId="13" fillId="0" borderId="0" xfId="1" applyNumberFormat="1" applyFont="1" applyBorder="1"/>
    <xf numFmtId="164" fontId="13" fillId="0" borderId="0" xfId="1" applyNumberFormat="1" applyFont="1" applyBorder="1" applyAlignment="1">
      <alignment horizontal="right"/>
    </xf>
    <xf numFmtId="164" fontId="13" fillId="0" borderId="0" xfId="1" applyNumberFormat="1" applyFont="1" applyBorder="1" applyAlignment="1">
      <alignment horizontal="center"/>
    </xf>
    <xf numFmtId="0" fontId="14" fillId="0" borderId="3" xfId="0" quotePrefix="1" applyFont="1" applyBorder="1" applyAlignment="1"/>
    <xf numFmtId="164" fontId="13" fillId="0" borderId="0" xfId="1" quotePrefix="1" applyNumberFormat="1" applyFont="1" applyBorder="1" applyAlignment="1">
      <alignment horizontal="center"/>
    </xf>
    <xf numFmtId="171" fontId="13" fillId="0" borderId="0" xfId="1" applyNumberFormat="1" applyFont="1" applyBorder="1" applyAlignment="1">
      <alignment horizontal="right" indent="1"/>
    </xf>
    <xf numFmtId="171" fontId="13" fillId="0" borderId="0" xfId="1" applyNumberFormat="1" applyFont="1" applyBorder="1" applyAlignment="1">
      <alignment horizontal="right"/>
    </xf>
    <xf numFmtId="171" fontId="13" fillId="0" borderId="0" xfId="1" quotePrefix="1" applyNumberFormat="1" applyFont="1" applyBorder="1" applyAlignment="1">
      <alignment horizontal="right"/>
    </xf>
    <xf numFmtId="171" fontId="13" fillId="0" borderId="0" xfId="1" applyNumberFormat="1" applyFont="1" applyFill="1" applyBorder="1" applyAlignment="1">
      <alignment horizontal="right"/>
    </xf>
    <xf numFmtId="164" fontId="13" fillId="0" borderId="0" xfId="1" quotePrefix="1" applyNumberFormat="1" applyFont="1" applyAlignment="1">
      <alignment horizontal="center"/>
    </xf>
    <xf numFmtId="171" fontId="13" fillId="0" borderId="0" xfId="1" quotePrefix="1" applyNumberFormat="1" applyFont="1" applyAlignment="1">
      <alignment horizontal="right"/>
    </xf>
    <xf numFmtId="0" fontId="13" fillId="0" borderId="0" xfId="0" quotePrefix="1" applyFont="1"/>
    <xf numFmtId="171" fontId="13" fillId="0" borderId="1" xfId="1" applyNumberFormat="1" applyFont="1" applyBorder="1" applyAlignment="1">
      <alignment horizontal="right" indent="1"/>
    </xf>
    <xf numFmtId="0" fontId="15" fillId="0" borderId="0" xfId="0" applyFont="1" applyBorder="1"/>
    <xf numFmtId="164" fontId="13" fillId="0" borderId="0" xfId="0" applyNumberFormat="1" applyFont="1" applyBorder="1"/>
    <xf numFmtId="164" fontId="13" fillId="0" borderId="0" xfId="1" applyNumberFormat="1" applyFont="1"/>
    <xf numFmtId="0" fontId="14" fillId="0" borderId="0" xfId="0" applyFont="1"/>
    <xf numFmtId="14" fontId="13" fillId="0" borderId="0" xfId="0" applyNumberFormat="1" applyFont="1" applyAlignment="1">
      <alignment horizontal="left"/>
    </xf>
    <xf numFmtId="3" fontId="13" fillId="0" borderId="0" xfId="1" applyNumberFormat="1" applyFont="1" applyAlignment="1">
      <alignment horizontal="right" indent="2"/>
    </xf>
    <xf numFmtId="3" fontId="13" fillId="0" borderId="0" xfId="1" applyNumberFormat="1" applyFont="1" applyAlignment="1">
      <alignment horizontal="right" indent="1"/>
    </xf>
    <xf numFmtId="3" fontId="13" fillId="0" borderId="0" xfId="1" applyNumberFormat="1" applyFont="1" applyAlignment="1">
      <alignment horizontal="center"/>
    </xf>
    <xf numFmtId="171" fontId="13" fillId="0" borderId="0" xfId="1" applyNumberFormat="1" applyFont="1" applyBorder="1" applyAlignment="1">
      <alignment horizontal="center"/>
    </xf>
    <xf numFmtId="171" fontId="13" fillId="0" borderId="0" xfId="1" applyNumberFormat="1" applyFont="1" applyBorder="1" applyAlignment="1">
      <alignment horizontal="right" indent="2"/>
    </xf>
    <xf numFmtId="171" fontId="13" fillId="0" borderId="0" xfId="1" applyNumberFormat="1" applyFont="1" applyAlignment="1">
      <alignment horizontal="right" indent="1"/>
    </xf>
    <xf numFmtId="171" fontId="13" fillId="0" borderId="1" xfId="1" applyNumberFormat="1" applyFont="1" applyBorder="1" applyAlignment="1">
      <alignment horizontal="right" indent="2"/>
    </xf>
    <xf numFmtId="0" fontId="15" fillId="0" borderId="0" xfId="0" applyFont="1"/>
    <xf numFmtId="0" fontId="13" fillId="0" borderId="0" xfId="0" applyFont="1" applyBorder="1" applyAlignment="1">
      <alignment horizontal="center"/>
    </xf>
    <xf numFmtId="171" fontId="13" fillId="0" borderId="0" xfId="1" applyNumberFormat="1" applyFont="1" applyAlignment="1">
      <alignment horizontal="center"/>
    </xf>
    <xf numFmtId="171" fontId="13" fillId="0" borderId="1" xfId="1" applyNumberFormat="1" applyFont="1" applyBorder="1" applyAlignment="1">
      <alignment horizontal="center"/>
    </xf>
    <xf numFmtId="0" fontId="13" fillId="0" borderId="3" xfId="0" applyFont="1" applyBorder="1"/>
    <xf numFmtId="0" fontId="13" fillId="0" borderId="0" xfId="0" applyFont="1" applyBorder="1" applyAlignment="1">
      <alignment horizontal="right"/>
    </xf>
    <xf numFmtId="0" fontId="13" fillId="0" borderId="1" xfId="0" applyFont="1" applyBorder="1" applyAlignment="1">
      <alignment horizontal="left"/>
    </xf>
    <xf numFmtId="0" fontId="13" fillId="0" borderId="0" xfId="0" applyFont="1" applyBorder="1" applyAlignment="1"/>
    <xf numFmtId="37" fontId="13" fillId="0" borderId="0" xfId="1" applyNumberFormat="1" applyFont="1" applyAlignment="1">
      <alignment horizontal="center"/>
    </xf>
    <xf numFmtId="37" fontId="13" fillId="0" borderId="0" xfId="1" applyNumberFormat="1" applyFont="1" applyAlignment="1">
      <alignment horizontal="right" indent="2"/>
    </xf>
    <xf numFmtId="37" fontId="13" fillId="0" borderId="0" xfId="1" applyNumberFormat="1" applyFont="1" applyAlignment="1">
      <alignment horizontal="right" indent="1"/>
    </xf>
    <xf numFmtId="37" fontId="13" fillId="0" borderId="1" xfId="1" applyNumberFormat="1" applyFont="1" applyBorder="1" applyAlignment="1">
      <alignment horizontal="center"/>
    </xf>
    <xf numFmtId="37" fontId="13" fillId="0" borderId="1" xfId="1" applyNumberFormat="1" applyFont="1" applyBorder="1" applyAlignment="1">
      <alignment horizontal="right" indent="2"/>
    </xf>
    <xf numFmtId="165" fontId="13" fillId="0" borderId="1" xfId="1" applyNumberFormat="1" applyFont="1" applyBorder="1"/>
    <xf numFmtId="37" fontId="13" fillId="0" borderId="1" xfId="1" applyNumberFormat="1" applyFont="1" applyBorder="1" applyAlignment="1">
      <alignment horizontal="right" indent="1"/>
    </xf>
    <xf numFmtId="37" fontId="13" fillId="0" borderId="0" xfId="1" applyNumberFormat="1" applyFont="1" applyBorder="1" applyAlignment="1">
      <alignment horizontal="center"/>
    </xf>
    <xf numFmtId="165" fontId="13" fillId="0" borderId="0" xfId="1" applyNumberFormat="1" applyFont="1" applyBorder="1"/>
    <xf numFmtId="1" fontId="13" fillId="0" borderId="0" xfId="0" applyNumberFormat="1" applyFont="1" applyAlignment="1">
      <alignment horizontal="center"/>
    </xf>
    <xf numFmtId="37" fontId="13" fillId="0" borderId="0" xfId="1" applyNumberFormat="1" applyFont="1" applyBorder="1" applyAlignment="1">
      <alignment horizontal="right" indent="1"/>
    </xf>
    <xf numFmtId="1" fontId="13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14" fontId="13" fillId="0" borderId="0" xfId="0" applyNumberFormat="1" applyFont="1" applyAlignment="1">
      <alignment horizontal="right"/>
    </xf>
    <xf numFmtId="165" fontId="13" fillId="0" borderId="1" xfId="1" applyNumberFormat="1" applyFont="1" applyBorder="1" applyAlignment="1">
      <alignment horizontal="right"/>
    </xf>
    <xf numFmtId="16" fontId="13" fillId="0" borderId="0" xfId="0" applyNumberFormat="1" applyFont="1" applyBorder="1"/>
    <xf numFmtId="0" fontId="14" fillId="0" borderId="0" xfId="0" applyFont="1" applyBorder="1" applyAlignment="1">
      <alignment horizontal="center"/>
    </xf>
    <xf numFmtId="2" fontId="13" fillId="0" borderId="0" xfId="0" applyNumberFormat="1" applyFont="1" applyBorder="1" applyAlignment="1">
      <alignment horizontal="right" indent="2"/>
    </xf>
    <xf numFmtId="43" fontId="13" fillId="0" borderId="0" xfId="1" quotePrefix="1" applyFont="1" applyBorder="1" applyAlignment="1">
      <alignment horizontal="center"/>
    </xf>
    <xf numFmtId="174" fontId="13" fillId="0" borderId="0" xfId="0" applyNumberFormat="1" applyFont="1" applyBorder="1"/>
    <xf numFmtId="43" fontId="13" fillId="0" borderId="0" xfId="1" quotePrefix="1" applyNumberFormat="1" applyFont="1" applyBorder="1" applyAlignment="1">
      <alignment horizontal="center"/>
    </xf>
    <xf numFmtId="166" fontId="13" fillId="0" borderId="0" xfId="1" quotePrefix="1" applyNumberFormat="1" applyFont="1" applyBorder="1" applyAlignment="1">
      <alignment horizontal="center"/>
    </xf>
    <xf numFmtId="43" fontId="13" fillId="0" borderId="0" xfId="1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right" indent="2"/>
    </xf>
    <xf numFmtId="43" fontId="13" fillId="0" borderId="0" xfId="1" applyFont="1" applyBorder="1"/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indent="1"/>
    </xf>
    <xf numFmtId="0" fontId="13" fillId="0" borderId="3" xfId="0" applyFont="1" applyBorder="1" applyAlignment="1">
      <alignment horizontal="center"/>
    </xf>
    <xf numFmtId="0" fontId="14" fillId="0" borderId="3" xfId="0" applyFont="1" applyBorder="1" applyAlignment="1"/>
    <xf numFmtId="43" fontId="13" fillId="0" borderId="0" xfId="1" applyNumberFormat="1" applyFont="1" applyBorder="1"/>
    <xf numFmtId="43" fontId="13" fillId="0" borderId="0" xfId="0" applyNumberFormat="1" applyFont="1"/>
    <xf numFmtId="165" fontId="13" fillId="0" borderId="0" xfId="1" applyNumberFormat="1" applyFont="1" applyBorder="1" applyAlignment="1">
      <alignment horizontal="center"/>
    </xf>
    <xf numFmtId="43" fontId="13" fillId="0" borderId="0" xfId="1" applyFont="1" applyBorder="1" applyAlignment="1">
      <alignment horizontal="center"/>
    </xf>
    <xf numFmtId="0" fontId="13" fillId="0" borderId="0" xfId="0" quotePrefix="1" applyFont="1" applyBorder="1"/>
    <xf numFmtId="0" fontId="13" fillId="0" borderId="1" xfId="0" quotePrefix="1" applyFont="1" applyBorder="1"/>
    <xf numFmtId="43" fontId="13" fillId="0" borderId="1" xfId="1" applyFont="1" applyBorder="1" applyAlignment="1">
      <alignment horizontal="center"/>
    </xf>
    <xf numFmtId="168" fontId="13" fillId="0" borderId="0" xfId="0" applyNumberFormat="1" applyFont="1"/>
    <xf numFmtId="2" fontId="13" fillId="0" borderId="0" xfId="0" applyNumberFormat="1" applyFont="1"/>
    <xf numFmtId="2" fontId="0" fillId="0" borderId="0" xfId="0" applyNumberFormat="1" applyBorder="1" applyAlignment="1">
      <alignment wrapText="1"/>
    </xf>
    <xf numFmtId="14" fontId="0" fillId="0" borderId="0" xfId="0" applyNumberFormat="1" applyBorder="1" applyAlignment="1">
      <alignment wrapText="1"/>
    </xf>
    <xf numFmtId="14" fontId="0" fillId="0" borderId="4" xfId="0" applyNumberFormat="1" applyBorder="1" applyAlignment="1">
      <alignment wrapText="1"/>
    </xf>
    <xf numFmtId="2" fontId="13" fillId="0" borderId="0" xfId="0" applyNumberFormat="1" applyFont="1" applyBorder="1" applyAlignment="1">
      <alignment horizontal="center"/>
    </xf>
    <xf numFmtId="0" fontId="0" fillId="0" borderId="0" xfId="0" quotePrefix="1" applyAlignment="1" applyProtection="1">
      <alignment horizontal="left"/>
    </xf>
    <xf numFmtId="0" fontId="2" fillId="0" borderId="0" xfId="10"/>
    <xf numFmtId="0" fontId="5" fillId="0" borderId="0" xfId="10" applyFont="1" applyBorder="1"/>
    <xf numFmtId="14" fontId="0" fillId="0" borderId="0" xfId="0" applyNumberFormat="1"/>
    <xf numFmtId="170" fontId="0" fillId="0" borderId="0" xfId="12" applyNumberFormat="1" applyFont="1"/>
    <xf numFmtId="167" fontId="0" fillId="0" borderId="0" xfId="12" applyNumberFormat="1" applyFont="1"/>
    <xf numFmtId="0" fontId="2" fillId="0" borderId="1" xfId="0" applyFont="1" applyBorder="1"/>
    <xf numFmtId="171" fontId="13" fillId="0" borderId="1" xfId="0" applyNumberFormat="1" applyFont="1" applyBorder="1"/>
    <xf numFmtId="171" fontId="13" fillId="0" borderId="1" xfId="1" applyNumberFormat="1" applyFont="1" applyBorder="1" applyAlignment="1">
      <alignment horizontal="right"/>
    </xf>
    <xf numFmtId="17" fontId="2" fillId="0" borderId="0" xfId="0" quotePrefix="1" applyNumberFormat="1" applyFont="1"/>
    <xf numFmtId="165" fontId="0" fillId="0" borderId="0" xfId="2" applyNumberFormat="1" applyFont="1"/>
    <xf numFmtId="43" fontId="0" fillId="0" borderId="0" xfId="2" applyNumberFormat="1" applyFont="1"/>
    <xf numFmtId="169" fontId="0" fillId="0" borderId="0" xfId="2" applyNumberFormat="1" applyFont="1"/>
    <xf numFmtId="164" fontId="0" fillId="0" borderId="0" xfId="2" applyNumberFormat="1" applyFont="1"/>
    <xf numFmtId="17" fontId="13" fillId="0" borderId="0" xfId="0" applyNumberFormat="1" applyFont="1"/>
    <xf numFmtId="3" fontId="0" fillId="0" borderId="0" xfId="12" applyNumberFormat="1" applyFont="1"/>
    <xf numFmtId="0" fontId="2" fillId="0" borderId="0" xfId="0" applyFont="1" applyBorder="1"/>
    <xf numFmtId="0" fontId="1" fillId="0" borderId="0" xfId="0" applyFont="1"/>
    <xf numFmtId="1" fontId="1" fillId="0" borderId="0" xfId="0" applyNumberFormat="1" applyFont="1"/>
    <xf numFmtId="2" fontId="1" fillId="0" borderId="0" xfId="10" applyNumberFormat="1" applyFont="1"/>
    <xf numFmtId="0" fontId="1" fillId="0" borderId="0" xfId="10" applyFont="1" applyBorder="1"/>
    <xf numFmtId="0" fontId="14" fillId="0" borderId="3" xfId="0" quotePrefix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164" fontId="13" fillId="0" borderId="1" xfId="0" applyNumberFormat="1" applyFont="1" applyBorder="1"/>
    <xf numFmtId="0" fontId="1" fillId="0" borderId="0" xfId="10" applyFont="1"/>
    <xf numFmtId="2" fontId="2" fillId="0" borderId="0" xfId="10" applyNumberFormat="1" applyBorder="1" applyAlignment="1">
      <alignment wrapText="1"/>
    </xf>
    <xf numFmtId="0" fontId="14" fillId="0" borderId="3" xfId="0" quotePrefix="1" applyFont="1" applyBorder="1" applyAlignment="1">
      <alignment horizontal="center"/>
    </xf>
    <xf numFmtId="0" fontId="0" fillId="0" borderId="2" xfId="0" applyBorder="1"/>
    <xf numFmtId="0" fontId="13" fillId="0" borderId="2" xfId="0" applyFont="1" applyBorder="1" applyAlignment="1">
      <alignment horizontal="right"/>
    </xf>
    <xf numFmtId="0" fontId="13" fillId="0" borderId="2" xfId="0" applyFont="1" applyBorder="1" applyAlignment="1">
      <alignment horizontal="left"/>
    </xf>
    <xf numFmtId="167" fontId="1" fillId="0" borderId="0" xfId="0" applyNumberFormat="1" applyFont="1"/>
    <xf numFmtId="164" fontId="2" fillId="0" borderId="0" xfId="1" applyNumberFormat="1" applyFont="1" applyBorder="1" applyAlignment="1">
      <alignment wrapText="1"/>
    </xf>
    <xf numFmtId="0" fontId="1" fillId="0" borderId="0" xfId="0" applyFont="1" applyBorder="1"/>
    <xf numFmtId="0" fontId="1" fillId="0" borderId="1" xfId="0" applyFont="1" applyBorder="1"/>
    <xf numFmtId="3" fontId="1" fillId="0" borderId="0" xfId="12" applyNumberFormat="1" applyFont="1"/>
    <xf numFmtId="0" fontId="1" fillId="0" borderId="0" xfId="0" quotePrefix="1" applyFont="1"/>
    <xf numFmtId="0" fontId="1" fillId="0" borderId="0" xfId="10" applyFont="1" applyFill="1" applyBorder="1"/>
    <xf numFmtId="165" fontId="2" fillId="0" borderId="0" xfId="1" applyNumberFormat="1" applyFont="1" applyBorder="1" applyAlignment="1">
      <alignment wrapText="1"/>
    </xf>
    <xf numFmtId="165" fontId="1" fillId="0" borderId="0" xfId="1" applyNumberFormat="1" applyFont="1"/>
    <xf numFmtId="0" fontId="13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3" xfId="0" quotePrefix="1" applyFont="1" applyBorder="1" applyAlignment="1">
      <alignment horizontal="center"/>
    </xf>
  </cellXfs>
  <cellStyles count="13">
    <cellStyle name="Comma" xfId="1" builtinId="3"/>
    <cellStyle name="Comma 2" xfId="2"/>
    <cellStyle name="Comma 3" xfId="3"/>
    <cellStyle name="Hyperlink" xfId="4" builtinId="8"/>
    <cellStyle name="Hyperlink 2" xfId="5"/>
    <cellStyle name="Hyperlink 3" xfId="6"/>
    <cellStyle name="Normal" xfId="0" builtinId="0"/>
    <cellStyle name="Normal 2" xfId="7"/>
    <cellStyle name="Normal 2 2" xfId="8"/>
    <cellStyle name="Normal 3" xfId="9"/>
    <cellStyle name="Normal 4" xfId="10"/>
    <cellStyle name="Normal 5" xfId="11"/>
    <cellStyle name="Percent" xfId="12" builtinId="5"/>
  </cellStyles>
  <dxfs count="0"/>
  <tableStyles count="0" defaultTableStyle="TableStyleMedium9" defaultPivotStyle="PivotStyleLight16"/>
  <colors>
    <mruColors>
      <color rgb="FFFFCF01"/>
      <color rgb="FF0066FF"/>
      <color rgb="FF0000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 baseline="0"/>
              <a:t>Projected farm value of </a:t>
            </a:r>
            <a:r>
              <a:rPr lang="en-US" sz="1050" b="1" i="0" u="none" strike="noStrike" baseline="0">
                <a:effectLst/>
              </a:rPr>
              <a:t>soybeans to plunge with lower crop and prices</a:t>
            </a:r>
            <a:r>
              <a:rPr lang="en-US" sz="1050" baseline="0"/>
              <a:t> </a:t>
            </a:r>
            <a:endParaRPr lang="en-US" sz="1050"/>
          </a:p>
        </c:rich>
      </c:tx>
      <c:layout>
        <c:manualLayout>
          <c:xMode val="edge"/>
          <c:yMode val="edge"/>
          <c:x val="2.9780872344723312E-2"/>
          <c:y val="4.05219966069807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502072426781483"/>
          <c:y val="0.19511964750582575"/>
          <c:w val="0.72607747510518172"/>
          <c:h val="0.65579108761447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Cover!$B$1</c:f>
              <c:strCache>
                <c:ptCount val="1"/>
                <c:pt idx="0">
                  <c:v>Production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Cover!$A$4:$A$15</c:f>
              <c:strCache>
                <c:ptCount val="12"/>
                <c:pt idx="0">
                  <c:v>2008/09</c:v>
                </c:pt>
                <c:pt idx="1">
                  <c:v>2009/10</c:v>
                </c:pt>
                <c:pt idx="2">
                  <c:v>2010/11</c:v>
                </c:pt>
                <c:pt idx="3">
                  <c:v>2011/12</c:v>
                </c:pt>
                <c:pt idx="4">
                  <c:v>2012/13</c:v>
                </c:pt>
                <c:pt idx="5">
                  <c:v>2013/14</c:v>
                </c:pt>
                <c:pt idx="6">
                  <c:v>2014/15</c:v>
                </c:pt>
                <c:pt idx="7">
                  <c:v>2015/16</c:v>
                </c:pt>
                <c:pt idx="8">
                  <c:v>2016/17</c:v>
                </c:pt>
                <c:pt idx="9">
                  <c:v>2017/18</c:v>
                </c:pt>
                <c:pt idx="10">
                  <c:v>2018/19</c:v>
                </c:pt>
                <c:pt idx="11">
                  <c:v>2019/20</c:v>
                </c:pt>
              </c:strCache>
            </c:strRef>
          </c:cat>
          <c:val>
            <c:numRef>
              <c:f>Cover!$B$4:$B$15</c:f>
              <c:numCache>
                <c:formatCode>_(* #,##0_);_(* \(#,##0\);_(* "-"??_);_(@_)</c:formatCode>
                <c:ptCount val="12"/>
                <c:pt idx="0">
                  <c:v>2967.0070000000001</c:v>
                </c:pt>
                <c:pt idx="1">
                  <c:v>3360.931</c:v>
                </c:pt>
                <c:pt idx="2">
                  <c:v>3331.306</c:v>
                </c:pt>
                <c:pt idx="3">
                  <c:v>3097.1790000000001</c:v>
                </c:pt>
                <c:pt idx="4">
                  <c:v>3042.0439999999999</c:v>
                </c:pt>
                <c:pt idx="5">
                  <c:v>3357.0039999999999</c:v>
                </c:pt>
                <c:pt idx="6">
                  <c:v>3928.07</c:v>
                </c:pt>
                <c:pt idx="7">
                  <c:v>3926.779</c:v>
                </c:pt>
                <c:pt idx="8">
                  <c:v>4296.4960000000001</c:v>
                </c:pt>
                <c:pt idx="9">
                  <c:v>4411.6329999999998</c:v>
                </c:pt>
                <c:pt idx="10">
                  <c:v>4543.8829999999998</c:v>
                </c:pt>
                <c:pt idx="11">
                  <c:v>3680.2170000000001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75945696"/>
        <c:axId val="-1675944608"/>
      </c:barChart>
      <c:lineChart>
        <c:grouping val="standard"/>
        <c:varyColors val="0"/>
        <c:ser>
          <c:idx val="1"/>
          <c:order val="1"/>
          <c:tx>
            <c:strRef>
              <c:f>Cover!$C$1</c:f>
              <c:strCache>
                <c:ptCount val="1"/>
                <c:pt idx="0">
                  <c:v>Crop value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strRef>
              <c:f>Cover!$A$4:$A$15</c:f>
              <c:strCache>
                <c:ptCount val="12"/>
                <c:pt idx="0">
                  <c:v>2008/09</c:v>
                </c:pt>
                <c:pt idx="1">
                  <c:v>2009/10</c:v>
                </c:pt>
                <c:pt idx="2">
                  <c:v>2010/11</c:v>
                </c:pt>
                <c:pt idx="3">
                  <c:v>2011/12</c:v>
                </c:pt>
                <c:pt idx="4">
                  <c:v>2012/13</c:v>
                </c:pt>
                <c:pt idx="5">
                  <c:v>2013/14</c:v>
                </c:pt>
                <c:pt idx="6">
                  <c:v>2014/15</c:v>
                </c:pt>
                <c:pt idx="7">
                  <c:v>2015/16</c:v>
                </c:pt>
                <c:pt idx="8">
                  <c:v>2016/17</c:v>
                </c:pt>
                <c:pt idx="9">
                  <c:v>2017/18</c:v>
                </c:pt>
                <c:pt idx="10">
                  <c:v>2018/19</c:v>
                </c:pt>
                <c:pt idx="11">
                  <c:v>2019/20</c:v>
                </c:pt>
              </c:strCache>
            </c:strRef>
          </c:cat>
          <c:val>
            <c:numRef>
              <c:f>Cover!$C$4:$C$15</c:f>
              <c:numCache>
                <c:formatCode>0.0</c:formatCode>
                <c:ptCount val="12"/>
                <c:pt idx="0">
                  <c:v>29.458224999999999</c:v>
                </c:pt>
                <c:pt idx="1">
                  <c:v>32.163204</c:v>
                </c:pt>
                <c:pt idx="2">
                  <c:v>37.571277000000002</c:v>
                </c:pt>
                <c:pt idx="3">
                  <c:v>38.542177000000002</c:v>
                </c:pt>
                <c:pt idx="4">
                  <c:v>43.723143999999998</c:v>
                </c:pt>
                <c:pt idx="5">
                  <c:v>43.582901</c:v>
                </c:pt>
                <c:pt idx="6">
                  <c:v>39.474860999999997</c:v>
                </c:pt>
                <c:pt idx="7">
                  <c:v>35.192057999999996</c:v>
                </c:pt>
                <c:pt idx="8">
                  <c:v>40.694572999999998</c:v>
                </c:pt>
                <c:pt idx="9">
                  <c:v>41.30874</c:v>
                </c:pt>
                <c:pt idx="10">
                  <c:v>39.133978000000006</c:v>
                </c:pt>
                <c:pt idx="11">
                  <c:v>30.913822800000002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89155920"/>
        <c:axId val="-1675942976"/>
      </c:lineChart>
      <c:catAx>
        <c:axId val="-167594569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Sources: USDA, National Agricultural Statistics Service, </a:t>
                </a:r>
                <a:r>
                  <a:rPr lang="en-US" sz="900" i="1"/>
                  <a:t>Crop Production </a:t>
                </a:r>
                <a:r>
                  <a:rPr lang="en-US" sz="900"/>
                  <a:t>and </a:t>
                </a:r>
                <a:r>
                  <a:rPr lang="en-US" sz="900" i="1"/>
                  <a:t>Crop Values</a:t>
                </a:r>
                <a:r>
                  <a:rPr lang="en-US" sz="900"/>
                  <a:t>.</a:t>
                </a:r>
              </a:p>
            </c:rich>
          </c:tx>
          <c:layout>
            <c:manualLayout>
              <c:xMode val="edge"/>
              <c:yMode val="edge"/>
              <c:x val="6.3126665195956819E-2"/>
              <c:y val="0.9342241346493857"/>
            </c:manualLayout>
          </c:layout>
          <c:overlay val="0"/>
        </c:title>
        <c:numFmt formatCode="General" sourceLinked="0"/>
        <c:majorTickMark val="out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675944608"/>
        <c:crosses val="autoZero"/>
        <c:auto val="1"/>
        <c:lblAlgn val="ctr"/>
        <c:lblOffset val="300"/>
        <c:tickLblSkip val="2"/>
        <c:noMultiLvlLbl val="1"/>
      </c:catAx>
      <c:valAx>
        <c:axId val="-1675944608"/>
        <c:scaling>
          <c:orientation val="minMax"/>
          <c:max val="5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en-US" sz="800"/>
                  <a:t>Million bushels.</a:t>
                </a:r>
              </a:p>
            </c:rich>
          </c:tx>
          <c:layout>
            <c:manualLayout>
              <c:xMode val="edge"/>
              <c:yMode val="edge"/>
              <c:x val="5.4213934455682504E-2"/>
              <c:y val="0.12401902622458044"/>
            </c:manualLayout>
          </c:layout>
          <c:overlay val="0"/>
        </c:title>
        <c:numFmt formatCode="#,##0" sourceLinked="0"/>
        <c:majorTickMark val="out"/>
        <c:minorTickMark val="out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675945696"/>
        <c:crosses val="autoZero"/>
        <c:crossBetween val="between"/>
        <c:majorUnit val="1000"/>
        <c:minorUnit val="100"/>
      </c:valAx>
      <c:valAx>
        <c:axId val="-1675942976"/>
        <c:scaling>
          <c:orientation val="minMax"/>
          <c:min val="28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Billion $</a:t>
                </a:r>
              </a:p>
            </c:rich>
          </c:tx>
          <c:layout>
            <c:manualLayout>
              <c:xMode val="edge"/>
              <c:yMode val="edge"/>
              <c:x val="0.80161035570611328"/>
              <c:y val="0.1281222298517593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-1889155920"/>
        <c:crosses val="max"/>
        <c:crossBetween val="between"/>
        <c:majorUnit val="5"/>
        <c:minorUnit val="1"/>
      </c:valAx>
      <c:catAx>
        <c:axId val="-1889155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675942976"/>
        <c:crosses val="autoZero"/>
        <c:auto val="1"/>
        <c:lblAlgn val="ctr"/>
        <c:lblOffset val="100"/>
        <c:noMultiLvlLbl val="0"/>
      </c:catAx>
      <c:spPr>
        <a:ln>
          <a:solidFill>
            <a:schemeClr val="bg1">
              <a:lumMod val="8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15514375997900734"/>
          <c:y val="0.22045560317403268"/>
          <c:w val="0.12488602833755337"/>
          <c:h val="8.250675890341660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 baseline="0"/>
              <a:t>Development of 2019 soybean crop lags sharply after planting delays </a:t>
            </a:r>
            <a:r>
              <a:rPr lang="en-US" sz="1050"/>
              <a:t> </a:t>
            </a:r>
            <a:r>
              <a:rPr lang="en-US" sz="1050" baseline="0"/>
              <a:t> </a:t>
            </a:r>
            <a:endParaRPr lang="en-US" sz="1050"/>
          </a:p>
        </c:rich>
      </c:tx>
      <c:layout>
        <c:manualLayout>
          <c:xMode val="edge"/>
          <c:yMode val="edge"/>
          <c:x val="2.9780872344723312E-2"/>
          <c:y val="4.05219966069807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203390556188967E-2"/>
          <c:y val="0.19511964750582575"/>
          <c:w val="0.74789475912285153"/>
          <c:h val="0.66161589696209167"/>
        </c:manualLayout>
      </c:layout>
      <c:lineChart>
        <c:grouping val="standard"/>
        <c:varyColors val="0"/>
        <c:ser>
          <c:idx val="3"/>
          <c:order val="0"/>
          <c:tx>
            <c:strRef>
              <c:f>'Oil Crops Chart Gallery Fig 1'!$B$1:$B$2</c:f>
              <c:strCache>
                <c:ptCount val="2"/>
                <c:pt idx="0">
                  <c:v>Planted</c:v>
                </c:pt>
                <c:pt idx="1">
                  <c:v>2019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'Oil Crops Chart Gallery Fig 1'!$A$4:$A$20</c:f>
              <c:numCache>
                <c:formatCode>m/d/yyyy</c:formatCode>
                <c:ptCount val="17"/>
                <c:pt idx="0">
                  <c:v>43576</c:v>
                </c:pt>
                <c:pt idx="1">
                  <c:v>43583</c:v>
                </c:pt>
                <c:pt idx="2">
                  <c:v>43590</c:v>
                </c:pt>
                <c:pt idx="3">
                  <c:v>43597</c:v>
                </c:pt>
                <c:pt idx="4">
                  <c:v>43604</c:v>
                </c:pt>
                <c:pt idx="5">
                  <c:v>43611</c:v>
                </c:pt>
                <c:pt idx="6">
                  <c:v>43618</c:v>
                </c:pt>
                <c:pt idx="7">
                  <c:v>43625</c:v>
                </c:pt>
                <c:pt idx="8">
                  <c:v>43632</c:v>
                </c:pt>
                <c:pt idx="9">
                  <c:v>43639</c:v>
                </c:pt>
                <c:pt idx="10">
                  <c:v>43646</c:v>
                </c:pt>
                <c:pt idx="11">
                  <c:v>43653</c:v>
                </c:pt>
                <c:pt idx="12">
                  <c:v>43660</c:v>
                </c:pt>
                <c:pt idx="13">
                  <c:v>43667</c:v>
                </c:pt>
                <c:pt idx="14">
                  <c:v>43674</c:v>
                </c:pt>
                <c:pt idx="15">
                  <c:v>43681</c:v>
                </c:pt>
                <c:pt idx="16">
                  <c:v>43688</c:v>
                </c:pt>
              </c:numCache>
            </c:numRef>
          </c:cat>
          <c:val>
            <c:numRef>
              <c:f>'Oil Crops Chart Gallery Fig 1'!$B$4:$B$20</c:f>
              <c:numCache>
                <c:formatCode>_(* #,##0_);_(* \(#,##0\);_(* "-"??_);_(@_)</c:formatCode>
                <c:ptCount val="17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19</c:v>
                </c:pt>
                <c:pt idx="5">
                  <c:v>29</c:v>
                </c:pt>
                <c:pt idx="6">
                  <c:v>39</c:v>
                </c:pt>
                <c:pt idx="7">
                  <c:v>60</c:v>
                </c:pt>
                <c:pt idx="8">
                  <c:v>77</c:v>
                </c:pt>
                <c:pt idx="9">
                  <c:v>85</c:v>
                </c:pt>
                <c:pt idx="10">
                  <c:v>92</c:v>
                </c:pt>
                <c:pt idx="11">
                  <c:v>96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'Oil Crops Chart Gallery Fig 1'!$C$1:$C$2</c:f>
              <c:strCache>
                <c:ptCount val="2"/>
                <c:pt idx="0">
                  <c:v>Planted</c:v>
                </c:pt>
                <c:pt idx="1">
                  <c:v>5-year average</c:v>
                </c:pt>
              </c:strCache>
            </c:strRef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numRef>
              <c:f>'Oil Crops Chart Gallery Fig 1'!$A$4:$A$20</c:f>
              <c:numCache>
                <c:formatCode>m/d/yyyy</c:formatCode>
                <c:ptCount val="17"/>
                <c:pt idx="0">
                  <c:v>43576</c:v>
                </c:pt>
                <c:pt idx="1">
                  <c:v>43583</c:v>
                </c:pt>
                <c:pt idx="2">
                  <c:v>43590</c:v>
                </c:pt>
                <c:pt idx="3">
                  <c:v>43597</c:v>
                </c:pt>
                <c:pt idx="4">
                  <c:v>43604</c:v>
                </c:pt>
                <c:pt idx="5">
                  <c:v>43611</c:v>
                </c:pt>
                <c:pt idx="6">
                  <c:v>43618</c:v>
                </c:pt>
                <c:pt idx="7">
                  <c:v>43625</c:v>
                </c:pt>
                <c:pt idx="8">
                  <c:v>43632</c:v>
                </c:pt>
                <c:pt idx="9">
                  <c:v>43639</c:v>
                </c:pt>
                <c:pt idx="10">
                  <c:v>43646</c:v>
                </c:pt>
                <c:pt idx="11">
                  <c:v>43653</c:v>
                </c:pt>
                <c:pt idx="12">
                  <c:v>43660</c:v>
                </c:pt>
                <c:pt idx="13">
                  <c:v>43667</c:v>
                </c:pt>
                <c:pt idx="14">
                  <c:v>43674</c:v>
                </c:pt>
                <c:pt idx="15">
                  <c:v>43681</c:v>
                </c:pt>
                <c:pt idx="16">
                  <c:v>43688</c:v>
                </c:pt>
              </c:numCache>
            </c:numRef>
          </c:cat>
          <c:val>
            <c:numRef>
              <c:f>'Oil Crops Chart Gallery Fig 1'!$C$4:$C$20</c:f>
              <c:numCache>
                <c:formatCode>_(* #,##0_);_(* \(#,##0\);_(* "-"??_);_(@_)</c:formatCode>
                <c:ptCount val="17"/>
                <c:pt idx="0">
                  <c:v>2</c:v>
                </c:pt>
                <c:pt idx="1">
                  <c:v>6</c:v>
                </c:pt>
                <c:pt idx="2">
                  <c:v>14</c:v>
                </c:pt>
                <c:pt idx="3">
                  <c:v>29</c:v>
                </c:pt>
                <c:pt idx="4">
                  <c:v>47</c:v>
                </c:pt>
                <c:pt idx="5">
                  <c:v>66</c:v>
                </c:pt>
                <c:pt idx="6">
                  <c:v>79</c:v>
                </c:pt>
                <c:pt idx="7">
                  <c:v>88</c:v>
                </c:pt>
                <c:pt idx="8">
                  <c:v>93</c:v>
                </c:pt>
                <c:pt idx="9">
                  <c:v>97</c:v>
                </c:pt>
                <c:pt idx="10">
                  <c:v>99</c:v>
                </c:pt>
                <c:pt idx="11">
                  <c:v>99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'Oil Crops Chart Gallery Fig 1'!$D$1:$D$2</c:f>
              <c:strCache>
                <c:ptCount val="2"/>
                <c:pt idx="0">
                  <c:v>Blooming</c:v>
                </c:pt>
                <c:pt idx="1">
                  <c:v>2019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'Oil Crops Chart Gallery Fig 1'!$A$4:$A$20</c:f>
              <c:numCache>
                <c:formatCode>m/d/yyyy</c:formatCode>
                <c:ptCount val="17"/>
                <c:pt idx="0">
                  <c:v>43576</c:v>
                </c:pt>
                <c:pt idx="1">
                  <c:v>43583</c:v>
                </c:pt>
                <c:pt idx="2">
                  <c:v>43590</c:v>
                </c:pt>
                <c:pt idx="3">
                  <c:v>43597</c:v>
                </c:pt>
                <c:pt idx="4">
                  <c:v>43604</c:v>
                </c:pt>
                <c:pt idx="5">
                  <c:v>43611</c:v>
                </c:pt>
                <c:pt idx="6">
                  <c:v>43618</c:v>
                </c:pt>
                <c:pt idx="7">
                  <c:v>43625</c:v>
                </c:pt>
                <c:pt idx="8">
                  <c:v>43632</c:v>
                </c:pt>
                <c:pt idx="9">
                  <c:v>43639</c:v>
                </c:pt>
                <c:pt idx="10">
                  <c:v>43646</c:v>
                </c:pt>
                <c:pt idx="11">
                  <c:v>43653</c:v>
                </c:pt>
                <c:pt idx="12">
                  <c:v>43660</c:v>
                </c:pt>
                <c:pt idx="13">
                  <c:v>43667</c:v>
                </c:pt>
                <c:pt idx="14">
                  <c:v>43674</c:v>
                </c:pt>
                <c:pt idx="15">
                  <c:v>43681</c:v>
                </c:pt>
                <c:pt idx="16">
                  <c:v>43688</c:v>
                </c:pt>
              </c:numCache>
            </c:numRef>
          </c:cat>
          <c:val>
            <c:numRef>
              <c:f>'Oil Crops Chart Gallery Fig 1'!$D$4:$D$20</c:f>
              <c:numCache>
                <c:formatCode>_(* #,##0_);_(* \(#,##0\);_(* "-"??_);_(@_)</c:formatCode>
                <c:ptCount val="17"/>
                <c:pt idx="11">
                  <c:v>10</c:v>
                </c:pt>
                <c:pt idx="12">
                  <c:v>22</c:v>
                </c:pt>
                <c:pt idx="13">
                  <c:v>40</c:v>
                </c:pt>
                <c:pt idx="14">
                  <c:v>57</c:v>
                </c:pt>
                <c:pt idx="15">
                  <c:v>72</c:v>
                </c:pt>
                <c:pt idx="16">
                  <c:v>82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'Oil Crops Chart Gallery Fig 1'!$E$1:$E$2</c:f>
              <c:strCache>
                <c:ptCount val="2"/>
                <c:pt idx="0">
                  <c:v>Blooming</c:v>
                </c:pt>
                <c:pt idx="1">
                  <c:v>5-year average</c:v>
                </c:pt>
              </c:strCache>
            </c:strRef>
          </c:tx>
          <c:spPr>
            <a:ln>
              <a:solidFill>
                <a:srgbClr val="0070C0"/>
              </a:solidFill>
              <a:prstDash val="sysDash"/>
            </a:ln>
          </c:spPr>
          <c:marker>
            <c:symbol val="none"/>
          </c:marker>
          <c:cat>
            <c:numRef>
              <c:f>'Oil Crops Chart Gallery Fig 1'!$A$4:$A$20</c:f>
              <c:numCache>
                <c:formatCode>m/d/yyyy</c:formatCode>
                <c:ptCount val="17"/>
                <c:pt idx="0">
                  <c:v>43576</c:v>
                </c:pt>
                <c:pt idx="1">
                  <c:v>43583</c:v>
                </c:pt>
                <c:pt idx="2">
                  <c:v>43590</c:v>
                </c:pt>
                <c:pt idx="3">
                  <c:v>43597</c:v>
                </c:pt>
                <c:pt idx="4">
                  <c:v>43604</c:v>
                </c:pt>
                <c:pt idx="5">
                  <c:v>43611</c:v>
                </c:pt>
                <c:pt idx="6">
                  <c:v>43618</c:v>
                </c:pt>
                <c:pt idx="7">
                  <c:v>43625</c:v>
                </c:pt>
                <c:pt idx="8">
                  <c:v>43632</c:v>
                </c:pt>
                <c:pt idx="9">
                  <c:v>43639</c:v>
                </c:pt>
                <c:pt idx="10">
                  <c:v>43646</c:v>
                </c:pt>
                <c:pt idx="11">
                  <c:v>43653</c:v>
                </c:pt>
                <c:pt idx="12">
                  <c:v>43660</c:v>
                </c:pt>
                <c:pt idx="13">
                  <c:v>43667</c:v>
                </c:pt>
                <c:pt idx="14">
                  <c:v>43674</c:v>
                </c:pt>
                <c:pt idx="15">
                  <c:v>43681</c:v>
                </c:pt>
                <c:pt idx="16">
                  <c:v>43688</c:v>
                </c:pt>
              </c:numCache>
            </c:numRef>
          </c:cat>
          <c:val>
            <c:numRef>
              <c:f>'Oil Crops Chart Gallery Fig 1'!$E$4:$E$20</c:f>
              <c:numCache>
                <c:formatCode>_(* #,##0_);_(* \(#,##0\);_(* "-"??_);_(@_)</c:formatCode>
                <c:ptCount val="17"/>
                <c:pt idx="11">
                  <c:v>32</c:v>
                </c:pt>
                <c:pt idx="12">
                  <c:v>49</c:v>
                </c:pt>
                <c:pt idx="13">
                  <c:v>66</c:v>
                </c:pt>
                <c:pt idx="14">
                  <c:v>79</c:v>
                </c:pt>
                <c:pt idx="15">
                  <c:v>87</c:v>
                </c:pt>
                <c:pt idx="16">
                  <c:v>93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'Oil Crops Chart Gallery Fig 1'!$F$1:$F$2</c:f>
              <c:strCache>
                <c:ptCount val="2"/>
                <c:pt idx="0">
                  <c:v>Setting pods</c:v>
                </c:pt>
                <c:pt idx="1">
                  <c:v>2019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'Oil Crops Chart Gallery Fig 1'!$A$4:$A$20</c:f>
              <c:numCache>
                <c:formatCode>m/d/yyyy</c:formatCode>
                <c:ptCount val="17"/>
                <c:pt idx="0">
                  <c:v>43576</c:v>
                </c:pt>
                <c:pt idx="1">
                  <c:v>43583</c:v>
                </c:pt>
                <c:pt idx="2">
                  <c:v>43590</c:v>
                </c:pt>
                <c:pt idx="3">
                  <c:v>43597</c:v>
                </c:pt>
                <c:pt idx="4">
                  <c:v>43604</c:v>
                </c:pt>
                <c:pt idx="5">
                  <c:v>43611</c:v>
                </c:pt>
                <c:pt idx="6">
                  <c:v>43618</c:v>
                </c:pt>
                <c:pt idx="7">
                  <c:v>43625</c:v>
                </c:pt>
                <c:pt idx="8">
                  <c:v>43632</c:v>
                </c:pt>
                <c:pt idx="9">
                  <c:v>43639</c:v>
                </c:pt>
                <c:pt idx="10">
                  <c:v>43646</c:v>
                </c:pt>
                <c:pt idx="11">
                  <c:v>43653</c:v>
                </c:pt>
                <c:pt idx="12">
                  <c:v>43660</c:v>
                </c:pt>
                <c:pt idx="13">
                  <c:v>43667</c:v>
                </c:pt>
                <c:pt idx="14">
                  <c:v>43674</c:v>
                </c:pt>
                <c:pt idx="15">
                  <c:v>43681</c:v>
                </c:pt>
                <c:pt idx="16">
                  <c:v>43688</c:v>
                </c:pt>
              </c:numCache>
            </c:numRef>
          </c:cat>
          <c:val>
            <c:numRef>
              <c:f>'Oil Crops Chart Gallery Fig 1'!$F$4:$F$20</c:f>
              <c:numCache>
                <c:formatCode>_(* #,##0_);_(* \(#,##0\);_(* "-"??_);_(@_)</c:formatCode>
                <c:ptCount val="17"/>
                <c:pt idx="13">
                  <c:v>7</c:v>
                </c:pt>
                <c:pt idx="14">
                  <c:v>21</c:v>
                </c:pt>
                <c:pt idx="15">
                  <c:v>37</c:v>
                </c:pt>
                <c:pt idx="16">
                  <c:v>54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'Oil Crops Chart Gallery Fig 1'!$G$1:$G$2</c:f>
              <c:strCache>
                <c:ptCount val="2"/>
                <c:pt idx="0">
                  <c:v>Setting pods</c:v>
                </c:pt>
                <c:pt idx="1">
                  <c:v>5-year average</c:v>
                </c:pt>
              </c:strCache>
            </c:strRef>
          </c:tx>
          <c:spPr>
            <a:ln>
              <a:solidFill>
                <a:srgbClr val="00B050"/>
              </a:solidFill>
              <a:prstDash val="sysDash"/>
            </a:ln>
          </c:spPr>
          <c:marker>
            <c:symbol val="none"/>
          </c:marker>
          <c:cat>
            <c:numRef>
              <c:f>'Oil Crops Chart Gallery Fig 1'!$A$4:$A$20</c:f>
              <c:numCache>
                <c:formatCode>m/d/yyyy</c:formatCode>
                <c:ptCount val="17"/>
                <c:pt idx="0">
                  <c:v>43576</c:v>
                </c:pt>
                <c:pt idx="1">
                  <c:v>43583</c:v>
                </c:pt>
                <c:pt idx="2">
                  <c:v>43590</c:v>
                </c:pt>
                <c:pt idx="3">
                  <c:v>43597</c:v>
                </c:pt>
                <c:pt idx="4">
                  <c:v>43604</c:v>
                </c:pt>
                <c:pt idx="5">
                  <c:v>43611</c:v>
                </c:pt>
                <c:pt idx="6">
                  <c:v>43618</c:v>
                </c:pt>
                <c:pt idx="7">
                  <c:v>43625</c:v>
                </c:pt>
                <c:pt idx="8">
                  <c:v>43632</c:v>
                </c:pt>
                <c:pt idx="9">
                  <c:v>43639</c:v>
                </c:pt>
                <c:pt idx="10">
                  <c:v>43646</c:v>
                </c:pt>
                <c:pt idx="11">
                  <c:v>43653</c:v>
                </c:pt>
                <c:pt idx="12">
                  <c:v>43660</c:v>
                </c:pt>
                <c:pt idx="13">
                  <c:v>43667</c:v>
                </c:pt>
                <c:pt idx="14">
                  <c:v>43674</c:v>
                </c:pt>
                <c:pt idx="15">
                  <c:v>43681</c:v>
                </c:pt>
                <c:pt idx="16">
                  <c:v>43688</c:v>
                </c:pt>
              </c:numCache>
            </c:numRef>
          </c:cat>
          <c:val>
            <c:numRef>
              <c:f>'Oil Crops Chart Gallery Fig 1'!$G$4:$G$20</c:f>
              <c:numCache>
                <c:formatCode>_(* #,##0_);_(* \(#,##0\);_(* "-"??_);_(@_)</c:formatCode>
                <c:ptCount val="17"/>
                <c:pt idx="13">
                  <c:v>28</c:v>
                </c:pt>
                <c:pt idx="14">
                  <c:v>45</c:v>
                </c:pt>
                <c:pt idx="15">
                  <c:v>63</c:v>
                </c:pt>
                <c:pt idx="16">
                  <c:v>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89155376"/>
        <c:axId val="-1889151568"/>
      </c:lineChart>
      <c:dateAx>
        <c:axId val="-1889155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Source: USDA, National Agricultural  Statistics Service, </a:t>
                </a:r>
                <a:r>
                  <a:rPr lang="en-US" i="1"/>
                  <a:t>Crop Progress.</a:t>
                </a:r>
              </a:p>
            </c:rich>
          </c:tx>
          <c:layout>
            <c:manualLayout>
              <c:xMode val="edge"/>
              <c:yMode val="edge"/>
              <c:x val="6.676287838627723E-2"/>
              <c:y val="0.925654325831334"/>
            </c:manualLayout>
          </c:layout>
          <c:overlay val="0"/>
        </c:title>
        <c:numFmt formatCode="[$-409]d\-mmm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889151568"/>
        <c:crosses val="autoZero"/>
        <c:auto val="1"/>
        <c:lblOffset val="100"/>
        <c:baseTimeUnit val="days"/>
      </c:dateAx>
      <c:valAx>
        <c:axId val="-1889151568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Percent</a:t>
                </a:r>
              </a:p>
            </c:rich>
          </c:tx>
          <c:layout>
            <c:manualLayout>
              <c:xMode val="edge"/>
              <c:yMode val="edge"/>
              <c:x val="3.0578548718599899E-2"/>
              <c:y val="0.14457619135197458"/>
            </c:manualLayout>
          </c:layout>
          <c:overlay val="0"/>
        </c:title>
        <c:numFmt formatCode="#,##0" sourceLinked="0"/>
        <c:majorTickMark val="out"/>
        <c:minorTickMark val="out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889155376"/>
        <c:crosses val="autoZero"/>
        <c:crossBetween val="between"/>
        <c:majorUnit val="10"/>
        <c:minorUnit val="5"/>
      </c:valAx>
      <c:spPr>
        <a:ln>
          <a:solidFill>
            <a:schemeClr val="bg1">
              <a:lumMod val="85000"/>
            </a:schemeClr>
          </a:solidFill>
        </a:ln>
      </c:spPr>
    </c:plotArea>
    <c:legend>
      <c:legendPos val="t"/>
      <c:layout>
        <c:manualLayout>
          <c:xMode val="edge"/>
          <c:yMode val="edge"/>
          <c:x val="9.2736320573135911E-2"/>
          <c:y val="0.19930455973816408"/>
          <c:w val="0.2527322777912267"/>
          <c:h val="0.1986227830852943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Record yields boost crops by major sunflowerseed producing countries</a:t>
            </a:r>
          </a:p>
        </c:rich>
      </c:tx>
      <c:layout>
        <c:manualLayout>
          <c:xMode val="edge"/>
          <c:yMode val="edge"/>
          <c:x val="4.5455296200150083E-2"/>
          <c:y val="3.801095992708024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036488153600843E-2"/>
          <c:y val="0.18703442093917655"/>
          <c:w val="0.74789475912285153"/>
          <c:h val="0.6616158969620916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'Oil Crops Chart Gallery Fig 2'!$B$1:$B$2</c:f>
              <c:strCache>
                <c:ptCount val="2"/>
                <c:pt idx="0">
                  <c:v>Russia</c:v>
                </c:pt>
                <c:pt idx="1">
                  <c:v>Production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'Oil Crops Chart Gallery Fig 2'!$A$4:$A$10</c:f>
              <c:strCache>
                <c:ptCount val="7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</c:strCache>
            </c:strRef>
          </c:cat>
          <c:val>
            <c:numRef>
              <c:f>'Oil Crops Chart Gallery Fig 2'!$B$4:$B$10</c:f>
              <c:numCache>
                <c:formatCode>0.0</c:formatCode>
                <c:ptCount val="7"/>
                <c:pt idx="0">
                  <c:v>9.8420000000000005</c:v>
                </c:pt>
                <c:pt idx="1">
                  <c:v>8.3740000000000006</c:v>
                </c:pt>
                <c:pt idx="2">
                  <c:v>9.173</c:v>
                </c:pt>
                <c:pt idx="3">
                  <c:v>10.858000000000001</c:v>
                </c:pt>
                <c:pt idx="4">
                  <c:v>10.362</c:v>
                </c:pt>
                <c:pt idx="5">
                  <c:v>12.71</c:v>
                </c:pt>
                <c:pt idx="6">
                  <c:v>13</c:v>
                </c:pt>
              </c:numCache>
            </c:numRef>
          </c:val>
        </c:ser>
        <c:ser>
          <c:idx val="2"/>
          <c:order val="2"/>
          <c:tx>
            <c:strRef>
              <c:f>'Oil Crops Chart Gallery Fig 2'!$D$1:$D$2</c:f>
              <c:strCache>
                <c:ptCount val="2"/>
                <c:pt idx="0">
                  <c:v>Ukraine</c:v>
                </c:pt>
                <c:pt idx="1">
                  <c:v>Production</c:v>
                </c:pt>
              </c:strCache>
            </c:strRef>
          </c:tx>
          <c:spPr>
            <a:solidFill>
              <a:srgbClr val="0066FF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'Oil Crops Chart Gallery Fig 2'!$A$4:$A$10</c:f>
              <c:strCache>
                <c:ptCount val="7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</c:strCache>
            </c:strRef>
          </c:cat>
          <c:val>
            <c:numRef>
              <c:f>'Oil Crops Chart Gallery Fig 2'!$D$4:$D$10</c:f>
              <c:numCache>
                <c:formatCode>0.0</c:formatCode>
                <c:ptCount val="7"/>
                <c:pt idx="0">
                  <c:v>11.6</c:v>
                </c:pt>
                <c:pt idx="1">
                  <c:v>10.199999999999999</c:v>
                </c:pt>
                <c:pt idx="2">
                  <c:v>11.9</c:v>
                </c:pt>
                <c:pt idx="3">
                  <c:v>15.2</c:v>
                </c:pt>
                <c:pt idx="4">
                  <c:v>13.7</c:v>
                </c:pt>
                <c:pt idx="5">
                  <c:v>15</c:v>
                </c:pt>
                <c:pt idx="6">
                  <c:v>15.5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77652352"/>
        <c:axId val="-1888143808"/>
      </c:barChart>
      <c:lineChart>
        <c:grouping val="standard"/>
        <c:varyColors val="0"/>
        <c:ser>
          <c:idx val="0"/>
          <c:order val="1"/>
          <c:tx>
            <c:strRef>
              <c:f>'Oil Crops Chart Gallery Fig 2'!$C$1:$C$2</c:f>
              <c:strCache>
                <c:ptCount val="2"/>
                <c:pt idx="0">
                  <c:v>Russia</c:v>
                </c:pt>
                <c:pt idx="1">
                  <c:v>Yield (right axis)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strRef>
              <c:f>'Oil Crops Chart Gallery Fig 2'!$A$4:$A$10</c:f>
              <c:strCache>
                <c:ptCount val="7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</c:strCache>
            </c:strRef>
          </c:cat>
          <c:val>
            <c:numRef>
              <c:f>'Oil Crops Chart Gallery Fig 2'!$C$4:$C$10</c:f>
              <c:numCache>
                <c:formatCode>0.0</c:formatCode>
                <c:ptCount val="7"/>
                <c:pt idx="0">
                  <c:v>1.448</c:v>
                </c:pt>
                <c:pt idx="1">
                  <c:v>1.3140000000000001</c:v>
                </c:pt>
                <c:pt idx="2">
                  <c:v>1.421</c:v>
                </c:pt>
                <c:pt idx="3">
                  <c:v>1.5129999999999999</c:v>
                </c:pt>
                <c:pt idx="4">
                  <c:v>1.45</c:v>
                </c:pt>
                <c:pt idx="5">
                  <c:v>1.6</c:v>
                </c:pt>
                <c:pt idx="6">
                  <c:v>1.625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'Oil Crops Chart Gallery Fig 2'!$E$1:$E$2</c:f>
              <c:strCache>
                <c:ptCount val="2"/>
                <c:pt idx="0">
                  <c:v>Ukraine</c:v>
                </c:pt>
                <c:pt idx="1">
                  <c:v>Yield (right axis)</c:v>
                </c:pt>
              </c:strCache>
            </c:strRef>
          </c:tx>
          <c:spPr>
            <a:ln>
              <a:solidFill>
                <a:srgbClr val="FFCF01"/>
              </a:solidFill>
              <a:prstDash val="solid"/>
            </a:ln>
          </c:spPr>
          <c:marker>
            <c:symbol val="none"/>
          </c:marker>
          <c:cat>
            <c:strRef>
              <c:f>'Oil Crops Chart Gallery Fig 2'!$A$4:$A$10</c:f>
              <c:strCache>
                <c:ptCount val="7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</c:strCache>
            </c:strRef>
          </c:cat>
          <c:val>
            <c:numRef>
              <c:f>'Oil Crops Chart Gallery Fig 2'!$E$4:$E$10</c:f>
              <c:numCache>
                <c:formatCode>0.0</c:formatCode>
                <c:ptCount val="7"/>
                <c:pt idx="0">
                  <c:v>2.1890000000000001</c:v>
                </c:pt>
                <c:pt idx="1">
                  <c:v>1.925</c:v>
                </c:pt>
                <c:pt idx="2">
                  <c:v>2.1640000000000001</c:v>
                </c:pt>
                <c:pt idx="3">
                  <c:v>2.2349999999999999</c:v>
                </c:pt>
                <c:pt idx="4">
                  <c:v>2.0150000000000001</c:v>
                </c:pt>
                <c:pt idx="5">
                  <c:v>2.3079999999999998</c:v>
                </c:pt>
                <c:pt idx="6">
                  <c:v>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60994768"/>
        <c:axId val="-1160999664"/>
      </c:lineChart>
      <c:catAx>
        <c:axId val="-1677652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Source: USDA, Foreign Agricultural Service, PS&amp;D Online</a:t>
                </a:r>
                <a:r>
                  <a:rPr lang="en-US" sz="8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.</a:t>
                </a:r>
              </a:p>
            </c:rich>
          </c:tx>
          <c:layout>
            <c:manualLayout>
              <c:xMode val="edge"/>
              <c:yMode val="edge"/>
              <c:x val="4.194591955075383E-2"/>
              <c:y val="0.92886194664997423"/>
            </c:manualLayout>
          </c:layout>
          <c:overlay val="0"/>
        </c:title>
        <c:numFmt formatCode="[$-409]mmm\-yy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888143808"/>
        <c:crosses val="autoZero"/>
        <c:auto val="0"/>
        <c:lblAlgn val="ctr"/>
        <c:lblOffset val="100"/>
        <c:noMultiLvlLbl val="0"/>
      </c:catAx>
      <c:valAx>
        <c:axId val="-1888143808"/>
        <c:scaling>
          <c:orientation val="minMax"/>
          <c:max val="2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metric tons</a:t>
                </a:r>
              </a:p>
            </c:rich>
          </c:tx>
          <c:layout>
            <c:manualLayout>
              <c:xMode val="edge"/>
              <c:yMode val="edge"/>
              <c:x val="4.5338963272545788E-2"/>
              <c:y val="0.12330708661417324"/>
            </c:manualLayout>
          </c:layout>
          <c:overlay val="0"/>
        </c:title>
        <c:numFmt formatCode="#,##0" sourceLinked="0"/>
        <c:majorTickMark val="out"/>
        <c:minorTickMark val="out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677652352"/>
        <c:crosses val="autoZero"/>
        <c:crossBetween val="between"/>
        <c:majorUnit val="10"/>
        <c:minorUnit val="5"/>
      </c:valAx>
      <c:valAx>
        <c:axId val="-1160999664"/>
        <c:scaling>
          <c:orientation val="minMax"/>
          <c:max val="3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MT/hectare</a:t>
                </a:r>
              </a:p>
            </c:rich>
          </c:tx>
          <c:layout>
            <c:manualLayout>
              <c:xMode val="edge"/>
              <c:yMode val="edge"/>
              <c:x val="0.76551455264264512"/>
              <c:y val="0.1277271000723672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-1160994768"/>
        <c:crosses val="max"/>
        <c:crossBetween val="between"/>
        <c:majorUnit val="1"/>
        <c:minorUnit val="0.25"/>
      </c:valAx>
      <c:catAx>
        <c:axId val="-1160994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160999664"/>
        <c:crosses val="autoZero"/>
        <c:auto val="1"/>
        <c:lblAlgn val="ctr"/>
        <c:lblOffset val="100"/>
        <c:noMultiLvlLbl val="0"/>
      </c:catAx>
      <c:spPr>
        <a:ln>
          <a:solidFill>
            <a:schemeClr val="bg1">
              <a:lumMod val="8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9.640118379582252E-2"/>
          <c:y val="0.18538792701668794"/>
          <c:w val="0.24238006969610193"/>
          <c:h val="0.16893913950964426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5" name="Picture 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6" name="Picture 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7" name="Picture 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8" name="Picture 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9" name="Picture 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0" name="Picture 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1" name="Picture 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2" name="Picture 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3" name="Picture 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4" name="Picture 1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5" name="Picture 1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6" name="Picture 1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7" name="Picture 1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8" name="Picture 1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9" name="Picture 1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0" name="Picture 1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1" name="Picture 1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2" name="Picture 1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3" name="Picture 1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4" name="Picture 2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5" name="Picture 2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6" name="Picture 2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7" name="Picture 2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8" name="Picture 2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9" name="Picture 2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0" name="Picture 2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1" name="Picture 2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2" name="Picture 2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3" name="Picture 2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4" name="Picture 3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5" name="Picture 3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6" name="Picture 3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7" name="Picture 3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8" name="Picture 3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9" name="Picture 3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0" name="Picture 3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1" name="Picture 3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2" name="Picture 3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3" name="Picture 3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4" name="Picture 4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5" name="Picture 4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6" name="Picture 4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7" name="Picture 209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8" name="Picture 209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9" name="Picture 210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0" name="Picture 210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1" name="Picture 210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2" name="Picture 210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3" name="Picture 210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4" name="Picture 210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0</xdr:row>
      <xdr:rowOff>19050</xdr:rowOff>
    </xdr:from>
    <xdr:to>
      <xdr:col>15</xdr:col>
      <xdr:colOff>193964</xdr:colOff>
      <xdr:row>26</xdr:row>
      <xdr:rowOff>74468</xdr:rowOff>
    </xdr:to>
    <xdr:graphicFrame macro="">
      <xdr:nvGraphicFramePr>
        <xdr:cNvPr id="3" name="Chart 4" descr="A chart of annual U.S. soybean production and farm value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6928</xdr:colOff>
      <xdr:row>0</xdr:row>
      <xdr:rowOff>82263</xdr:rowOff>
    </xdr:from>
    <xdr:to>
      <xdr:col>17</xdr:col>
      <xdr:colOff>549853</xdr:colOff>
      <xdr:row>26</xdr:row>
      <xdr:rowOff>44163</xdr:rowOff>
    </xdr:to>
    <xdr:graphicFrame macro="">
      <xdr:nvGraphicFramePr>
        <xdr:cNvPr id="3077" name="Chart 4" descr="A chart of weekly crop planting and development for soybeans in 2019/20 compared to a 5-year average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450273</xdr:colOff>
      <xdr:row>0</xdr:row>
      <xdr:rowOff>25977</xdr:rowOff>
    </xdr:from>
    <xdr:to>
      <xdr:col>16</xdr:col>
      <xdr:colOff>129020</xdr:colOff>
      <xdr:row>24</xdr:row>
      <xdr:rowOff>87457</xdr:rowOff>
    </xdr:to>
    <xdr:graphicFrame macro="">
      <xdr:nvGraphicFramePr>
        <xdr:cNvPr id="3" name="Chart 4" descr="A chart of annual sunflowerseed production and yields for Russia and Ukraine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12"/>
  </sheetPr>
  <dimension ref="A1:C18"/>
  <sheetViews>
    <sheetView tabSelected="1" workbookViewId="0">
      <selection activeCell="A2" sqref="A2"/>
    </sheetView>
  </sheetViews>
  <sheetFormatPr defaultColWidth="9.7109375" defaultRowHeight="12.75" x14ac:dyDescent="0.2"/>
  <cols>
    <col min="1" max="1" width="64.7109375" style="31" customWidth="1"/>
    <col min="2" max="16384" width="9.7109375" style="23"/>
  </cols>
  <sheetData>
    <row r="1" spans="1:3" ht="44.25" customHeight="1" x14ac:dyDescent="0.2">
      <c r="A1" s="22"/>
    </row>
    <row r="2" spans="1:3" ht="18" x14ac:dyDescent="0.25">
      <c r="A2" s="24" t="s">
        <v>120</v>
      </c>
    </row>
    <row r="3" spans="1:3" s="26" customFormat="1" ht="11.25" x14ac:dyDescent="0.2">
      <c r="A3" s="25"/>
    </row>
    <row r="4" spans="1:3" x14ac:dyDescent="0.2">
      <c r="A4" s="27" t="s">
        <v>121</v>
      </c>
    </row>
    <row r="5" spans="1:3" x14ac:dyDescent="0.2">
      <c r="A5" s="35">
        <f ca="1">TODAY()</f>
        <v>43691</v>
      </c>
      <c r="B5" s="28"/>
    </row>
    <row r="6" spans="1:3" s="26" customFormat="1" x14ac:dyDescent="0.2">
      <c r="A6" s="25"/>
      <c r="B6" s="28"/>
      <c r="C6" s="29"/>
    </row>
    <row r="7" spans="1:3" x14ac:dyDescent="0.2">
      <c r="A7" s="34" t="s">
        <v>72</v>
      </c>
      <c r="B7" s="30"/>
      <c r="C7" s="26"/>
    </row>
    <row r="8" spans="1:3" x14ac:dyDescent="0.2">
      <c r="A8" s="34" t="s">
        <v>23</v>
      </c>
      <c r="B8" s="32"/>
    </row>
    <row r="9" spans="1:3" x14ac:dyDescent="0.2">
      <c r="A9" s="34" t="s">
        <v>25</v>
      </c>
      <c r="B9" s="32"/>
    </row>
    <row r="10" spans="1:3" x14ac:dyDescent="0.2">
      <c r="A10" s="34" t="s">
        <v>11</v>
      </c>
      <c r="B10" s="32"/>
    </row>
    <row r="11" spans="1:3" x14ac:dyDescent="0.2">
      <c r="A11" s="34" t="s">
        <v>12</v>
      </c>
      <c r="B11" s="32"/>
    </row>
    <row r="12" spans="1:3" x14ac:dyDescent="0.2">
      <c r="A12" s="34" t="s">
        <v>13</v>
      </c>
      <c r="B12" s="32"/>
    </row>
    <row r="13" spans="1:3" x14ac:dyDescent="0.2">
      <c r="A13" s="34" t="s">
        <v>14</v>
      </c>
      <c r="B13" s="32"/>
    </row>
    <row r="14" spans="1:3" x14ac:dyDescent="0.2">
      <c r="A14" s="34" t="s">
        <v>51</v>
      </c>
      <c r="B14" s="32"/>
    </row>
    <row r="15" spans="1:3" x14ac:dyDescent="0.2">
      <c r="A15" s="34" t="s">
        <v>22</v>
      </c>
      <c r="B15" s="32"/>
    </row>
    <row r="16" spans="1:3" x14ac:dyDescent="0.2">
      <c r="A16" s="34" t="s">
        <v>43</v>
      </c>
      <c r="B16" s="32"/>
    </row>
    <row r="17" spans="1:2" x14ac:dyDescent="0.2">
      <c r="A17" s="33" t="s">
        <v>122</v>
      </c>
      <c r="B17" s="32"/>
    </row>
    <row r="18" spans="1:2" x14ac:dyDescent="0.2">
      <c r="A18" s="33" t="s">
        <v>123</v>
      </c>
    </row>
  </sheetData>
  <hyperlinks>
    <hyperlink ref="A7" location="'Table 1'!A1" display="Table 1--Soybeans:  Annual U.S. supply and disappearance"/>
    <hyperlink ref="A8" location="'Table 2'!A1" display="Table 2--Soybean meal:  U.S. supply and disappearance"/>
    <hyperlink ref="A9" location="'Table 3'!A1" display="Table 3--Soybean oil:  U.S. supply and disappearance"/>
    <hyperlink ref="A10" location="'Tables 4-7'!A1" display="Table 4--Cottonseed:  U.S. supply and disappearance"/>
    <hyperlink ref="A11" location="'Tables 4-7'!A1" display="Table 5--Cottonseed meal:  U.S. supply and disappearance"/>
    <hyperlink ref="A12" location="'Tables 4-7'!A1" display="Table 6--Cottonseed oil:  U.S. supply and disappearance"/>
    <hyperlink ref="A13" location="'Tables 4-7'!A1" display="Table 7--Peanuts:  U.S. supply and disappearance"/>
    <hyperlink ref="A14" location="'Table 8'!A1" display="Table 8--Oilseed prices received by U.S. farmers"/>
    <hyperlink ref="A15" location="'Table 9'!A1" display="Table 9--U.S. vegetable oil and fats prices"/>
    <hyperlink ref="A16" location="'Table 10'!A1" display="Table 10--U.S. oilseed meal prices "/>
  </hyperlink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49"/>
  <sheetViews>
    <sheetView zoomScale="110" zoomScaleNormal="110" workbookViewId="0">
      <selection activeCell="A21" sqref="A21"/>
    </sheetView>
  </sheetViews>
  <sheetFormatPr defaultRowHeight="12.75" x14ac:dyDescent="0.2"/>
  <cols>
    <col min="1" max="1" width="10.5703125" customWidth="1"/>
    <col min="2" max="2" width="9.7109375" customWidth="1"/>
    <col min="3" max="5" width="8.7109375" customWidth="1"/>
    <col min="6" max="11" width="10.5703125" customWidth="1"/>
  </cols>
  <sheetData>
    <row r="1" spans="1:7" x14ac:dyDescent="0.2">
      <c r="A1" s="149" t="s">
        <v>176</v>
      </c>
      <c r="B1" s="149" t="s">
        <v>28</v>
      </c>
      <c r="C1" s="149" t="s">
        <v>28</v>
      </c>
      <c r="D1" s="149" t="s">
        <v>173</v>
      </c>
      <c r="E1" s="149" t="s">
        <v>173</v>
      </c>
      <c r="F1" s="166" t="s">
        <v>174</v>
      </c>
      <c r="G1" s="166" t="s">
        <v>174</v>
      </c>
    </row>
    <row r="2" spans="1:7" ht="15.75" x14ac:dyDescent="0.25">
      <c r="A2" s="131" t="s">
        <v>175</v>
      </c>
      <c r="B2" s="38">
        <v>2019</v>
      </c>
      <c r="C2" s="65" t="s">
        <v>172</v>
      </c>
      <c r="D2" s="38">
        <v>2019</v>
      </c>
      <c r="E2" s="65" t="s">
        <v>172</v>
      </c>
      <c r="F2" s="38">
        <v>2019</v>
      </c>
      <c r="G2" s="65" t="s">
        <v>172</v>
      </c>
    </row>
    <row r="3" spans="1:7" x14ac:dyDescent="0.2">
      <c r="A3" s="154"/>
      <c r="B3" s="148"/>
      <c r="C3" s="148"/>
      <c r="D3" s="154"/>
      <c r="E3" s="130"/>
    </row>
    <row r="4" spans="1:7" x14ac:dyDescent="0.2">
      <c r="A4" s="132">
        <v>43576</v>
      </c>
      <c r="B4" s="167">
        <v>1</v>
      </c>
      <c r="C4" s="167">
        <v>2</v>
      </c>
      <c r="D4" s="167"/>
      <c r="E4" s="167"/>
      <c r="F4" s="167"/>
      <c r="G4" s="167"/>
    </row>
    <row r="5" spans="1:7" x14ac:dyDescent="0.2">
      <c r="A5" s="132">
        <v>43583</v>
      </c>
      <c r="B5" s="167">
        <v>3</v>
      </c>
      <c r="C5" s="167">
        <v>6</v>
      </c>
      <c r="D5" s="167"/>
      <c r="E5" s="167"/>
      <c r="F5" s="167"/>
      <c r="G5" s="167"/>
    </row>
    <row r="6" spans="1:7" x14ac:dyDescent="0.2">
      <c r="A6" s="132">
        <v>43590</v>
      </c>
      <c r="B6" s="167">
        <v>6</v>
      </c>
      <c r="C6" s="167">
        <v>14</v>
      </c>
      <c r="D6" s="167"/>
      <c r="E6" s="167"/>
      <c r="F6" s="167"/>
      <c r="G6" s="167"/>
    </row>
    <row r="7" spans="1:7" x14ac:dyDescent="0.2">
      <c r="A7" s="132">
        <v>43597</v>
      </c>
      <c r="B7" s="167">
        <v>9</v>
      </c>
      <c r="C7" s="167">
        <v>29</v>
      </c>
      <c r="D7" s="167"/>
      <c r="E7" s="167"/>
      <c r="F7" s="167"/>
      <c r="G7" s="167"/>
    </row>
    <row r="8" spans="1:7" x14ac:dyDescent="0.2">
      <c r="A8" s="132">
        <v>43604</v>
      </c>
      <c r="B8" s="167">
        <v>19</v>
      </c>
      <c r="C8" s="167">
        <v>47</v>
      </c>
      <c r="D8" s="167"/>
      <c r="E8" s="167"/>
      <c r="F8" s="167"/>
      <c r="G8" s="167"/>
    </row>
    <row r="9" spans="1:7" x14ac:dyDescent="0.2">
      <c r="A9" s="132">
        <v>43611</v>
      </c>
      <c r="B9" s="167">
        <v>29</v>
      </c>
      <c r="C9" s="167">
        <v>66</v>
      </c>
      <c r="D9" s="167"/>
      <c r="E9" s="167"/>
      <c r="F9" s="167"/>
      <c r="G9" s="167"/>
    </row>
    <row r="10" spans="1:7" x14ac:dyDescent="0.2">
      <c r="A10" s="132">
        <v>43618</v>
      </c>
      <c r="B10" s="167">
        <v>39</v>
      </c>
      <c r="C10" s="167">
        <v>79</v>
      </c>
      <c r="D10" s="167"/>
      <c r="E10" s="167"/>
      <c r="F10" s="167"/>
      <c r="G10" s="167"/>
    </row>
    <row r="11" spans="1:7" x14ac:dyDescent="0.2">
      <c r="A11" s="132">
        <v>43625</v>
      </c>
      <c r="B11" s="167">
        <v>60</v>
      </c>
      <c r="C11" s="167">
        <v>88</v>
      </c>
      <c r="D11" s="167"/>
      <c r="E11" s="167"/>
      <c r="F11" s="167"/>
      <c r="G11" s="167"/>
    </row>
    <row r="12" spans="1:7" x14ac:dyDescent="0.2">
      <c r="A12" s="132">
        <v>43632</v>
      </c>
      <c r="B12" s="167">
        <v>77</v>
      </c>
      <c r="C12" s="167">
        <v>93</v>
      </c>
      <c r="D12" s="167"/>
      <c r="E12" s="167"/>
      <c r="F12" s="167"/>
      <c r="G12" s="167"/>
    </row>
    <row r="13" spans="1:7" x14ac:dyDescent="0.2">
      <c r="A13" s="132">
        <v>43639</v>
      </c>
      <c r="B13" s="167">
        <v>85</v>
      </c>
      <c r="C13" s="167">
        <v>97</v>
      </c>
      <c r="D13" s="167"/>
      <c r="E13" s="167"/>
      <c r="F13" s="167"/>
      <c r="G13" s="167"/>
    </row>
    <row r="14" spans="1:7" x14ac:dyDescent="0.2">
      <c r="A14" s="132">
        <v>43646</v>
      </c>
      <c r="B14" s="167">
        <v>92</v>
      </c>
      <c r="C14" s="167">
        <v>99</v>
      </c>
      <c r="D14" s="167"/>
      <c r="E14" s="167"/>
      <c r="F14" s="167"/>
      <c r="G14" s="167"/>
    </row>
    <row r="15" spans="1:7" x14ac:dyDescent="0.2">
      <c r="A15" s="132">
        <v>43653</v>
      </c>
      <c r="B15" s="167">
        <v>96</v>
      </c>
      <c r="C15" s="167">
        <v>99</v>
      </c>
      <c r="D15" s="167">
        <v>10</v>
      </c>
      <c r="E15" s="167">
        <v>32</v>
      </c>
      <c r="F15" s="167"/>
      <c r="G15" s="167"/>
    </row>
    <row r="16" spans="1:7" x14ac:dyDescent="0.2">
      <c r="A16" s="132">
        <v>43660</v>
      </c>
      <c r="B16" s="167"/>
      <c r="C16" s="167"/>
      <c r="D16" s="167">
        <v>22</v>
      </c>
      <c r="E16" s="167">
        <v>49</v>
      </c>
      <c r="F16" s="167"/>
      <c r="G16" s="167"/>
    </row>
    <row r="17" spans="1:7" x14ac:dyDescent="0.2">
      <c r="A17" s="132">
        <v>43667</v>
      </c>
      <c r="B17" s="167"/>
      <c r="C17" s="167"/>
      <c r="D17" s="167">
        <v>40</v>
      </c>
      <c r="E17" s="167">
        <v>66</v>
      </c>
      <c r="F17" s="167">
        <v>7</v>
      </c>
      <c r="G17" s="167">
        <v>28</v>
      </c>
    </row>
    <row r="18" spans="1:7" x14ac:dyDescent="0.2">
      <c r="A18" s="132">
        <v>43674</v>
      </c>
      <c r="B18" s="167"/>
      <c r="C18" s="167"/>
      <c r="D18" s="167">
        <v>57</v>
      </c>
      <c r="E18" s="167">
        <v>79</v>
      </c>
      <c r="F18" s="167">
        <v>21</v>
      </c>
      <c r="G18" s="167">
        <v>45</v>
      </c>
    </row>
    <row r="19" spans="1:7" x14ac:dyDescent="0.2">
      <c r="A19" s="132">
        <v>43681</v>
      </c>
      <c r="B19" s="161"/>
      <c r="C19" s="161"/>
      <c r="D19" s="167">
        <v>72</v>
      </c>
      <c r="E19" s="167">
        <v>87</v>
      </c>
      <c r="F19" s="167">
        <v>37</v>
      </c>
      <c r="G19" s="167">
        <v>63</v>
      </c>
    </row>
    <row r="20" spans="1:7" x14ac:dyDescent="0.2">
      <c r="A20" s="132">
        <v>43688</v>
      </c>
      <c r="B20" s="161"/>
      <c r="C20" s="161"/>
      <c r="D20" s="167">
        <v>82</v>
      </c>
      <c r="E20" s="167">
        <v>93</v>
      </c>
      <c r="F20" s="167">
        <v>54</v>
      </c>
      <c r="G20" s="167">
        <v>76</v>
      </c>
    </row>
    <row r="21" spans="1:7" x14ac:dyDescent="0.2">
      <c r="A21" s="165"/>
      <c r="B21" s="161"/>
      <c r="C21" s="161"/>
      <c r="D21" s="155"/>
      <c r="E21" s="155"/>
    </row>
    <row r="22" spans="1:7" x14ac:dyDescent="0.2">
      <c r="A22" s="146"/>
      <c r="B22" s="161"/>
      <c r="C22" s="161"/>
      <c r="D22" s="155"/>
      <c r="E22" s="155"/>
    </row>
    <row r="23" spans="1:7" x14ac:dyDescent="0.2">
      <c r="A23" s="146"/>
      <c r="B23" s="161"/>
      <c r="C23" s="161"/>
      <c r="D23" s="155"/>
      <c r="E23" s="155"/>
    </row>
    <row r="24" spans="1:7" x14ac:dyDescent="0.2">
      <c r="A24" s="146"/>
      <c r="B24" s="161"/>
      <c r="C24" s="161"/>
      <c r="D24" s="155"/>
      <c r="E24" s="155"/>
    </row>
    <row r="25" spans="1:7" x14ac:dyDescent="0.2">
      <c r="A25" s="146"/>
      <c r="B25" s="161"/>
      <c r="C25" s="161"/>
      <c r="D25" s="155"/>
      <c r="E25" s="155"/>
    </row>
    <row r="26" spans="1:7" x14ac:dyDescent="0.2">
      <c r="C26" s="161"/>
      <c r="D26" s="155"/>
      <c r="E26" s="155"/>
    </row>
    <row r="27" spans="1:7" x14ac:dyDescent="0.2">
      <c r="C27" s="161"/>
      <c r="D27" s="155"/>
      <c r="E27" s="155"/>
    </row>
    <row r="28" spans="1:7" x14ac:dyDescent="0.2">
      <c r="C28" s="161"/>
      <c r="D28" s="155"/>
      <c r="E28" s="155"/>
    </row>
    <row r="29" spans="1:7" x14ac:dyDescent="0.2">
      <c r="C29" s="161"/>
      <c r="D29" s="155"/>
      <c r="E29" s="155"/>
    </row>
    <row r="30" spans="1:7" x14ac:dyDescent="0.2">
      <c r="C30" s="161"/>
      <c r="D30" s="155"/>
      <c r="E30" s="155"/>
    </row>
    <row r="31" spans="1:7" x14ac:dyDescent="0.2">
      <c r="C31" s="161"/>
    </row>
    <row r="32" spans="1:7" x14ac:dyDescent="0.2">
      <c r="C32" s="161"/>
    </row>
    <row r="33" spans="1:5" x14ac:dyDescent="0.2">
      <c r="C33" s="161"/>
    </row>
    <row r="34" spans="1:5" x14ac:dyDescent="0.2">
      <c r="C34" s="161"/>
    </row>
    <row r="35" spans="1:5" x14ac:dyDescent="0.2">
      <c r="C35" s="161"/>
    </row>
    <row r="36" spans="1:5" x14ac:dyDescent="0.2">
      <c r="C36" s="161"/>
    </row>
    <row r="37" spans="1:5" x14ac:dyDescent="0.2">
      <c r="C37" s="161"/>
    </row>
    <row r="38" spans="1:5" x14ac:dyDescent="0.2">
      <c r="C38" s="161"/>
      <c r="D38" s="13"/>
      <c r="E38" s="13"/>
    </row>
    <row r="39" spans="1:5" x14ac:dyDescent="0.2">
      <c r="C39" s="161"/>
      <c r="D39" s="13"/>
      <c r="E39" s="13"/>
    </row>
    <row r="40" spans="1:5" x14ac:dyDescent="0.2">
      <c r="C40" s="161"/>
      <c r="D40" s="13"/>
      <c r="E40" s="13"/>
    </row>
    <row r="41" spans="1:5" x14ac:dyDescent="0.2">
      <c r="C41" s="161"/>
      <c r="D41" s="13"/>
      <c r="E41" s="13"/>
    </row>
    <row r="42" spans="1:5" x14ac:dyDescent="0.2">
      <c r="C42" s="161"/>
      <c r="D42" s="13"/>
      <c r="E42" s="13"/>
    </row>
    <row r="43" spans="1:5" x14ac:dyDescent="0.2">
      <c r="C43" s="161"/>
      <c r="D43" s="13"/>
      <c r="E43" s="13"/>
    </row>
    <row r="44" spans="1:5" x14ac:dyDescent="0.2">
      <c r="A44" s="19"/>
      <c r="B44" s="19"/>
      <c r="C44" s="13"/>
      <c r="D44" s="13"/>
      <c r="E44" s="13"/>
    </row>
    <row r="45" spans="1:5" x14ac:dyDescent="0.2">
      <c r="A45" s="19"/>
      <c r="B45" s="19"/>
      <c r="C45" s="18"/>
      <c r="D45" s="18"/>
      <c r="E45" s="18"/>
    </row>
    <row r="46" spans="1:5" x14ac:dyDescent="0.2">
      <c r="A46" s="19"/>
      <c r="B46" s="19"/>
      <c r="C46" s="18"/>
      <c r="D46" s="18"/>
      <c r="E46" s="18"/>
    </row>
    <row r="47" spans="1:5" x14ac:dyDescent="0.2">
      <c r="A47" s="19"/>
      <c r="B47" s="19"/>
      <c r="C47" s="18"/>
      <c r="D47" s="18"/>
      <c r="E47" s="18"/>
    </row>
    <row r="48" spans="1:5" x14ac:dyDescent="0.2">
      <c r="A48" s="19"/>
      <c r="B48" s="19"/>
      <c r="C48" s="18"/>
      <c r="D48" s="18"/>
      <c r="E48" s="18"/>
    </row>
    <row r="49" spans="1:5" x14ac:dyDescent="0.2">
      <c r="A49" s="19"/>
      <c r="B49" s="19"/>
      <c r="C49" s="18"/>
      <c r="D49" s="18"/>
      <c r="E49" s="18"/>
    </row>
  </sheetData>
  <phoneticPr fontId="3" type="noConversion"/>
  <pageMargins left="0.7" right="0.7" top="1" bottom="6.5" header="0.5" footer="0.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229"/>
  <sheetViews>
    <sheetView zoomScale="110" zoomScaleNormal="110" workbookViewId="0">
      <selection activeCell="D13" sqref="D13"/>
    </sheetView>
  </sheetViews>
  <sheetFormatPr defaultRowHeight="12.75" x14ac:dyDescent="0.2"/>
  <cols>
    <col min="1" max="1" width="10.5703125" customWidth="1"/>
    <col min="2" max="5" width="8.7109375" customWidth="1"/>
    <col min="6" max="11" width="10.5703125" customWidth="1"/>
  </cols>
  <sheetData>
    <row r="1" spans="1:8" ht="14.25" x14ac:dyDescent="0.2">
      <c r="A1" s="143" t="s">
        <v>177</v>
      </c>
      <c r="B1" s="146" t="s">
        <v>179</v>
      </c>
      <c r="C1" s="146" t="s">
        <v>179</v>
      </c>
      <c r="D1" s="164" t="s">
        <v>180</v>
      </c>
      <c r="E1" s="164" t="s">
        <v>180</v>
      </c>
      <c r="F1" s="144"/>
      <c r="H1" s="13"/>
    </row>
    <row r="2" spans="1:8" x14ac:dyDescent="0.2">
      <c r="B2" s="164" t="s">
        <v>1</v>
      </c>
      <c r="C2" s="164" t="s">
        <v>178</v>
      </c>
      <c r="D2" s="164" t="s">
        <v>1</v>
      </c>
      <c r="E2" s="164" t="s">
        <v>178</v>
      </c>
      <c r="F2" s="144"/>
      <c r="H2" s="13"/>
    </row>
    <row r="3" spans="1:8" x14ac:dyDescent="0.2">
      <c r="B3" s="146" t="s">
        <v>165</v>
      </c>
      <c r="D3" s="134"/>
      <c r="E3" s="134"/>
      <c r="F3" s="144"/>
      <c r="H3" s="13"/>
    </row>
    <row r="4" spans="1:8" x14ac:dyDescent="0.2">
      <c r="A4" s="165" t="s">
        <v>97</v>
      </c>
      <c r="B4" s="134">
        <v>9.8420000000000005</v>
      </c>
      <c r="C4" s="134">
        <v>1.448</v>
      </c>
      <c r="D4" s="134">
        <v>11.6</v>
      </c>
      <c r="E4" s="134">
        <v>2.1890000000000001</v>
      </c>
      <c r="F4" s="144"/>
    </row>
    <row r="5" spans="1:8" x14ac:dyDescent="0.2">
      <c r="A5" s="165" t="s">
        <v>100</v>
      </c>
      <c r="B5" s="134">
        <v>8.3740000000000006</v>
      </c>
      <c r="C5" s="134">
        <v>1.3140000000000001</v>
      </c>
      <c r="D5" s="134">
        <v>10.199999999999999</v>
      </c>
      <c r="E5" s="134">
        <v>1.925</v>
      </c>
    </row>
    <row r="6" spans="1:8" x14ac:dyDescent="0.2">
      <c r="A6" s="165" t="s">
        <v>101</v>
      </c>
      <c r="B6" s="134">
        <v>9.173</v>
      </c>
      <c r="C6" s="134">
        <v>1.421</v>
      </c>
      <c r="D6" s="134">
        <v>11.9</v>
      </c>
      <c r="E6" s="134">
        <v>2.1640000000000001</v>
      </c>
    </row>
    <row r="7" spans="1:8" x14ac:dyDescent="0.2">
      <c r="A7" s="165" t="s">
        <v>117</v>
      </c>
      <c r="B7" s="134">
        <v>10.858000000000001</v>
      </c>
      <c r="C7" s="134">
        <v>1.5129999999999999</v>
      </c>
      <c r="D7" s="134">
        <v>15.2</v>
      </c>
      <c r="E7" s="134">
        <v>2.2349999999999999</v>
      </c>
    </row>
    <row r="8" spans="1:8" x14ac:dyDescent="0.2">
      <c r="A8" s="165" t="s">
        <v>119</v>
      </c>
      <c r="B8" s="134">
        <v>10.362</v>
      </c>
      <c r="C8" s="134">
        <v>1.45</v>
      </c>
      <c r="D8" s="134">
        <v>13.7</v>
      </c>
      <c r="E8" s="134">
        <v>2.0150000000000001</v>
      </c>
    </row>
    <row r="9" spans="1:8" x14ac:dyDescent="0.2">
      <c r="A9" s="165" t="s">
        <v>163</v>
      </c>
      <c r="B9" s="134">
        <v>12.71</v>
      </c>
      <c r="C9" s="134">
        <v>1.6</v>
      </c>
      <c r="D9" s="134">
        <v>15</v>
      </c>
      <c r="E9" s="134">
        <v>2.3079999999999998</v>
      </c>
    </row>
    <row r="10" spans="1:8" x14ac:dyDescent="0.2">
      <c r="A10" s="165" t="s">
        <v>171</v>
      </c>
      <c r="B10" s="134">
        <v>13</v>
      </c>
      <c r="C10" s="134">
        <v>1.625</v>
      </c>
      <c r="D10" s="134">
        <v>15.5</v>
      </c>
      <c r="E10" s="134">
        <v>2.5</v>
      </c>
    </row>
    <row r="11" spans="1:8" ht="14.25" x14ac:dyDescent="0.2">
      <c r="A11" s="143"/>
      <c r="B11" s="144"/>
      <c r="C11" s="133"/>
      <c r="D11" s="133"/>
    </row>
    <row r="12" spans="1:8" ht="14.25" x14ac:dyDescent="0.2">
      <c r="A12" s="143"/>
      <c r="B12" s="144"/>
      <c r="C12" s="133"/>
      <c r="D12" s="133"/>
    </row>
    <row r="13" spans="1:8" ht="14.25" x14ac:dyDescent="0.2">
      <c r="A13" s="143"/>
      <c r="B13" s="144"/>
      <c r="C13" s="133"/>
      <c r="D13" s="133"/>
    </row>
    <row r="14" spans="1:8" ht="14.25" x14ac:dyDescent="0.2">
      <c r="A14" s="143"/>
      <c r="B14" s="144"/>
      <c r="C14" s="133"/>
      <c r="D14" s="133"/>
    </row>
    <row r="15" spans="1:8" ht="14.25" x14ac:dyDescent="0.2">
      <c r="A15" s="143"/>
      <c r="B15" s="144"/>
      <c r="C15" s="133"/>
      <c r="D15" s="133"/>
    </row>
    <row r="16" spans="1:8" ht="14.25" x14ac:dyDescent="0.2">
      <c r="A16" s="143"/>
      <c r="B16" s="144"/>
      <c r="C16" s="133"/>
      <c r="D16" s="133"/>
    </row>
    <row r="17" spans="1:4" ht="14.25" x14ac:dyDescent="0.2">
      <c r="A17" s="143"/>
      <c r="B17" s="144"/>
      <c r="C17" s="133"/>
      <c r="D17" s="133"/>
    </row>
    <row r="18" spans="1:4" ht="14.25" x14ac:dyDescent="0.2">
      <c r="A18" s="143"/>
      <c r="B18" s="144"/>
      <c r="C18" s="133"/>
      <c r="D18" s="133"/>
    </row>
    <row r="19" spans="1:4" ht="14.25" x14ac:dyDescent="0.2">
      <c r="A19" s="143"/>
      <c r="B19" s="144"/>
      <c r="C19" s="133"/>
      <c r="D19" s="133"/>
    </row>
    <row r="20" spans="1:4" ht="14.25" x14ac:dyDescent="0.2">
      <c r="A20" s="143"/>
      <c r="B20" s="144"/>
      <c r="C20" s="133"/>
      <c r="D20" s="133"/>
    </row>
    <row r="21" spans="1:4" ht="14.25" x14ac:dyDescent="0.2">
      <c r="A21" s="143"/>
      <c r="B21" s="144"/>
      <c r="C21" s="133"/>
      <c r="D21" s="133"/>
    </row>
    <row r="22" spans="1:4" ht="14.25" x14ac:dyDescent="0.2">
      <c r="A22" s="143"/>
      <c r="B22" s="144"/>
      <c r="C22" s="133"/>
      <c r="D22" s="133"/>
    </row>
    <row r="23" spans="1:4" ht="14.25" x14ac:dyDescent="0.2">
      <c r="A23" s="143"/>
      <c r="B23" s="144"/>
      <c r="C23" s="133"/>
      <c r="D23" s="133"/>
    </row>
    <row r="24" spans="1:4" ht="14.25" x14ac:dyDescent="0.2">
      <c r="A24" s="143"/>
      <c r="B24" s="144"/>
      <c r="C24" s="133"/>
      <c r="D24" s="133"/>
    </row>
    <row r="25" spans="1:4" ht="14.25" x14ac:dyDescent="0.2">
      <c r="A25" s="143"/>
      <c r="B25" s="144"/>
      <c r="C25" s="133"/>
      <c r="D25" s="133"/>
    </row>
    <row r="26" spans="1:4" ht="14.25" x14ac:dyDescent="0.2">
      <c r="A26" s="143"/>
      <c r="B26" s="144"/>
      <c r="C26" s="133"/>
      <c r="D26" s="133"/>
    </row>
    <row r="27" spans="1:4" ht="14.25" x14ac:dyDescent="0.2">
      <c r="A27" s="143"/>
      <c r="B27" s="144"/>
      <c r="C27" s="133"/>
      <c r="D27" s="133"/>
    </row>
    <row r="28" spans="1:4" ht="14.25" x14ac:dyDescent="0.2">
      <c r="A28" s="143"/>
      <c r="B28" s="144"/>
      <c r="C28" s="133"/>
      <c r="D28" s="133"/>
    </row>
    <row r="29" spans="1:4" ht="14.25" x14ac:dyDescent="0.2">
      <c r="A29" s="143"/>
      <c r="B29" s="144"/>
      <c r="C29" s="133"/>
      <c r="D29" s="133"/>
    </row>
    <row r="30" spans="1:4" ht="14.25" x14ac:dyDescent="0.2">
      <c r="A30" s="143"/>
      <c r="B30" s="144"/>
      <c r="C30" s="133"/>
      <c r="D30" s="133"/>
    </row>
    <row r="31" spans="1:4" ht="14.25" x14ac:dyDescent="0.2">
      <c r="A31" s="143"/>
      <c r="B31" s="144"/>
      <c r="C31" s="133"/>
      <c r="D31" s="133"/>
    </row>
    <row r="32" spans="1:4" ht="14.25" x14ac:dyDescent="0.2">
      <c r="A32" s="143"/>
      <c r="B32" s="144"/>
      <c r="C32" s="133"/>
      <c r="D32" s="133"/>
    </row>
    <row r="33" spans="1:4" ht="14.25" x14ac:dyDescent="0.2">
      <c r="A33" s="143"/>
      <c r="B33" s="144"/>
      <c r="C33" s="133"/>
      <c r="D33" s="133"/>
    </row>
    <row r="34" spans="1:4" ht="14.25" x14ac:dyDescent="0.2">
      <c r="A34" s="143"/>
      <c r="B34" s="144"/>
      <c r="C34" s="133"/>
      <c r="D34" s="133"/>
    </row>
    <row r="35" spans="1:4" ht="14.25" x14ac:dyDescent="0.2">
      <c r="A35" s="143"/>
      <c r="B35" s="144"/>
      <c r="C35" s="133"/>
      <c r="D35" s="133"/>
    </row>
    <row r="36" spans="1:4" ht="14.25" x14ac:dyDescent="0.2">
      <c r="A36" s="143"/>
      <c r="B36" s="144"/>
      <c r="C36" s="133"/>
      <c r="D36" s="133"/>
    </row>
    <row r="37" spans="1:4" ht="14.25" x14ac:dyDescent="0.2">
      <c r="A37" s="143"/>
      <c r="B37" s="144"/>
      <c r="C37" s="133"/>
      <c r="D37" s="133"/>
    </row>
    <row r="38" spans="1:4" ht="14.25" x14ac:dyDescent="0.2">
      <c r="A38" s="143"/>
      <c r="B38" s="144"/>
      <c r="C38" s="133"/>
      <c r="D38" s="133"/>
    </row>
    <row r="39" spans="1:4" ht="14.25" x14ac:dyDescent="0.2">
      <c r="A39" s="143"/>
      <c r="B39" s="144"/>
      <c r="C39" s="133"/>
      <c r="D39" s="133"/>
    </row>
    <row r="40" spans="1:4" ht="14.25" x14ac:dyDescent="0.2">
      <c r="A40" s="143"/>
      <c r="B40" s="144"/>
      <c r="C40" s="133"/>
      <c r="D40" s="133"/>
    </row>
    <row r="41" spans="1:4" ht="14.25" x14ac:dyDescent="0.2">
      <c r="A41" s="143"/>
      <c r="B41" s="144"/>
      <c r="C41" s="133"/>
      <c r="D41" s="133"/>
    </row>
    <row r="42" spans="1:4" ht="14.25" x14ac:dyDescent="0.2">
      <c r="A42" s="143"/>
      <c r="B42" s="144"/>
      <c r="C42" s="133"/>
      <c r="D42" s="133"/>
    </row>
    <row r="43" spans="1:4" ht="14.25" x14ac:dyDescent="0.2">
      <c r="A43" s="143"/>
      <c r="B43" s="144"/>
      <c r="C43" s="133"/>
      <c r="D43" s="133"/>
    </row>
    <row r="44" spans="1:4" ht="14.25" x14ac:dyDescent="0.2">
      <c r="A44" s="143"/>
      <c r="B44" s="144"/>
      <c r="C44" s="133"/>
      <c r="D44" s="133"/>
    </row>
    <row r="45" spans="1:4" ht="14.25" x14ac:dyDescent="0.2">
      <c r="A45" s="143"/>
      <c r="B45" s="144"/>
      <c r="C45" s="133"/>
      <c r="D45" s="133"/>
    </row>
    <row r="46" spans="1:4" ht="14.25" x14ac:dyDescent="0.2">
      <c r="A46" s="143"/>
      <c r="B46" s="144"/>
      <c r="C46" s="133"/>
      <c r="D46" s="133"/>
    </row>
    <row r="47" spans="1:4" ht="14.25" x14ac:dyDescent="0.2">
      <c r="A47" s="143"/>
      <c r="B47" s="144"/>
      <c r="C47" s="133"/>
      <c r="D47" s="133"/>
    </row>
    <row r="48" spans="1:4" ht="14.25" x14ac:dyDescent="0.2">
      <c r="A48" s="143"/>
      <c r="B48" s="144"/>
      <c r="C48" s="133"/>
      <c r="D48" s="133"/>
    </row>
    <row r="49" spans="1:4" ht="14.25" x14ac:dyDescent="0.2">
      <c r="A49" s="143"/>
      <c r="B49" s="144"/>
      <c r="C49" s="133"/>
      <c r="D49" s="133"/>
    </row>
    <row r="50" spans="1:4" ht="14.25" x14ac:dyDescent="0.2">
      <c r="A50" s="143"/>
      <c r="B50" s="144"/>
      <c r="C50" s="133"/>
      <c r="D50" s="133"/>
    </row>
    <row r="51" spans="1:4" ht="14.25" x14ac:dyDescent="0.2">
      <c r="A51" s="143"/>
      <c r="B51" s="144"/>
      <c r="C51" s="133"/>
      <c r="D51" s="133"/>
    </row>
    <row r="52" spans="1:4" ht="14.25" x14ac:dyDescent="0.2">
      <c r="A52" s="143"/>
      <c r="B52" s="144"/>
      <c r="C52" s="133"/>
      <c r="D52" s="133"/>
    </row>
    <row r="53" spans="1:4" ht="14.25" x14ac:dyDescent="0.2">
      <c r="A53" s="143"/>
      <c r="B53" s="144"/>
      <c r="C53" s="133"/>
      <c r="D53" s="133"/>
    </row>
    <row r="54" spans="1:4" ht="14.25" x14ac:dyDescent="0.2">
      <c r="A54" s="143"/>
      <c r="B54" s="144"/>
      <c r="C54" s="133"/>
      <c r="D54" s="133"/>
    </row>
    <row r="55" spans="1:4" ht="14.25" x14ac:dyDescent="0.2">
      <c r="A55" s="143"/>
      <c r="B55" s="144"/>
      <c r="C55" s="133"/>
      <c r="D55" s="133"/>
    </row>
    <row r="56" spans="1:4" ht="14.25" x14ac:dyDescent="0.2">
      <c r="A56" s="143"/>
      <c r="B56" s="144"/>
      <c r="C56" s="133"/>
      <c r="D56" s="133"/>
    </row>
    <row r="57" spans="1:4" ht="14.25" x14ac:dyDescent="0.2">
      <c r="A57" s="143"/>
      <c r="B57" s="144"/>
      <c r="C57" s="133"/>
      <c r="D57" s="133"/>
    </row>
    <row r="58" spans="1:4" ht="14.25" x14ac:dyDescent="0.2">
      <c r="A58" s="143"/>
      <c r="B58" s="144"/>
      <c r="C58" s="133"/>
      <c r="D58" s="133"/>
    </row>
    <row r="59" spans="1:4" ht="14.25" x14ac:dyDescent="0.2">
      <c r="A59" s="143"/>
      <c r="B59" s="144"/>
      <c r="C59" s="133"/>
      <c r="D59" s="133"/>
    </row>
    <row r="60" spans="1:4" ht="14.25" x14ac:dyDescent="0.2">
      <c r="A60" s="143"/>
      <c r="B60" s="144"/>
      <c r="C60" s="133"/>
      <c r="D60" s="133"/>
    </row>
    <row r="61" spans="1:4" ht="14.25" x14ac:dyDescent="0.2">
      <c r="A61" s="143"/>
      <c r="B61" s="144"/>
      <c r="C61" s="133"/>
      <c r="D61" s="133"/>
    </row>
    <row r="62" spans="1:4" ht="14.25" x14ac:dyDescent="0.2">
      <c r="A62" s="143"/>
      <c r="B62" s="144"/>
      <c r="C62" s="133"/>
      <c r="D62" s="133"/>
    </row>
    <row r="63" spans="1:4" ht="14.25" x14ac:dyDescent="0.2">
      <c r="A63" s="143"/>
      <c r="B63" s="144"/>
      <c r="C63" s="133"/>
      <c r="D63" s="133"/>
    </row>
    <row r="64" spans="1:4" ht="14.25" x14ac:dyDescent="0.2">
      <c r="A64" s="143"/>
      <c r="B64" s="144"/>
      <c r="C64" s="133"/>
      <c r="D64" s="133"/>
    </row>
    <row r="65" spans="1:4" ht="14.25" x14ac:dyDescent="0.2">
      <c r="A65" s="143"/>
      <c r="B65" s="144"/>
      <c r="C65" s="133"/>
      <c r="D65" s="133"/>
    </row>
    <row r="66" spans="1:4" ht="14.25" x14ac:dyDescent="0.2">
      <c r="A66" s="143"/>
      <c r="B66" s="144"/>
      <c r="C66" s="133"/>
      <c r="D66" s="133"/>
    </row>
    <row r="67" spans="1:4" ht="14.25" x14ac:dyDescent="0.2">
      <c r="A67" s="143"/>
      <c r="B67" s="144"/>
      <c r="C67" s="133"/>
      <c r="D67" s="133"/>
    </row>
    <row r="68" spans="1:4" ht="14.25" x14ac:dyDescent="0.2">
      <c r="A68" s="143"/>
      <c r="B68" s="144"/>
      <c r="C68" s="133"/>
      <c r="D68" s="133"/>
    </row>
    <row r="69" spans="1:4" ht="14.25" x14ac:dyDescent="0.2">
      <c r="A69" s="143"/>
      <c r="B69" s="144"/>
      <c r="C69" s="133"/>
      <c r="D69" s="133"/>
    </row>
    <row r="70" spans="1:4" ht="14.25" x14ac:dyDescent="0.2">
      <c r="A70" s="143"/>
      <c r="B70" s="144"/>
      <c r="C70" s="133"/>
      <c r="D70" s="133"/>
    </row>
    <row r="71" spans="1:4" ht="14.25" x14ac:dyDescent="0.2">
      <c r="A71" s="143"/>
      <c r="B71" s="144"/>
      <c r="C71" s="133"/>
      <c r="D71" s="133"/>
    </row>
    <row r="72" spans="1:4" ht="14.25" x14ac:dyDescent="0.2">
      <c r="A72" s="143"/>
      <c r="B72" s="144"/>
      <c r="C72" s="133"/>
      <c r="D72" s="133"/>
    </row>
    <row r="73" spans="1:4" ht="14.25" x14ac:dyDescent="0.2">
      <c r="A73" s="143"/>
      <c r="B73" s="144"/>
      <c r="C73" s="133"/>
      <c r="D73" s="133"/>
    </row>
    <row r="74" spans="1:4" ht="14.25" x14ac:dyDescent="0.2">
      <c r="A74" s="143"/>
      <c r="B74" s="144"/>
      <c r="C74" s="133"/>
      <c r="D74" s="133"/>
    </row>
    <row r="75" spans="1:4" ht="14.25" x14ac:dyDescent="0.2">
      <c r="A75" s="143"/>
      <c r="B75" s="144"/>
      <c r="C75" s="133"/>
      <c r="D75" s="133"/>
    </row>
    <row r="76" spans="1:4" ht="14.25" x14ac:dyDescent="0.2">
      <c r="A76" s="143"/>
      <c r="B76" s="144"/>
      <c r="C76" s="133"/>
      <c r="D76" s="133"/>
    </row>
    <row r="77" spans="1:4" ht="14.25" x14ac:dyDescent="0.2">
      <c r="A77" s="143"/>
      <c r="B77" s="144"/>
      <c r="C77" s="133"/>
      <c r="D77" s="133"/>
    </row>
    <row r="78" spans="1:4" ht="14.25" x14ac:dyDescent="0.2">
      <c r="A78" s="143"/>
      <c r="B78" s="144"/>
      <c r="C78" s="133"/>
      <c r="D78" s="133"/>
    </row>
    <row r="79" spans="1:4" ht="14.25" x14ac:dyDescent="0.2">
      <c r="A79" s="143"/>
      <c r="B79" s="144"/>
      <c r="C79" s="133"/>
      <c r="D79" s="133"/>
    </row>
    <row r="80" spans="1:4" ht="14.25" x14ac:dyDescent="0.2">
      <c r="A80" s="143"/>
      <c r="B80" s="144"/>
      <c r="C80" s="133"/>
      <c r="D80" s="133"/>
    </row>
    <row r="81" spans="1:4" ht="14.25" x14ac:dyDescent="0.2">
      <c r="A81" s="143"/>
      <c r="B81" s="144"/>
      <c r="C81" s="133"/>
      <c r="D81" s="133"/>
    </row>
    <row r="82" spans="1:4" ht="14.25" x14ac:dyDescent="0.2">
      <c r="A82" s="143"/>
      <c r="B82" s="144"/>
      <c r="C82" s="133"/>
      <c r="D82" s="133"/>
    </row>
    <row r="83" spans="1:4" ht="14.25" x14ac:dyDescent="0.2">
      <c r="A83" s="143"/>
      <c r="B83" s="144"/>
      <c r="C83" s="133"/>
      <c r="D83" s="133"/>
    </row>
    <row r="84" spans="1:4" ht="14.25" x14ac:dyDescent="0.2">
      <c r="A84" s="143"/>
      <c r="B84" s="144"/>
      <c r="C84" s="133"/>
      <c r="D84" s="133"/>
    </row>
    <row r="85" spans="1:4" ht="14.25" x14ac:dyDescent="0.2">
      <c r="A85" s="143"/>
      <c r="B85" s="144"/>
      <c r="C85" s="133"/>
      <c r="D85" s="133"/>
    </row>
    <row r="86" spans="1:4" ht="14.25" x14ac:dyDescent="0.2">
      <c r="A86" s="143"/>
      <c r="B86" s="144"/>
      <c r="C86" s="133"/>
      <c r="D86" s="133"/>
    </row>
    <row r="87" spans="1:4" ht="14.25" x14ac:dyDescent="0.2">
      <c r="A87" s="143"/>
      <c r="B87" s="144"/>
      <c r="C87" s="133"/>
      <c r="D87" s="133"/>
    </row>
    <row r="88" spans="1:4" ht="14.25" x14ac:dyDescent="0.2">
      <c r="A88" s="143"/>
      <c r="B88" s="144"/>
      <c r="C88" s="133"/>
      <c r="D88" s="133"/>
    </row>
    <row r="89" spans="1:4" ht="14.25" x14ac:dyDescent="0.2">
      <c r="A89" s="143"/>
      <c r="B89" s="144"/>
      <c r="C89" s="133"/>
      <c r="D89" s="133"/>
    </row>
    <row r="90" spans="1:4" ht="14.25" x14ac:dyDescent="0.2">
      <c r="A90" s="143"/>
      <c r="B90" s="144"/>
      <c r="C90" s="133"/>
      <c r="D90" s="133"/>
    </row>
    <row r="91" spans="1:4" ht="14.25" x14ac:dyDescent="0.2">
      <c r="A91" s="143"/>
      <c r="B91" s="144"/>
      <c r="C91" s="133"/>
      <c r="D91" s="133"/>
    </row>
    <row r="92" spans="1:4" ht="14.25" x14ac:dyDescent="0.2">
      <c r="A92" s="143"/>
      <c r="B92" s="144"/>
      <c r="C92" s="133"/>
      <c r="D92" s="133"/>
    </row>
    <row r="93" spans="1:4" ht="14.25" x14ac:dyDescent="0.2">
      <c r="A93" s="143"/>
      <c r="B93" s="144"/>
      <c r="C93" s="133"/>
      <c r="D93" s="133"/>
    </row>
    <row r="94" spans="1:4" ht="14.25" x14ac:dyDescent="0.2">
      <c r="A94" s="143"/>
      <c r="B94" s="144"/>
      <c r="C94" s="133"/>
      <c r="D94" s="133"/>
    </row>
    <row r="95" spans="1:4" ht="14.25" x14ac:dyDescent="0.2">
      <c r="A95" s="143"/>
      <c r="B95" s="144"/>
      <c r="C95" s="133"/>
      <c r="D95" s="133"/>
    </row>
    <row r="96" spans="1:4" ht="14.25" x14ac:dyDescent="0.2">
      <c r="A96" s="143"/>
      <c r="B96" s="144"/>
      <c r="C96" s="133"/>
      <c r="D96" s="133"/>
    </row>
    <row r="97" spans="1:4" ht="14.25" x14ac:dyDescent="0.2">
      <c r="A97" s="143"/>
      <c r="B97" s="144"/>
      <c r="C97" s="133"/>
      <c r="D97" s="133"/>
    </row>
    <row r="98" spans="1:4" ht="14.25" x14ac:dyDescent="0.2">
      <c r="A98" s="143"/>
      <c r="B98" s="144"/>
      <c r="C98" s="133"/>
      <c r="D98" s="133"/>
    </row>
    <row r="99" spans="1:4" ht="14.25" x14ac:dyDescent="0.2">
      <c r="A99" s="143"/>
      <c r="B99" s="144"/>
      <c r="C99" s="133"/>
      <c r="D99" s="133"/>
    </row>
    <row r="100" spans="1:4" ht="14.25" x14ac:dyDescent="0.2">
      <c r="A100" s="143"/>
      <c r="B100" s="144"/>
      <c r="C100" s="133"/>
      <c r="D100" s="133"/>
    </row>
    <row r="101" spans="1:4" ht="14.25" x14ac:dyDescent="0.2">
      <c r="A101" s="143"/>
      <c r="B101" s="144"/>
      <c r="C101" s="133"/>
      <c r="D101" s="133"/>
    </row>
    <row r="102" spans="1:4" ht="14.25" x14ac:dyDescent="0.2">
      <c r="A102" s="143"/>
      <c r="B102" s="144"/>
      <c r="C102" s="133"/>
      <c r="D102" s="133"/>
    </row>
    <row r="103" spans="1:4" ht="14.25" x14ac:dyDescent="0.2">
      <c r="A103" s="143"/>
      <c r="B103" s="144"/>
      <c r="C103" s="133"/>
      <c r="D103" s="133"/>
    </row>
    <row r="104" spans="1:4" ht="14.25" x14ac:dyDescent="0.2">
      <c r="A104" s="143"/>
      <c r="B104" s="144"/>
      <c r="C104" s="133"/>
      <c r="D104" s="133"/>
    </row>
    <row r="105" spans="1:4" ht="14.25" x14ac:dyDescent="0.2">
      <c r="A105" s="143"/>
      <c r="B105" s="144"/>
      <c r="C105" s="133"/>
      <c r="D105" s="133"/>
    </row>
    <row r="106" spans="1:4" ht="14.25" x14ac:dyDescent="0.2">
      <c r="A106" s="143"/>
      <c r="B106" s="144"/>
      <c r="C106" s="133"/>
      <c r="D106" s="133"/>
    </row>
    <row r="107" spans="1:4" ht="14.25" x14ac:dyDescent="0.2">
      <c r="A107" s="143"/>
      <c r="B107" s="144"/>
      <c r="C107" s="133"/>
      <c r="D107" s="133"/>
    </row>
    <row r="108" spans="1:4" ht="14.25" x14ac:dyDescent="0.2">
      <c r="A108" s="143"/>
      <c r="B108" s="144"/>
      <c r="C108" s="133"/>
      <c r="D108" s="133"/>
    </row>
    <row r="109" spans="1:4" ht="14.25" x14ac:dyDescent="0.2">
      <c r="A109" s="143"/>
      <c r="B109" s="144"/>
      <c r="C109" s="133"/>
      <c r="D109" s="133"/>
    </row>
    <row r="110" spans="1:4" x14ac:dyDescent="0.2">
      <c r="A110" s="132"/>
      <c r="B110" s="133"/>
      <c r="C110" s="133"/>
      <c r="D110" s="133"/>
    </row>
    <row r="111" spans="1:4" x14ac:dyDescent="0.2">
      <c r="A111" s="132"/>
      <c r="B111" s="133"/>
      <c r="C111" s="133"/>
      <c r="D111" s="133"/>
    </row>
    <row r="112" spans="1:4" x14ac:dyDescent="0.2">
      <c r="A112" s="132"/>
      <c r="B112" s="133"/>
      <c r="C112" s="133"/>
      <c r="D112" s="133"/>
    </row>
    <row r="113" spans="1:4" x14ac:dyDescent="0.2">
      <c r="A113" s="132"/>
      <c r="B113" s="133"/>
      <c r="C113" s="133"/>
      <c r="D113" s="133"/>
    </row>
    <row r="114" spans="1:4" x14ac:dyDescent="0.2">
      <c r="A114" s="132"/>
      <c r="B114" s="133"/>
      <c r="C114" s="133"/>
      <c r="D114" s="133"/>
    </row>
    <row r="115" spans="1:4" x14ac:dyDescent="0.2">
      <c r="A115" s="132"/>
      <c r="B115" s="133"/>
      <c r="C115" s="133"/>
      <c r="D115" s="133"/>
    </row>
    <row r="116" spans="1:4" x14ac:dyDescent="0.2">
      <c r="A116" s="132"/>
      <c r="B116" s="133"/>
      <c r="C116" s="133"/>
      <c r="D116" s="133"/>
    </row>
    <row r="117" spans="1:4" x14ac:dyDescent="0.2">
      <c r="A117" s="132"/>
      <c r="B117" s="133"/>
      <c r="C117" s="133"/>
      <c r="D117" s="133"/>
    </row>
    <row r="118" spans="1:4" x14ac:dyDescent="0.2">
      <c r="A118" s="132"/>
      <c r="B118" s="133"/>
      <c r="C118" s="133"/>
      <c r="D118" s="133"/>
    </row>
    <row r="119" spans="1:4" x14ac:dyDescent="0.2">
      <c r="A119" s="132"/>
      <c r="B119" s="133"/>
      <c r="C119" s="133"/>
      <c r="D119" s="133"/>
    </row>
    <row r="120" spans="1:4" x14ac:dyDescent="0.2">
      <c r="A120" s="132"/>
      <c r="B120" s="133"/>
      <c r="C120" s="133"/>
      <c r="D120" s="133"/>
    </row>
    <row r="121" spans="1:4" x14ac:dyDescent="0.2">
      <c r="A121" s="132"/>
      <c r="B121" s="133"/>
      <c r="C121" s="133"/>
      <c r="D121" s="133"/>
    </row>
    <row r="122" spans="1:4" x14ac:dyDescent="0.2">
      <c r="A122" s="132"/>
      <c r="B122" s="133"/>
      <c r="C122" s="133"/>
      <c r="D122" s="133"/>
    </row>
    <row r="123" spans="1:4" x14ac:dyDescent="0.2">
      <c r="A123" s="132"/>
      <c r="B123" s="133"/>
      <c r="C123" s="133"/>
      <c r="D123" s="133"/>
    </row>
    <row r="124" spans="1:4" x14ac:dyDescent="0.2">
      <c r="A124" s="132"/>
      <c r="B124" s="133"/>
      <c r="C124" s="133"/>
      <c r="D124" s="133"/>
    </row>
    <row r="125" spans="1:4" x14ac:dyDescent="0.2">
      <c r="A125" s="132"/>
      <c r="B125" s="133"/>
      <c r="C125" s="133"/>
      <c r="D125" s="133"/>
    </row>
    <row r="126" spans="1:4" x14ac:dyDescent="0.2">
      <c r="A126" s="132"/>
      <c r="B126" s="133"/>
      <c r="C126" s="133"/>
      <c r="D126" s="133"/>
    </row>
    <row r="127" spans="1:4" x14ac:dyDescent="0.2">
      <c r="A127" s="132"/>
      <c r="B127" s="133"/>
      <c r="C127" s="133"/>
      <c r="D127" s="133"/>
    </row>
    <row r="128" spans="1:4" x14ac:dyDescent="0.2">
      <c r="A128" s="132"/>
      <c r="B128" s="133"/>
      <c r="C128" s="133"/>
      <c r="D128" s="133"/>
    </row>
    <row r="129" spans="1:4" x14ac:dyDescent="0.2">
      <c r="A129" s="132"/>
      <c r="B129" s="133"/>
      <c r="C129" s="133"/>
      <c r="D129" s="133"/>
    </row>
    <row r="130" spans="1:4" x14ac:dyDescent="0.2">
      <c r="A130" s="132"/>
      <c r="B130" s="133"/>
      <c r="C130" s="133"/>
      <c r="D130" s="133"/>
    </row>
    <row r="131" spans="1:4" x14ac:dyDescent="0.2">
      <c r="A131" s="132"/>
      <c r="B131" s="133"/>
      <c r="C131" s="133"/>
      <c r="D131" s="133"/>
    </row>
    <row r="132" spans="1:4" x14ac:dyDescent="0.2">
      <c r="A132" s="132"/>
      <c r="B132" s="133"/>
      <c r="C132" s="133"/>
      <c r="D132" s="133"/>
    </row>
    <row r="133" spans="1:4" x14ac:dyDescent="0.2">
      <c r="A133" s="132"/>
      <c r="B133" s="133"/>
      <c r="C133" s="133"/>
      <c r="D133" s="133"/>
    </row>
    <row r="134" spans="1:4" x14ac:dyDescent="0.2">
      <c r="A134" s="132"/>
      <c r="B134" s="133"/>
      <c r="C134" s="133"/>
      <c r="D134" s="133"/>
    </row>
    <row r="135" spans="1:4" x14ac:dyDescent="0.2">
      <c r="A135" s="132"/>
      <c r="B135" s="133"/>
      <c r="C135" s="133"/>
      <c r="D135" s="133"/>
    </row>
    <row r="136" spans="1:4" x14ac:dyDescent="0.2">
      <c r="A136" s="132"/>
      <c r="B136" s="133"/>
      <c r="C136" s="133"/>
      <c r="D136" s="133"/>
    </row>
    <row r="137" spans="1:4" x14ac:dyDescent="0.2">
      <c r="A137" s="132"/>
      <c r="B137" s="133"/>
      <c r="C137" s="133"/>
      <c r="D137" s="133"/>
    </row>
    <row r="138" spans="1:4" x14ac:dyDescent="0.2">
      <c r="A138" s="132"/>
      <c r="B138" s="133"/>
      <c r="C138" s="133"/>
      <c r="D138" s="133"/>
    </row>
    <row r="139" spans="1:4" x14ac:dyDescent="0.2">
      <c r="A139" s="132"/>
      <c r="B139" s="133"/>
      <c r="C139" s="133"/>
      <c r="D139" s="133"/>
    </row>
    <row r="140" spans="1:4" x14ac:dyDescent="0.2">
      <c r="A140" s="132"/>
      <c r="B140" s="133"/>
      <c r="C140" s="133"/>
      <c r="D140" s="133"/>
    </row>
    <row r="141" spans="1:4" x14ac:dyDescent="0.2">
      <c r="A141" s="132"/>
      <c r="B141" s="133"/>
      <c r="C141" s="133"/>
      <c r="D141" s="133"/>
    </row>
    <row r="142" spans="1:4" x14ac:dyDescent="0.2">
      <c r="A142" s="132"/>
      <c r="B142" s="133"/>
      <c r="C142" s="133"/>
      <c r="D142" s="133"/>
    </row>
    <row r="143" spans="1:4" x14ac:dyDescent="0.2">
      <c r="A143" s="132"/>
      <c r="B143" s="133"/>
      <c r="C143" s="133"/>
      <c r="D143" s="133"/>
    </row>
    <row r="144" spans="1:4" x14ac:dyDescent="0.2">
      <c r="A144" s="132"/>
      <c r="B144" s="133"/>
      <c r="C144" s="133"/>
      <c r="D144" s="133"/>
    </row>
    <row r="145" spans="1:4" x14ac:dyDescent="0.2">
      <c r="A145" s="132"/>
      <c r="B145" s="133"/>
      <c r="C145" s="133"/>
      <c r="D145" s="133"/>
    </row>
    <row r="146" spans="1:4" x14ac:dyDescent="0.2">
      <c r="A146" s="132"/>
      <c r="B146" s="133"/>
      <c r="C146" s="133"/>
      <c r="D146" s="133"/>
    </row>
    <row r="147" spans="1:4" x14ac:dyDescent="0.2">
      <c r="A147" s="132"/>
      <c r="B147" s="133"/>
      <c r="C147" s="133"/>
      <c r="D147" s="133"/>
    </row>
    <row r="148" spans="1:4" x14ac:dyDescent="0.2">
      <c r="A148" s="132"/>
      <c r="B148" s="133"/>
      <c r="C148" s="133"/>
      <c r="D148" s="133"/>
    </row>
    <row r="149" spans="1:4" x14ac:dyDescent="0.2">
      <c r="A149" s="132"/>
      <c r="B149" s="133"/>
      <c r="C149" s="133"/>
      <c r="D149" s="133"/>
    </row>
    <row r="150" spans="1:4" x14ac:dyDescent="0.2">
      <c r="A150" s="132"/>
      <c r="B150" s="133"/>
      <c r="C150" s="133"/>
      <c r="D150" s="133"/>
    </row>
    <row r="151" spans="1:4" x14ac:dyDescent="0.2">
      <c r="A151" s="132"/>
      <c r="B151" s="133"/>
      <c r="C151" s="133"/>
      <c r="D151" s="133"/>
    </row>
    <row r="152" spans="1:4" x14ac:dyDescent="0.2">
      <c r="A152" s="132"/>
      <c r="B152" s="133"/>
      <c r="C152" s="133"/>
      <c r="D152" s="133"/>
    </row>
    <row r="153" spans="1:4" x14ac:dyDescent="0.2">
      <c r="A153" s="132"/>
      <c r="B153" s="133"/>
      <c r="C153" s="133"/>
      <c r="D153" s="133"/>
    </row>
    <row r="154" spans="1:4" x14ac:dyDescent="0.2">
      <c r="A154" s="132"/>
      <c r="B154" s="133"/>
      <c r="C154" s="133"/>
      <c r="D154" s="133"/>
    </row>
    <row r="155" spans="1:4" x14ac:dyDescent="0.2">
      <c r="A155" s="132"/>
      <c r="B155" s="133"/>
      <c r="C155" s="133"/>
      <c r="D155" s="133"/>
    </row>
    <row r="156" spans="1:4" x14ac:dyDescent="0.2">
      <c r="A156" s="132"/>
      <c r="B156" s="133"/>
      <c r="C156" s="133"/>
      <c r="D156" s="133"/>
    </row>
    <row r="157" spans="1:4" x14ac:dyDescent="0.2">
      <c r="A157" s="132"/>
      <c r="B157" s="133"/>
      <c r="C157" s="133"/>
      <c r="D157" s="133"/>
    </row>
    <row r="158" spans="1:4" x14ac:dyDescent="0.2">
      <c r="A158" s="132"/>
      <c r="B158" s="133"/>
      <c r="C158" s="133"/>
      <c r="D158" s="133"/>
    </row>
    <row r="159" spans="1:4" x14ac:dyDescent="0.2">
      <c r="A159" s="132"/>
      <c r="B159" s="133"/>
      <c r="C159" s="133"/>
      <c r="D159" s="133"/>
    </row>
    <row r="160" spans="1:4" x14ac:dyDescent="0.2">
      <c r="A160" s="132"/>
      <c r="B160" s="133"/>
      <c r="C160" s="133"/>
      <c r="D160" s="133"/>
    </row>
    <row r="161" spans="1:4" x14ac:dyDescent="0.2">
      <c r="A161" s="132"/>
      <c r="B161" s="133"/>
      <c r="C161" s="133"/>
      <c r="D161" s="133"/>
    </row>
    <row r="162" spans="1:4" x14ac:dyDescent="0.2">
      <c r="A162" s="132"/>
      <c r="B162" s="133"/>
      <c r="C162" s="133"/>
      <c r="D162" s="133"/>
    </row>
    <row r="163" spans="1:4" x14ac:dyDescent="0.2">
      <c r="A163" s="132"/>
      <c r="B163" s="133"/>
      <c r="C163" s="133"/>
      <c r="D163" s="133"/>
    </row>
    <row r="164" spans="1:4" x14ac:dyDescent="0.2">
      <c r="A164" s="132"/>
      <c r="B164" s="133"/>
      <c r="C164" s="133"/>
      <c r="D164" s="133"/>
    </row>
    <row r="165" spans="1:4" x14ac:dyDescent="0.2">
      <c r="A165" s="132"/>
      <c r="B165" s="133"/>
      <c r="C165" s="133"/>
      <c r="D165" s="133"/>
    </row>
    <row r="166" spans="1:4" x14ac:dyDescent="0.2">
      <c r="A166" s="132"/>
      <c r="B166" s="133"/>
      <c r="C166" s="133"/>
      <c r="D166" s="133"/>
    </row>
    <row r="167" spans="1:4" x14ac:dyDescent="0.2">
      <c r="A167" s="132"/>
      <c r="B167" s="133"/>
      <c r="C167" s="133"/>
      <c r="D167" s="133"/>
    </row>
    <row r="168" spans="1:4" x14ac:dyDescent="0.2">
      <c r="A168" s="132"/>
      <c r="B168" s="133"/>
      <c r="C168" s="133"/>
      <c r="D168" s="133"/>
    </row>
    <row r="169" spans="1:4" x14ac:dyDescent="0.2">
      <c r="A169" s="132"/>
      <c r="B169" s="133"/>
      <c r="C169" s="133"/>
      <c r="D169" s="133"/>
    </row>
    <row r="170" spans="1:4" x14ac:dyDescent="0.2">
      <c r="A170" s="132"/>
      <c r="B170" s="133"/>
      <c r="C170" s="133"/>
      <c r="D170" s="133"/>
    </row>
    <row r="171" spans="1:4" x14ac:dyDescent="0.2">
      <c r="A171" s="132"/>
      <c r="B171" s="133"/>
      <c r="C171" s="133"/>
      <c r="D171" s="133"/>
    </row>
    <row r="172" spans="1:4" x14ac:dyDescent="0.2">
      <c r="A172" s="132"/>
      <c r="B172" s="133"/>
      <c r="C172" s="133"/>
      <c r="D172" s="133"/>
    </row>
    <row r="173" spans="1:4" x14ac:dyDescent="0.2">
      <c r="A173" s="132"/>
      <c r="B173" s="133"/>
      <c r="C173" s="133"/>
      <c r="D173" s="133"/>
    </row>
    <row r="174" spans="1:4" x14ac:dyDescent="0.2">
      <c r="A174" s="132"/>
      <c r="B174" s="133"/>
      <c r="C174" s="133"/>
      <c r="D174" s="133"/>
    </row>
    <row r="175" spans="1:4" x14ac:dyDescent="0.2">
      <c r="A175" s="132"/>
      <c r="B175" s="133"/>
      <c r="C175" s="133"/>
      <c r="D175" s="133"/>
    </row>
    <row r="176" spans="1:4" x14ac:dyDescent="0.2">
      <c r="A176" s="132"/>
      <c r="B176" s="133"/>
      <c r="C176" s="133"/>
      <c r="D176" s="133"/>
    </row>
    <row r="177" spans="1:4" x14ac:dyDescent="0.2">
      <c r="A177" s="132"/>
      <c r="B177" s="133"/>
      <c r="C177" s="133"/>
      <c r="D177" s="133"/>
    </row>
    <row r="178" spans="1:4" x14ac:dyDescent="0.2">
      <c r="A178" s="132"/>
      <c r="B178" s="133"/>
      <c r="C178" s="133"/>
      <c r="D178" s="133"/>
    </row>
    <row r="179" spans="1:4" x14ac:dyDescent="0.2">
      <c r="A179" s="132"/>
      <c r="B179" s="133"/>
      <c r="C179" s="133"/>
      <c r="D179" s="133"/>
    </row>
    <row r="180" spans="1:4" x14ac:dyDescent="0.2">
      <c r="A180" s="132"/>
      <c r="B180" s="133"/>
      <c r="C180" s="133"/>
      <c r="D180" s="133"/>
    </row>
    <row r="181" spans="1:4" x14ac:dyDescent="0.2">
      <c r="A181" s="132"/>
      <c r="B181" s="133"/>
      <c r="C181" s="133"/>
      <c r="D181" s="133"/>
    </row>
    <row r="182" spans="1:4" x14ac:dyDescent="0.2">
      <c r="A182" s="132"/>
      <c r="B182" s="133"/>
      <c r="C182" s="133"/>
      <c r="D182" s="133"/>
    </row>
    <row r="183" spans="1:4" x14ac:dyDescent="0.2">
      <c r="A183" s="132"/>
      <c r="B183" s="133"/>
      <c r="C183" s="133"/>
      <c r="D183" s="133"/>
    </row>
    <row r="184" spans="1:4" x14ac:dyDescent="0.2">
      <c r="A184" s="132"/>
      <c r="B184" s="133"/>
      <c r="C184" s="133"/>
      <c r="D184" s="133"/>
    </row>
    <row r="185" spans="1:4" x14ac:dyDescent="0.2">
      <c r="A185" s="132"/>
      <c r="B185" s="133"/>
      <c r="C185" s="133"/>
      <c r="D185" s="133"/>
    </row>
    <row r="186" spans="1:4" x14ac:dyDescent="0.2">
      <c r="A186" s="132"/>
      <c r="B186" s="133"/>
      <c r="C186" s="133"/>
      <c r="D186" s="133"/>
    </row>
    <row r="187" spans="1:4" x14ac:dyDescent="0.2">
      <c r="A187" s="132"/>
      <c r="B187" s="133"/>
      <c r="C187" s="133"/>
      <c r="D187" s="133"/>
    </row>
    <row r="188" spans="1:4" x14ac:dyDescent="0.2">
      <c r="A188" s="132"/>
      <c r="B188" s="133"/>
      <c r="C188" s="133"/>
      <c r="D188" s="133"/>
    </row>
    <row r="189" spans="1:4" x14ac:dyDescent="0.2">
      <c r="A189" s="132"/>
      <c r="B189" s="133"/>
      <c r="C189" s="133"/>
      <c r="D189" s="133"/>
    </row>
    <row r="190" spans="1:4" x14ac:dyDescent="0.2">
      <c r="A190" s="132"/>
      <c r="B190" s="133"/>
      <c r="C190" s="133"/>
      <c r="D190" s="133"/>
    </row>
    <row r="191" spans="1:4" x14ac:dyDescent="0.2">
      <c r="A191" s="132"/>
      <c r="B191" s="133"/>
      <c r="C191" s="133"/>
      <c r="D191" s="133"/>
    </row>
    <row r="192" spans="1:4" x14ac:dyDescent="0.2">
      <c r="A192" s="132"/>
      <c r="B192" s="133"/>
      <c r="C192" s="133"/>
      <c r="D192" s="133"/>
    </row>
    <row r="193" spans="1:5" x14ac:dyDescent="0.2">
      <c r="A193" s="132"/>
      <c r="B193" s="133"/>
      <c r="C193" s="133"/>
      <c r="D193" s="133"/>
    </row>
    <row r="194" spans="1:5" x14ac:dyDescent="0.2">
      <c r="A194" s="132"/>
      <c r="B194" s="133"/>
      <c r="C194" s="133"/>
      <c r="D194" s="133"/>
    </row>
    <row r="195" spans="1:5" x14ac:dyDescent="0.2">
      <c r="A195" s="132"/>
      <c r="B195" s="133"/>
      <c r="C195" s="133"/>
      <c r="D195" s="133"/>
    </row>
    <row r="196" spans="1:5" x14ac:dyDescent="0.2">
      <c r="A196" s="132"/>
      <c r="B196" s="133"/>
      <c r="C196" s="133"/>
      <c r="D196" s="133"/>
    </row>
    <row r="197" spans="1:5" x14ac:dyDescent="0.2">
      <c r="A197" s="132"/>
      <c r="B197" s="133"/>
      <c r="C197" s="133"/>
      <c r="D197" s="133"/>
    </row>
    <row r="198" spans="1:5" x14ac:dyDescent="0.2">
      <c r="A198" s="132"/>
      <c r="B198" s="133"/>
      <c r="C198" s="133"/>
      <c r="D198" s="133"/>
    </row>
    <row r="199" spans="1:5" x14ac:dyDescent="0.2">
      <c r="A199" s="132"/>
      <c r="B199" s="133"/>
      <c r="C199" s="133"/>
      <c r="D199" s="133"/>
    </row>
    <row r="200" spans="1:5" x14ac:dyDescent="0.2">
      <c r="A200" s="132"/>
      <c r="B200" s="133"/>
      <c r="C200" s="133"/>
      <c r="D200" s="133"/>
    </row>
    <row r="201" spans="1:5" x14ac:dyDescent="0.2">
      <c r="A201" s="132"/>
      <c r="B201" s="133"/>
      <c r="C201" s="133"/>
      <c r="D201" s="133"/>
    </row>
    <row r="202" spans="1:5" x14ac:dyDescent="0.2">
      <c r="A202" s="132"/>
      <c r="B202" s="133"/>
      <c r="C202" s="133"/>
      <c r="D202" s="133"/>
    </row>
    <row r="203" spans="1:5" x14ac:dyDescent="0.2">
      <c r="A203" s="132"/>
      <c r="B203" s="133"/>
      <c r="C203" s="133"/>
      <c r="D203" s="133"/>
    </row>
    <row r="204" spans="1:5" x14ac:dyDescent="0.2">
      <c r="A204" s="132"/>
      <c r="B204" s="133"/>
      <c r="C204" s="133"/>
      <c r="D204" s="133"/>
      <c r="E204" s="133"/>
    </row>
    <row r="205" spans="1:5" x14ac:dyDescent="0.2">
      <c r="A205" s="132"/>
      <c r="B205" s="133"/>
      <c r="C205" s="133"/>
      <c r="D205" s="133"/>
      <c r="E205" s="133"/>
    </row>
    <row r="206" spans="1:5" x14ac:dyDescent="0.2">
      <c r="A206" s="132"/>
      <c r="B206" s="133"/>
      <c r="C206" s="133"/>
      <c r="D206" s="133"/>
      <c r="E206" s="133"/>
    </row>
    <row r="207" spans="1:5" x14ac:dyDescent="0.2">
      <c r="A207" s="132"/>
      <c r="B207" s="133"/>
      <c r="C207" s="133"/>
      <c r="D207" s="133"/>
      <c r="E207" s="133"/>
    </row>
    <row r="208" spans="1:5" x14ac:dyDescent="0.2">
      <c r="A208" s="132"/>
      <c r="B208" s="133"/>
      <c r="C208" s="133"/>
      <c r="D208" s="133"/>
      <c r="E208" s="133"/>
    </row>
    <row r="209" spans="1:5" x14ac:dyDescent="0.2">
      <c r="A209" s="132"/>
      <c r="B209" s="133"/>
      <c r="C209" s="133"/>
      <c r="D209" s="133"/>
      <c r="E209" s="133"/>
    </row>
    <row r="210" spans="1:5" x14ac:dyDescent="0.2">
      <c r="A210" s="132"/>
      <c r="B210" s="133"/>
      <c r="C210" s="133"/>
      <c r="D210" s="133"/>
      <c r="E210" s="133"/>
    </row>
    <row r="211" spans="1:5" x14ac:dyDescent="0.2">
      <c r="A211" s="132"/>
      <c r="B211" s="133"/>
      <c r="C211" s="133"/>
      <c r="D211" s="133"/>
      <c r="E211" s="133"/>
    </row>
    <row r="212" spans="1:5" x14ac:dyDescent="0.2">
      <c r="A212" s="132"/>
      <c r="B212" s="133"/>
      <c r="C212" s="133"/>
      <c r="D212" s="133"/>
      <c r="E212" s="133"/>
    </row>
    <row r="213" spans="1:5" x14ac:dyDescent="0.2">
      <c r="A213" s="132"/>
      <c r="B213" s="133"/>
      <c r="C213" s="133"/>
      <c r="D213" s="133"/>
      <c r="E213" s="133"/>
    </row>
    <row r="214" spans="1:5" x14ac:dyDescent="0.2">
      <c r="A214" s="132"/>
      <c r="B214" s="133"/>
      <c r="C214" s="133"/>
      <c r="D214" s="133"/>
      <c r="E214" s="133"/>
    </row>
    <row r="215" spans="1:5" x14ac:dyDescent="0.2">
      <c r="A215" s="132"/>
      <c r="B215" s="133"/>
      <c r="C215" s="133"/>
      <c r="D215" s="133"/>
      <c r="E215" s="133"/>
    </row>
    <row r="216" spans="1:5" x14ac:dyDescent="0.2">
      <c r="A216" s="132"/>
      <c r="B216" s="133"/>
      <c r="C216" s="133"/>
      <c r="D216" s="133"/>
      <c r="E216" s="133"/>
    </row>
    <row r="217" spans="1:5" x14ac:dyDescent="0.2">
      <c r="A217" s="132"/>
      <c r="B217" s="133"/>
      <c r="C217" s="133"/>
      <c r="D217" s="133"/>
      <c r="E217" s="133"/>
    </row>
    <row r="218" spans="1:5" x14ac:dyDescent="0.2">
      <c r="A218" s="132"/>
      <c r="B218" s="133"/>
      <c r="C218" s="133"/>
      <c r="D218" s="133"/>
      <c r="E218" s="133"/>
    </row>
    <row r="219" spans="1:5" x14ac:dyDescent="0.2">
      <c r="A219" s="132"/>
      <c r="B219" s="133"/>
      <c r="C219" s="133"/>
      <c r="D219" s="133"/>
      <c r="E219" s="133"/>
    </row>
    <row r="220" spans="1:5" x14ac:dyDescent="0.2">
      <c r="A220" s="132"/>
      <c r="B220" s="133"/>
      <c r="C220" s="133"/>
      <c r="D220" s="133"/>
      <c r="E220" s="133"/>
    </row>
    <row r="221" spans="1:5" x14ac:dyDescent="0.2">
      <c r="A221" s="132"/>
      <c r="B221" s="133"/>
      <c r="C221" s="133"/>
      <c r="D221" s="133"/>
      <c r="E221" s="133"/>
    </row>
    <row r="222" spans="1:5" x14ac:dyDescent="0.2">
      <c r="A222" s="132"/>
      <c r="B222" s="133"/>
      <c r="C222" s="133"/>
      <c r="D222" s="133"/>
      <c r="E222" s="133"/>
    </row>
    <row r="223" spans="1:5" x14ac:dyDescent="0.2">
      <c r="A223" s="132"/>
      <c r="B223" s="133"/>
      <c r="C223" s="133"/>
      <c r="D223" s="133"/>
      <c r="E223" s="133"/>
    </row>
    <row r="224" spans="1:5" x14ac:dyDescent="0.2">
      <c r="A224" s="132"/>
      <c r="B224" s="133"/>
      <c r="C224" s="133"/>
      <c r="D224" s="133"/>
      <c r="E224" s="133"/>
    </row>
    <row r="225" spans="1:5" x14ac:dyDescent="0.2">
      <c r="A225" s="132"/>
      <c r="B225" s="133"/>
      <c r="C225" s="133"/>
      <c r="D225" s="133"/>
      <c r="E225" s="133"/>
    </row>
    <row r="226" spans="1:5" x14ac:dyDescent="0.2">
      <c r="A226" s="132"/>
      <c r="B226" s="133"/>
      <c r="C226" s="133"/>
      <c r="D226" s="133"/>
      <c r="E226" s="133"/>
    </row>
    <row r="227" spans="1:5" x14ac:dyDescent="0.2">
      <c r="A227" s="132"/>
      <c r="B227" s="133"/>
      <c r="C227" s="133"/>
      <c r="D227" s="133"/>
      <c r="E227" s="133"/>
    </row>
    <row r="228" spans="1:5" x14ac:dyDescent="0.2">
      <c r="A228" s="132"/>
      <c r="B228" s="133"/>
      <c r="C228" s="133"/>
      <c r="D228" s="133"/>
      <c r="E228" s="133"/>
    </row>
    <row r="229" spans="1:5" x14ac:dyDescent="0.2">
      <c r="A229" s="132"/>
      <c r="B229" s="133"/>
      <c r="C229" s="133"/>
      <c r="D229" s="133"/>
      <c r="E229" s="133"/>
    </row>
  </sheetData>
  <pageMargins left="0.7" right="0.7" top="1" bottom="6.5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U545"/>
  <sheetViews>
    <sheetView showGridLines="0" zoomScale="90" zoomScaleNormal="90" workbookViewId="0"/>
  </sheetViews>
  <sheetFormatPr defaultRowHeight="12.75" x14ac:dyDescent="0.2"/>
  <cols>
    <col min="1" max="1" width="21.7109375" customWidth="1"/>
    <col min="2" max="2" width="11.5703125" customWidth="1"/>
    <col min="3" max="3" width="9.5703125" customWidth="1"/>
    <col min="4" max="4" width="8.5703125" customWidth="1"/>
    <col min="5" max="5" width="9.7109375" customWidth="1"/>
    <col min="6" max="6" width="10.7109375" customWidth="1"/>
    <col min="7" max="7" width="7.7109375" customWidth="1"/>
    <col min="8" max="8" width="9.7109375" customWidth="1"/>
    <col min="9" max="9" width="1.7109375" customWidth="1"/>
    <col min="10" max="10" width="9.7109375" customWidth="1"/>
    <col min="11" max="12" width="10.7109375" customWidth="1"/>
    <col min="13" max="14" width="9.7109375" customWidth="1"/>
  </cols>
  <sheetData>
    <row r="1" spans="1:14" ht="14.25" x14ac:dyDescent="0.2">
      <c r="A1" s="37" t="s">
        <v>72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14.25" x14ac:dyDescent="0.2">
      <c r="A2" s="38"/>
      <c r="B2" s="158" t="s">
        <v>27</v>
      </c>
      <c r="C2" s="152"/>
      <c r="D2" s="40" t="s">
        <v>30</v>
      </c>
      <c r="E2" s="157"/>
      <c r="F2" s="152" t="s">
        <v>91</v>
      </c>
      <c r="G2" s="152"/>
      <c r="H2" s="152"/>
      <c r="I2" s="41"/>
      <c r="J2" s="157"/>
      <c r="K2" s="152"/>
      <c r="L2" s="159" t="s">
        <v>69</v>
      </c>
      <c r="M2" s="152"/>
      <c r="N2" s="38"/>
    </row>
    <row r="3" spans="1:14" ht="14.25" x14ac:dyDescent="0.2">
      <c r="A3" s="38" t="s">
        <v>83</v>
      </c>
      <c r="B3" s="40" t="s">
        <v>28</v>
      </c>
      <c r="C3" s="38" t="s">
        <v>29</v>
      </c>
      <c r="D3" s="40"/>
      <c r="E3" s="42" t="s">
        <v>8</v>
      </c>
      <c r="F3" s="42"/>
      <c r="G3" s="42"/>
      <c r="H3" s="42"/>
      <c r="I3" s="42"/>
      <c r="J3" s="40" t="s">
        <v>71</v>
      </c>
      <c r="K3" s="42" t="s">
        <v>99</v>
      </c>
      <c r="L3" s="42"/>
      <c r="M3" s="42"/>
      <c r="N3" s="42" t="s">
        <v>6</v>
      </c>
    </row>
    <row r="4" spans="1:14" ht="14.25" x14ac:dyDescent="0.2">
      <c r="A4" s="43" t="s">
        <v>87</v>
      </c>
      <c r="B4" s="44"/>
      <c r="C4" s="44"/>
      <c r="D4" s="44"/>
      <c r="E4" s="45" t="s">
        <v>7</v>
      </c>
      <c r="F4" s="45" t="s">
        <v>1</v>
      </c>
      <c r="G4" s="46" t="s">
        <v>2</v>
      </c>
      <c r="H4" s="47" t="s">
        <v>3</v>
      </c>
      <c r="I4" s="46"/>
      <c r="J4" s="46"/>
      <c r="K4" s="46" t="s">
        <v>5</v>
      </c>
      <c r="L4" s="47" t="s">
        <v>4</v>
      </c>
      <c r="M4" s="45" t="s">
        <v>3</v>
      </c>
      <c r="N4" s="46" t="s">
        <v>7</v>
      </c>
    </row>
    <row r="5" spans="1:14" ht="14.25" x14ac:dyDescent="0.2">
      <c r="A5" s="38"/>
      <c r="B5" s="150" t="s">
        <v>92</v>
      </c>
      <c r="C5" s="151"/>
      <c r="D5" s="48" t="s">
        <v>74</v>
      </c>
      <c r="G5" s="150"/>
      <c r="I5" s="150"/>
      <c r="J5" s="156" t="s">
        <v>168</v>
      </c>
      <c r="K5" s="150"/>
      <c r="L5" s="150"/>
      <c r="M5" s="150"/>
      <c r="N5" s="150"/>
    </row>
    <row r="6" spans="1:14" ht="16.5" customHeight="1" x14ac:dyDescent="0.2">
      <c r="A6" s="38" t="s">
        <v>139</v>
      </c>
      <c r="B6" s="49">
        <v>90.162000000000006</v>
      </c>
      <c r="C6" s="49">
        <v>89.542000000000002</v>
      </c>
      <c r="D6" s="49">
        <f>F6/C6</f>
        <v>49.268868240602174</v>
      </c>
      <c r="E6" s="50">
        <v>301.59500000000003</v>
      </c>
      <c r="F6" s="51">
        <f>F28</f>
        <v>4411.6329999999998</v>
      </c>
      <c r="G6" s="52">
        <v>21.810493399999999</v>
      </c>
      <c r="H6" s="52">
        <f t="shared" ref="H6:H7" si="0">SUM(E6:G6)</f>
        <v>4735.0384934000003</v>
      </c>
      <c r="I6" s="38"/>
      <c r="J6" s="51">
        <v>2054.9319999999998</v>
      </c>
      <c r="K6" s="51">
        <f t="shared" ref="K6:K8" si="1">M6-L6-J6</f>
        <v>108.2711933999999</v>
      </c>
      <c r="L6" s="52">
        <v>2133.7303000000002</v>
      </c>
      <c r="M6" s="52">
        <f t="shared" ref="M6:M8" si="2">H6-N6</f>
        <v>4296.9334933999999</v>
      </c>
      <c r="N6" s="52">
        <v>438.10500000000002</v>
      </c>
    </row>
    <row r="7" spans="1:14" ht="16.5" customHeight="1" x14ac:dyDescent="0.2">
      <c r="A7" s="38" t="s">
        <v>162</v>
      </c>
      <c r="B7" s="49">
        <v>89.195999999999998</v>
      </c>
      <c r="C7" s="49">
        <v>88.11</v>
      </c>
      <c r="D7" s="49">
        <f t="shared" ref="D7:D8" si="3">F7/C7</f>
        <v>51.570570877312448</v>
      </c>
      <c r="E7" s="50">
        <f>N6</f>
        <v>438.10500000000002</v>
      </c>
      <c r="F7" s="51">
        <f>F44</f>
        <v>4543.8829999999998</v>
      </c>
      <c r="G7" s="52">
        <v>17</v>
      </c>
      <c r="H7" s="52">
        <f t="shared" si="0"/>
        <v>4998.9879999999994</v>
      </c>
      <c r="I7" s="38"/>
      <c r="J7" s="51">
        <v>2065</v>
      </c>
      <c r="K7" s="51">
        <f t="shared" si="1"/>
        <v>163.98799999999937</v>
      </c>
      <c r="L7" s="52">
        <v>1700</v>
      </c>
      <c r="M7" s="52">
        <f t="shared" si="2"/>
        <v>3928.9879999999994</v>
      </c>
      <c r="N7" s="52">
        <v>1070</v>
      </c>
    </row>
    <row r="8" spans="1:14" ht="16.5" customHeight="1" x14ac:dyDescent="0.2">
      <c r="A8" s="38" t="s">
        <v>170</v>
      </c>
      <c r="B8" s="49">
        <v>76.7</v>
      </c>
      <c r="C8" s="49">
        <v>75.866</v>
      </c>
      <c r="D8" s="49">
        <f t="shared" si="3"/>
        <v>48.509437692774107</v>
      </c>
      <c r="E8" s="50">
        <f>N7</f>
        <v>1070</v>
      </c>
      <c r="F8" s="51">
        <v>3680.2170000000001</v>
      </c>
      <c r="G8" s="52">
        <v>20</v>
      </c>
      <c r="H8" s="52">
        <f>SUM(E8:G8)</f>
        <v>4770.2170000000006</v>
      </c>
      <c r="I8" s="38"/>
      <c r="J8" s="51">
        <v>2115</v>
      </c>
      <c r="K8" s="51">
        <f t="shared" si="1"/>
        <v>125.21700000000055</v>
      </c>
      <c r="L8" s="52">
        <v>1775</v>
      </c>
      <c r="M8" s="52">
        <f t="shared" si="2"/>
        <v>4015.2170000000006</v>
      </c>
      <c r="N8" s="52">
        <v>755</v>
      </c>
    </row>
    <row r="9" spans="1:14" ht="16.5" customHeight="1" x14ac:dyDescent="0.2">
      <c r="A9" s="41"/>
      <c r="B9" s="41"/>
      <c r="C9" s="41"/>
      <c r="D9" s="41"/>
      <c r="E9" s="54"/>
      <c r="F9" s="54"/>
      <c r="G9" s="55"/>
      <c r="H9" s="54"/>
      <c r="I9" s="54"/>
      <c r="J9" s="55"/>
      <c r="K9" s="55"/>
      <c r="L9" s="55"/>
      <c r="M9" s="55"/>
      <c r="N9" s="56"/>
    </row>
    <row r="10" spans="1:14" ht="16.5" customHeight="1" x14ac:dyDescent="0.2">
      <c r="A10" s="41" t="s">
        <v>73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80"/>
    </row>
    <row r="11" spans="1:14" ht="16.5" customHeight="1" x14ac:dyDescent="0.2">
      <c r="A11" s="38" t="s">
        <v>119</v>
      </c>
      <c r="B11" s="41"/>
      <c r="C11" s="41"/>
      <c r="D11" s="41"/>
      <c r="E11" s="56"/>
      <c r="F11" s="58"/>
      <c r="G11" s="59"/>
      <c r="H11" s="60"/>
      <c r="I11" s="60"/>
      <c r="J11" s="60"/>
      <c r="K11" s="61"/>
      <c r="L11" s="59"/>
      <c r="M11" s="59"/>
      <c r="N11" s="62"/>
    </row>
    <row r="12" spans="1:14" ht="16.5" customHeight="1" x14ac:dyDescent="0.2">
      <c r="A12" s="38" t="s">
        <v>102</v>
      </c>
      <c r="B12" s="41"/>
      <c r="C12" s="41"/>
      <c r="D12" s="41"/>
      <c r="E12" s="56"/>
      <c r="F12" s="63"/>
      <c r="G12" s="59">
        <f>(1.397845+28.520061+6.869446)*2.204622/60</f>
        <v>1.3517034256823999</v>
      </c>
      <c r="H12" s="60"/>
      <c r="I12" s="60"/>
      <c r="J12" s="60">
        <f>4.361207*2000/60</f>
        <v>145.37356666666668</v>
      </c>
      <c r="K12" s="64"/>
      <c r="L12" s="59">
        <f>(42.579358+4462.397)*2.204622/60</f>
        <v>165.5294998054446</v>
      </c>
      <c r="M12" s="59"/>
      <c r="N12" s="60"/>
    </row>
    <row r="13" spans="1:14" ht="16.5" customHeight="1" x14ac:dyDescent="0.2">
      <c r="A13" s="41" t="s">
        <v>108</v>
      </c>
      <c r="B13" s="41"/>
      <c r="C13" s="41"/>
      <c r="D13" s="41"/>
      <c r="E13" s="56"/>
      <c r="F13" s="58"/>
      <c r="G13" s="59">
        <f>(4.792131+65.902561+6.64419)*2.204622/60</f>
        <v>2.8417166785434</v>
      </c>
      <c r="H13" s="60"/>
      <c r="I13" s="60"/>
      <c r="J13" s="60">
        <f>5.277397*2000/60</f>
        <v>175.91323333333332</v>
      </c>
      <c r="K13" s="61"/>
      <c r="L13" s="59">
        <f>(65.402074+9578.586)*2.204622/60</f>
        <v>354.35580459463375</v>
      </c>
      <c r="M13" s="58"/>
      <c r="N13" s="62"/>
    </row>
    <row r="14" spans="1:14" ht="16.5" customHeight="1" x14ac:dyDescent="0.2">
      <c r="A14" s="41" t="s">
        <v>110</v>
      </c>
      <c r="B14" s="41"/>
      <c r="C14" s="41"/>
      <c r="D14" s="41"/>
      <c r="E14" s="56"/>
      <c r="F14" s="58"/>
      <c r="G14" s="59">
        <f>(14.782006+18.210518+5.828672)*2.204622/60</f>
        <v>1.4264343794651999</v>
      </c>
      <c r="H14" s="60"/>
      <c r="I14" s="60"/>
      <c r="J14" s="60">
        <f>5.200462*2000/60</f>
        <v>173.34873333333331</v>
      </c>
      <c r="K14" s="61"/>
      <c r="L14" s="59">
        <f>(75.780013+9112.264)*2.204622/60</f>
        <v>337.60273280046812</v>
      </c>
      <c r="M14" s="58"/>
      <c r="N14" s="62"/>
    </row>
    <row r="15" spans="1:14" ht="16.5" customHeight="1" x14ac:dyDescent="0.2">
      <c r="A15" s="41" t="s">
        <v>79</v>
      </c>
      <c r="B15" s="41"/>
      <c r="C15" s="41"/>
      <c r="D15" s="41"/>
      <c r="E15" s="56">
        <v>301.59500000000003</v>
      </c>
      <c r="F15" s="58">
        <f>4411.633</f>
        <v>4411.6329999999998</v>
      </c>
      <c r="G15" s="59">
        <f>G12+G13+G14</f>
        <v>5.6198544836910003</v>
      </c>
      <c r="H15" s="60">
        <f>SUM(E15:G15)</f>
        <v>4718.8478544836908</v>
      </c>
      <c r="I15" s="60"/>
      <c r="J15" s="60">
        <f>J12+J13+J14</f>
        <v>494.63553333333329</v>
      </c>
      <c r="K15" s="61">
        <f>M15-L15-J15</f>
        <v>206.04528394981099</v>
      </c>
      <c r="L15" s="59">
        <f>L12+L13+L14</f>
        <v>857.48803720054639</v>
      </c>
      <c r="M15" s="59">
        <f>H15-N15</f>
        <v>1558.1688544836907</v>
      </c>
      <c r="N15" s="60">
        <v>3160.6790000000001</v>
      </c>
    </row>
    <row r="16" spans="1:14" ht="16.5" customHeight="1" x14ac:dyDescent="0.2">
      <c r="A16" s="38" t="s">
        <v>111</v>
      </c>
      <c r="B16" s="41"/>
      <c r="C16" s="41"/>
      <c r="D16" s="41"/>
      <c r="E16" s="56"/>
      <c r="F16" s="58"/>
      <c r="G16" s="59">
        <f>(2.700212+43.931585+16.725267)*2.204622/60</f>
        <v>2.3279729524968</v>
      </c>
      <c r="H16" s="60"/>
      <c r="I16" s="60"/>
      <c r="J16" s="60">
        <f>5.290215*2000/60</f>
        <v>176.34049999999999</v>
      </c>
      <c r="K16" s="61"/>
      <c r="L16" s="59">
        <f>(67.748059+6157.158)*2.204622/60</f>
        <v>228.7260807600783</v>
      </c>
      <c r="M16" s="59"/>
      <c r="N16" s="62"/>
    </row>
    <row r="17" spans="1:15" ht="16.5" customHeight="1" x14ac:dyDescent="0.2">
      <c r="A17" s="38" t="s">
        <v>112</v>
      </c>
      <c r="B17" s="41"/>
      <c r="C17" s="41"/>
      <c r="D17" s="41"/>
      <c r="E17" s="56"/>
      <c r="F17" s="58"/>
      <c r="G17" s="59">
        <f>(1.98112+31.469763+6.367872)*2.204622/60</f>
        <v>1.4630883880934999</v>
      </c>
      <c r="H17" s="60"/>
      <c r="I17" s="60"/>
      <c r="J17" s="60">
        <f>5.239827*2000/60</f>
        <v>174.6609</v>
      </c>
      <c r="K17" s="59"/>
      <c r="L17" s="59">
        <f>(51.273426+5756.01)*2.204622/60</f>
        <v>213.3810800199162</v>
      </c>
      <c r="M17" s="58"/>
      <c r="N17" s="62"/>
    </row>
    <row r="18" spans="1:15" ht="16.5" customHeight="1" x14ac:dyDescent="0.2">
      <c r="A18" s="38" t="s">
        <v>113</v>
      </c>
      <c r="B18" s="41"/>
      <c r="C18" s="41"/>
      <c r="D18" s="41"/>
      <c r="E18" s="56"/>
      <c r="F18" s="58"/>
      <c r="G18" s="59">
        <f>(2.319904+15.72352+13.967075)*2.204622/60</f>
        <v>1.1761841721063002</v>
      </c>
      <c r="H18" s="60"/>
      <c r="I18" s="60"/>
      <c r="J18" s="60">
        <f>4.948772*2000/60</f>
        <v>164.95906666666667</v>
      </c>
      <c r="K18" s="59"/>
      <c r="L18" s="59">
        <f>(69.309725+4168.317)*2.204622/60</f>
        <v>155.70608509538252</v>
      </c>
      <c r="M18" s="58"/>
      <c r="N18" s="62"/>
    </row>
    <row r="19" spans="1:15" ht="16.5" customHeight="1" x14ac:dyDescent="0.2">
      <c r="A19" s="38" t="s">
        <v>80</v>
      </c>
      <c r="B19" s="41"/>
      <c r="C19" s="41"/>
      <c r="D19" s="41"/>
      <c r="E19" s="56">
        <f>N15</f>
        <v>3160.6790000000001</v>
      </c>
      <c r="F19" s="63"/>
      <c r="G19" s="59">
        <f>SUM(G16:G18)</f>
        <v>4.9672455126966</v>
      </c>
      <c r="H19" s="60">
        <f>E19+F19+G19</f>
        <v>3165.6462455126966</v>
      </c>
      <c r="I19" s="60"/>
      <c r="J19" s="60">
        <f>SUM(J16:J18)</f>
        <v>515.96046666666666</v>
      </c>
      <c r="K19" s="64">
        <f>M19-L19-J19</f>
        <v>-57.430467029346914</v>
      </c>
      <c r="L19" s="59">
        <f>SUM(L16:L18)</f>
        <v>597.81324587537699</v>
      </c>
      <c r="M19" s="59">
        <f>H19-N19</f>
        <v>1056.3432455126967</v>
      </c>
      <c r="N19" s="60">
        <v>2109.3029999999999</v>
      </c>
    </row>
    <row r="20" spans="1:15" ht="16.5" customHeight="1" x14ac:dyDescent="0.2">
      <c r="A20" s="38" t="s">
        <v>114</v>
      </c>
      <c r="B20" s="41"/>
      <c r="C20" s="41"/>
      <c r="D20" s="41"/>
      <c r="E20" s="56"/>
      <c r="F20" s="63"/>
      <c r="G20" s="59">
        <f>(15.861348+36.213102+6.168282)*2.204622/60</f>
        <v>2.1400534717883999</v>
      </c>
      <c r="H20" s="60"/>
      <c r="I20" s="60"/>
      <c r="J20" s="60">
        <f>5.46524*2000/60</f>
        <v>182.17466666666667</v>
      </c>
      <c r="K20" s="64"/>
      <c r="L20" s="59">
        <f>(72.22807+3149.317)*2.204622/60</f>
        <v>118.371485588559</v>
      </c>
      <c r="M20" s="59"/>
      <c r="N20" s="60"/>
    </row>
    <row r="21" spans="1:15" ht="16.5" customHeight="1" x14ac:dyDescent="0.2">
      <c r="A21" s="38" t="s">
        <v>115</v>
      </c>
      <c r="B21" s="41"/>
      <c r="C21" s="41"/>
      <c r="D21" s="41"/>
      <c r="E21" s="56"/>
      <c r="F21" s="63"/>
      <c r="G21" s="59">
        <f>(9.593178+38.602173+17.616459)*2.204622/60</f>
        <v>2.4181694030970005</v>
      </c>
      <c r="H21" s="60"/>
      <c r="I21" s="60"/>
      <c r="J21" s="60">
        <f>5.149147*2000/60</f>
        <v>171.63823333333332</v>
      </c>
      <c r="K21" s="64"/>
      <c r="L21" s="59">
        <f>(56.392705+2138.052)*2.204622/60</f>
        <v>80.632017907108519</v>
      </c>
      <c r="M21" s="59"/>
      <c r="N21" s="60"/>
    </row>
    <row r="22" spans="1:15" ht="16.5" customHeight="1" x14ac:dyDescent="0.2">
      <c r="A22" s="38" t="s">
        <v>116</v>
      </c>
      <c r="B22" s="41"/>
      <c r="C22" s="41"/>
      <c r="D22" s="41"/>
      <c r="E22" s="56"/>
      <c r="F22" s="63"/>
      <c r="G22" s="59">
        <f>(14.90743+18.49162+16.993229)*2.204622/60</f>
        <v>1.8515987818923001</v>
      </c>
      <c r="H22" s="60"/>
      <c r="I22" s="60"/>
      <c r="J22" s="60">
        <f>5.17404*2000/60</f>
        <v>172.46799999999999</v>
      </c>
      <c r="K22" s="64"/>
      <c r="L22" s="59">
        <f>(50.819292+3059.675)*2.204622/60</f>
        <v>114.29106911696041</v>
      </c>
      <c r="M22" s="59"/>
      <c r="N22" s="60"/>
    </row>
    <row r="23" spans="1:15" ht="16.5" customHeight="1" x14ac:dyDescent="0.2">
      <c r="A23" s="38" t="s">
        <v>81</v>
      </c>
      <c r="B23" s="41"/>
      <c r="C23" s="41"/>
      <c r="D23" s="41"/>
      <c r="E23" s="56">
        <f>N19</f>
        <v>2109.3029999999999</v>
      </c>
      <c r="F23" s="63"/>
      <c r="G23" s="59">
        <f>SUM(G20:G22)</f>
        <v>6.4098216567777007</v>
      </c>
      <c r="H23" s="60">
        <f>E23+F23+G23</f>
        <v>2115.7128216567776</v>
      </c>
      <c r="I23" s="60"/>
      <c r="J23" s="60">
        <f>SUM(J20:J22)</f>
        <v>526.28089999999997</v>
      </c>
      <c r="K23" s="64">
        <f>M23-L23-J23</f>
        <v>56.808349044149736</v>
      </c>
      <c r="L23" s="59">
        <f>SUM(L20:L22)</f>
        <v>313.29457261262792</v>
      </c>
      <c r="M23" s="59">
        <f>H23-N23</f>
        <v>896.38382165677763</v>
      </c>
      <c r="N23" s="60">
        <v>1219.329</v>
      </c>
      <c r="O23" s="36"/>
    </row>
    <row r="24" spans="1:15" ht="16.5" customHeight="1" x14ac:dyDescent="0.2">
      <c r="A24" s="38" t="s">
        <v>65</v>
      </c>
      <c r="B24" s="41"/>
      <c r="C24" s="41"/>
      <c r="D24" s="41"/>
      <c r="E24" s="56"/>
      <c r="F24" s="63"/>
      <c r="G24" s="59">
        <f>(15.577358+28.563629+7.567862)*2.204622/60</f>
        <v>1.8999744350012999</v>
      </c>
      <c r="H24" s="60"/>
      <c r="I24" s="60"/>
      <c r="J24" s="60">
        <f>5.086941*2000/60</f>
        <v>169.56470000000002</v>
      </c>
      <c r="K24" s="64"/>
      <c r="L24" s="59">
        <f>(51.181312+3071.908)*2.204622/60</f>
        <v>114.75385675333442</v>
      </c>
      <c r="M24" s="59"/>
      <c r="N24" s="60"/>
    </row>
    <row r="25" spans="1:15" ht="16.5" customHeight="1" x14ac:dyDescent="0.2">
      <c r="A25" s="38" t="s">
        <v>67</v>
      </c>
      <c r="B25" s="41"/>
      <c r="C25" s="41"/>
      <c r="D25" s="41"/>
      <c r="E25" s="56"/>
      <c r="F25" s="63"/>
      <c r="G25" s="59">
        <f>(6.41109+44.056455+8.383665)*2.204622/60</f>
        <v>2.1624112048770003</v>
      </c>
      <c r="H25" s="60"/>
      <c r="I25" s="60"/>
      <c r="J25" s="60">
        <f>5.365828*2000/60</f>
        <v>178.86093333333332</v>
      </c>
      <c r="K25" s="64"/>
      <c r="L25" s="59">
        <f>(68.729166+3356.567)*2.204622/60</f>
        <v>125.8580547346542</v>
      </c>
      <c r="M25" s="59"/>
      <c r="N25" s="60"/>
    </row>
    <row r="26" spans="1:15" ht="16.5" customHeight="1" x14ac:dyDescent="0.2">
      <c r="A26" s="38" t="s">
        <v>68</v>
      </c>
      <c r="B26" s="41"/>
      <c r="C26" s="41"/>
      <c r="D26" s="41"/>
      <c r="E26" s="56"/>
      <c r="F26" s="63"/>
      <c r="G26" s="59">
        <f>(2.001159+12.689128+5.753656)*2.204622/60</f>
        <v>0.75118610840910016</v>
      </c>
      <c r="H26" s="60"/>
      <c r="I26" s="60"/>
      <c r="J26" s="60">
        <f>5.088884*2000/60</f>
        <v>169.62946666666667</v>
      </c>
      <c r="K26" s="64"/>
      <c r="L26" s="59">
        <f>(72.96862+3315.98)*2.204622/60</f>
        <v>124.52251140869402</v>
      </c>
      <c r="M26" s="59"/>
      <c r="N26" s="60"/>
    </row>
    <row r="27" spans="1:15" ht="16.5" customHeight="1" x14ac:dyDescent="0.2">
      <c r="A27" s="65" t="s">
        <v>82</v>
      </c>
      <c r="B27" s="41"/>
      <c r="C27" s="41"/>
      <c r="D27" s="41"/>
      <c r="E27" s="56">
        <f>N23</f>
        <v>1219.329</v>
      </c>
      <c r="F27" s="63"/>
      <c r="G27" s="59">
        <f>SUM(G24:G26)</f>
        <v>4.8135717482874005</v>
      </c>
      <c r="H27" s="60">
        <f>SUM(E27:G27)</f>
        <v>1224.1425717482873</v>
      </c>
      <c r="I27" s="60"/>
      <c r="J27" s="60">
        <f>SUM(J24:J26)</f>
        <v>518.05510000000004</v>
      </c>
      <c r="K27" s="64">
        <f>M27-L27-J27</f>
        <v>-97.151951148395369</v>
      </c>
      <c r="L27" s="59">
        <f>SUM(L24:L26)</f>
        <v>365.13442289668262</v>
      </c>
      <c r="M27" s="59">
        <f>+H27-N27</f>
        <v>786.03757174828729</v>
      </c>
      <c r="N27" s="60">
        <v>438.10500000000002</v>
      </c>
    </row>
    <row r="28" spans="1:15" ht="16.5" customHeight="1" x14ac:dyDescent="0.2">
      <c r="A28" s="38" t="s">
        <v>38</v>
      </c>
      <c r="B28" s="41"/>
      <c r="C28" s="41"/>
      <c r="D28" s="41"/>
      <c r="E28" s="56"/>
      <c r="F28" s="63">
        <f>F15+F19+F23+F27</f>
        <v>4411.6329999999998</v>
      </c>
      <c r="G28" s="59">
        <f>G15+G19+G23+G27</f>
        <v>21.810493401452703</v>
      </c>
      <c r="H28" s="60">
        <f>E15+F28+G28</f>
        <v>4735.0384934014528</v>
      </c>
      <c r="I28" s="60"/>
      <c r="J28" s="60">
        <f>J15+J19+J23+J27</f>
        <v>2054.9319999999998</v>
      </c>
      <c r="K28" s="64">
        <f>K15+K19+K23+K27</f>
        <v>108.27121481621845</v>
      </c>
      <c r="L28" s="59">
        <f>L15+L19+L23+L27</f>
        <v>2133.7302785852339</v>
      </c>
      <c r="M28" s="59">
        <f>M15+M19+M23+M27</f>
        <v>4296.9334934014523</v>
      </c>
      <c r="N28" s="60"/>
    </row>
    <row r="29" spans="1:15" ht="16.5" customHeight="1" x14ac:dyDescent="0.2">
      <c r="A29" s="41"/>
      <c r="B29" s="41"/>
      <c r="C29" s="41"/>
      <c r="D29" s="41"/>
      <c r="E29" s="56"/>
      <c r="F29" s="58"/>
      <c r="G29" s="59"/>
      <c r="H29" s="60"/>
      <c r="I29" s="60"/>
      <c r="J29" s="60"/>
      <c r="K29" s="61"/>
      <c r="L29" s="59"/>
      <c r="M29" s="59"/>
      <c r="N29" s="62"/>
    </row>
    <row r="30" spans="1:15" ht="16.5" customHeight="1" x14ac:dyDescent="0.2">
      <c r="A30" s="38" t="s">
        <v>163</v>
      </c>
      <c r="B30" s="41"/>
      <c r="C30" s="41"/>
      <c r="D30" s="41"/>
      <c r="E30" s="56"/>
      <c r="F30" s="58"/>
      <c r="G30" s="59"/>
      <c r="H30" s="60"/>
      <c r="I30" s="60"/>
      <c r="J30" s="60"/>
      <c r="K30" s="61"/>
      <c r="L30" s="59"/>
      <c r="M30" s="59"/>
      <c r="N30" s="62"/>
    </row>
    <row r="31" spans="1:15" ht="16.5" customHeight="1" x14ac:dyDescent="0.2">
      <c r="A31" s="41" t="s">
        <v>102</v>
      </c>
      <c r="B31" s="41"/>
      <c r="C31" s="41"/>
      <c r="D31" s="41"/>
      <c r="F31" s="58"/>
      <c r="G31" s="59">
        <f>(2.816098+19.605255+5.608301)*2.204622/60</f>
        <v>1.0299131976797999</v>
      </c>
      <c r="H31" s="60"/>
      <c r="I31" s="60"/>
      <c r="J31" s="60">
        <f>5.08948*2000/60</f>
        <v>169.64933333333332</v>
      </c>
      <c r="K31" s="61"/>
      <c r="L31" s="59">
        <f>(121.600804+3213.822)*2.204622/60</f>
        <v>122.55577488333482</v>
      </c>
      <c r="M31" s="59"/>
      <c r="N31" s="62"/>
    </row>
    <row r="32" spans="1:15" ht="16.5" customHeight="1" x14ac:dyDescent="0.2">
      <c r="A32" s="41" t="s">
        <v>108</v>
      </c>
      <c r="B32" s="41"/>
      <c r="C32" s="41"/>
      <c r="D32" s="41"/>
      <c r="E32" s="56"/>
      <c r="F32" s="58"/>
      <c r="G32" s="59">
        <f>(3.31633+14.647271+3.156869)*2.204622/60</f>
        <v>0.77604421353900011</v>
      </c>
      <c r="H32" s="60"/>
      <c r="I32" s="60"/>
      <c r="J32" s="60">
        <f>5.506753*2000/60</f>
        <v>183.55843333333331</v>
      </c>
      <c r="K32" s="61"/>
      <c r="L32" s="59">
        <f>(124.374731+5333.268)*2.204622/60</f>
        <v>200.5339872150447</v>
      </c>
      <c r="M32" s="59"/>
      <c r="N32" s="62"/>
    </row>
    <row r="33" spans="1:73" ht="16.5" customHeight="1" x14ac:dyDescent="0.2">
      <c r="A33" s="41" t="s">
        <v>110</v>
      </c>
      <c r="B33" s="145"/>
      <c r="C33" s="145"/>
      <c r="D33" s="145"/>
      <c r="E33" s="145"/>
      <c r="F33" s="145"/>
      <c r="G33" s="59">
        <f>(1.859426+43.030142+5.079898)*2.204622/60</f>
        <v>1.8360630678641998</v>
      </c>
      <c r="H33" s="60"/>
      <c r="I33" s="145"/>
      <c r="J33" s="60">
        <f>5.343053*2000/60</f>
        <v>178.10176666666666</v>
      </c>
      <c r="K33" s="145"/>
      <c r="L33" s="59">
        <f>(169.194848+4710.15)*2.204622/60</f>
        <v>179.2851832914576</v>
      </c>
      <c r="M33" s="145"/>
      <c r="N33" s="145"/>
    </row>
    <row r="34" spans="1:73" ht="16.5" customHeight="1" x14ac:dyDescent="0.2">
      <c r="A34" s="41" t="s">
        <v>79</v>
      </c>
      <c r="B34" s="145"/>
      <c r="C34" s="145"/>
      <c r="D34" s="145"/>
      <c r="E34" s="56">
        <f>N27</f>
        <v>438.10500000000002</v>
      </c>
      <c r="F34" s="58">
        <v>4543.8829999999998</v>
      </c>
      <c r="G34" s="59">
        <f>G31+G32+G33</f>
        <v>3.642020479083</v>
      </c>
      <c r="H34" s="60">
        <f>SUM(E34:G34)</f>
        <v>4985.6300204790823</v>
      </c>
      <c r="I34" s="145"/>
      <c r="J34" s="60">
        <f>J31+J32+J33</f>
        <v>531.30953333333332</v>
      </c>
      <c r="K34" s="61">
        <f>M34-L34-J34</f>
        <v>206.12154175591172</v>
      </c>
      <c r="L34" s="59">
        <f>L31+L32+L33</f>
        <v>502.37494538983714</v>
      </c>
      <c r="M34" s="59">
        <f>H34-N34</f>
        <v>1239.8060204790822</v>
      </c>
      <c r="N34" s="60">
        <v>3745.8240000000001</v>
      </c>
    </row>
    <row r="35" spans="1:73" ht="16.5" customHeight="1" x14ac:dyDescent="0.2">
      <c r="A35" s="38" t="s">
        <v>111</v>
      </c>
      <c r="B35" s="145"/>
      <c r="C35" s="145"/>
      <c r="D35" s="145"/>
      <c r="E35" s="56"/>
      <c r="F35" s="58"/>
      <c r="G35" s="59">
        <f>(0.250128+23.870515+6.809791)*2.204622/60</f>
        <v>1.1364985877658</v>
      </c>
      <c r="H35" s="60"/>
      <c r="I35" s="145"/>
      <c r="J35" s="60">
        <f>5.513266*2000/60</f>
        <v>183.77553333333333</v>
      </c>
      <c r="K35" s="145"/>
      <c r="L35" s="59">
        <f>(167.796097+3846.683)*2.204622/60</f>
        <v>147.50681559643891</v>
      </c>
      <c r="M35" s="145"/>
      <c r="N35" s="145"/>
    </row>
    <row r="36" spans="1:73" ht="16.5" customHeight="1" x14ac:dyDescent="0.2">
      <c r="A36" s="38" t="s">
        <v>112</v>
      </c>
      <c r="B36" s="145"/>
      <c r="C36" s="145"/>
      <c r="D36" s="145"/>
      <c r="E36" s="56"/>
      <c r="F36" s="58"/>
      <c r="G36" s="59">
        <f>(1.028736+20.235107+6.406535)*2.204622/60</f>
        <v>1.0167120681185999</v>
      </c>
      <c r="H36" s="60"/>
      <c r="I36" s="145"/>
      <c r="J36" s="60">
        <f>5.492127*2000/60</f>
        <v>183.07090000000002</v>
      </c>
      <c r="K36" s="145"/>
      <c r="L36" s="59">
        <f>(84.586634+4743.657)*2.204622/60</f>
        <v>177.40753561460582</v>
      </c>
      <c r="M36" s="145"/>
      <c r="N36" s="145"/>
    </row>
    <row r="37" spans="1:73" ht="16.5" customHeight="1" x14ac:dyDescent="0.2">
      <c r="A37" s="38" t="s">
        <v>113</v>
      </c>
      <c r="B37" s="145"/>
      <c r="C37" s="145"/>
      <c r="D37" s="145"/>
      <c r="E37" s="56"/>
      <c r="F37" s="58"/>
      <c r="G37" s="59">
        <f>(0.546152+34.232142+5.00264)*2.204622/60</f>
        <v>1.4616987046158001</v>
      </c>
      <c r="H37" s="60"/>
      <c r="I37" s="145"/>
      <c r="J37" s="60">
        <f>4.883434*2000/60</f>
        <v>162.78113333333334</v>
      </c>
      <c r="K37" s="145"/>
      <c r="L37" s="59">
        <f>(56.036225+4521.322)*2.204622/60</f>
        <v>168.18907741193249</v>
      </c>
      <c r="M37" s="145"/>
      <c r="N37" s="145"/>
    </row>
    <row r="38" spans="1:73" ht="16.5" customHeight="1" x14ac:dyDescent="0.2">
      <c r="A38" s="38" t="s">
        <v>80</v>
      </c>
      <c r="B38" s="145"/>
      <c r="C38" s="145"/>
      <c r="D38" s="145"/>
      <c r="E38" s="56">
        <f>N34</f>
        <v>3745.8240000000001</v>
      </c>
      <c r="F38" s="58"/>
      <c r="G38" s="59">
        <f>SUM(G35:G37)</f>
        <v>3.6149093605001998</v>
      </c>
      <c r="H38" s="60">
        <f>E38+F38+G38</f>
        <v>3749.4389093605005</v>
      </c>
      <c r="I38" s="145"/>
      <c r="J38" s="60">
        <f>SUM(J35:J37)</f>
        <v>529.62756666666678</v>
      </c>
      <c r="K38" s="61">
        <f>M38-L38-J38</f>
        <v>-0.36108592914342807</v>
      </c>
      <c r="L38" s="59">
        <f>SUM(L35:L37)</f>
        <v>493.10342862297722</v>
      </c>
      <c r="M38" s="59">
        <f>H38-N38</f>
        <v>1022.3699093605005</v>
      </c>
      <c r="N38" s="60">
        <v>2727.069</v>
      </c>
    </row>
    <row r="39" spans="1:73" ht="16.5" customHeight="1" x14ac:dyDescent="0.2">
      <c r="A39" s="38" t="s">
        <v>114</v>
      </c>
      <c r="B39" s="145"/>
      <c r="C39" s="145"/>
      <c r="D39" s="145"/>
      <c r="E39" s="56"/>
      <c r="F39" s="58"/>
      <c r="G39" s="59">
        <v>1.4917554186527999</v>
      </c>
      <c r="H39" s="60"/>
      <c r="I39" s="145"/>
      <c r="J39" s="60">
        <f>5.383008*2000/60</f>
        <v>179.43359999999998</v>
      </c>
      <c r="K39" s="162"/>
      <c r="L39" s="59">
        <v>136.19169183827341</v>
      </c>
      <c r="M39" s="162"/>
      <c r="N39" s="145"/>
    </row>
    <row r="40" spans="1:73" ht="16.5" customHeight="1" x14ac:dyDescent="0.2">
      <c r="A40" s="38" t="s">
        <v>115</v>
      </c>
      <c r="B40" s="145"/>
      <c r="C40" s="145"/>
      <c r="D40" s="145"/>
      <c r="E40" s="56"/>
      <c r="F40" s="58"/>
      <c r="G40" s="59">
        <f>(9.421895+24.904466+8.271368)*2.204622/60</f>
        <v>1.5651981750573001</v>
      </c>
      <c r="H40" s="60"/>
      <c r="I40" s="145"/>
      <c r="J40" s="60">
        <f>5.146403*2000/60</f>
        <v>171.54676666666668</v>
      </c>
      <c r="K40" s="64"/>
      <c r="L40" s="59">
        <f>(114.437871+2284.81)*2.204622/60</f>
        <v>88.157243997662718</v>
      </c>
      <c r="M40" s="59"/>
      <c r="N40" s="145"/>
    </row>
    <row r="41" spans="1:73" ht="16.5" customHeight="1" x14ac:dyDescent="0.2">
      <c r="A41" s="38" t="s">
        <v>116</v>
      </c>
      <c r="B41" s="145"/>
      <c r="C41" s="145"/>
      <c r="D41" s="145"/>
      <c r="E41" s="56"/>
      <c r="F41" s="58"/>
      <c r="G41" s="59">
        <f>(3.384561+5.982905+8.068079)*2.204622/60</f>
        <v>0.64064643481650008</v>
      </c>
      <c r="H41" s="60"/>
      <c r="I41" s="145"/>
      <c r="J41" s="60">
        <f>4.963271*2000/60</f>
        <v>165.44236666666666</v>
      </c>
      <c r="K41" s="64"/>
      <c r="L41" s="59">
        <f>(46.958948+2513.478)*2.204622/60</f>
        <v>94.079927086227599</v>
      </c>
      <c r="M41" s="59"/>
      <c r="N41" s="145"/>
    </row>
    <row r="42" spans="1:73" ht="16.5" customHeight="1" x14ac:dyDescent="0.2">
      <c r="A42" s="38" t="s">
        <v>81</v>
      </c>
      <c r="B42" s="41"/>
      <c r="C42" s="41"/>
      <c r="D42" s="41"/>
      <c r="E42" s="56">
        <f>N38</f>
        <v>2727.069</v>
      </c>
      <c r="F42" s="63"/>
      <c r="G42" s="59">
        <f>SUM(G39:G41)</f>
        <v>3.6976000285265997</v>
      </c>
      <c r="H42" s="60">
        <f>E42+F42+G42</f>
        <v>2730.7666000285267</v>
      </c>
      <c r="I42" s="60"/>
      <c r="J42" s="60">
        <f>SUM(J39:J41)</f>
        <v>516.42273333333333</v>
      </c>
      <c r="K42" s="64">
        <f>M42-L42-J42</f>
        <v>105.93400377302964</v>
      </c>
      <c r="L42" s="59">
        <f>SUM(L39:L41)</f>
        <v>318.42886292216372</v>
      </c>
      <c r="M42" s="59">
        <f>H42-N42</f>
        <v>940.78560002852669</v>
      </c>
      <c r="N42" s="60">
        <v>1789.981</v>
      </c>
    </row>
    <row r="43" spans="1:73" ht="16.5" customHeight="1" x14ac:dyDescent="0.2">
      <c r="A43" s="38" t="s">
        <v>65</v>
      </c>
      <c r="B43" s="41"/>
      <c r="C43" s="41"/>
      <c r="D43" s="41"/>
      <c r="E43" s="56"/>
      <c r="F43" s="63"/>
      <c r="G43" s="59">
        <f>(3.38003+9.702628+7.332598)*2.204622/60</f>
        <v>0.75013204188720006</v>
      </c>
      <c r="H43" s="60"/>
      <c r="I43" s="60"/>
      <c r="J43" s="60">
        <f>4.729137*2000/60</f>
        <v>157.6379</v>
      </c>
      <c r="K43" s="64"/>
      <c r="L43" s="59">
        <f>(32.219152+3161.333)*2.204622/60</f>
        <v>117.34292220744241</v>
      </c>
      <c r="M43" s="59"/>
      <c r="N43" s="60"/>
    </row>
    <row r="44" spans="1:73" ht="16.5" customHeight="1" x14ac:dyDescent="0.2">
      <c r="A44" s="37" t="s">
        <v>164</v>
      </c>
      <c r="B44" s="135"/>
      <c r="C44" s="135"/>
      <c r="D44" s="135"/>
      <c r="E44" s="135"/>
      <c r="F44" s="153">
        <f>F34</f>
        <v>4543.8829999999998</v>
      </c>
      <c r="G44" s="66">
        <f>G34+G38+G42+G43</f>
        <v>11.704661909997</v>
      </c>
      <c r="H44" s="137">
        <f>E34+F44+G44</f>
        <v>4993.6926619099968</v>
      </c>
      <c r="I44" s="163"/>
      <c r="J44" s="137">
        <f>J34+J38+J42+J43</f>
        <v>1734.9977333333334</v>
      </c>
      <c r="K44" s="137">
        <f>K34+K38+K42</f>
        <v>311.69445959979794</v>
      </c>
      <c r="L44" s="66">
        <f>L34+L38+L42+L43</f>
        <v>1431.2501591424204</v>
      </c>
      <c r="M44" s="66">
        <f t="shared" ref="M44" si="4">M34+M38+M42</f>
        <v>3202.9615298681092</v>
      </c>
      <c r="N44" s="135"/>
    </row>
    <row r="45" spans="1:73" ht="16.5" customHeight="1" x14ac:dyDescent="0.2">
      <c r="A45" s="67" t="s">
        <v>167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68"/>
      <c r="M45" s="41"/>
      <c r="N45" s="41"/>
    </row>
    <row r="46" spans="1:73" ht="16.5" customHeight="1" x14ac:dyDescent="0.2">
      <c r="A46" s="38" t="s">
        <v>124</v>
      </c>
      <c r="B46" s="38"/>
      <c r="C46" s="38"/>
      <c r="D46" s="38"/>
      <c r="E46" s="69"/>
      <c r="F46" s="69"/>
      <c r="G46" s="69"/>
      <c r="H46" s="69"/>
      <c r="I46" s="69"/>
      <c r="J46" s="69"/>
      <c r="K46" s="69"/>
      <c r="L46" s="69"/>
      <c r="M46" s="69"/>
      <c r="N46" s="69"/>
    </row>
    <row r="47" spans="1:73" ht="16.5" customHeight="1" x14ac:dyDescent="0.2">
      <c r="A47" s="70" t="s">
        <v>77</v>
      </c>
      <c r="B47" s="38"/>
      <c r="C47" s="38"/>
      <c r="D47" s="38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</row>
    <row r="48" spans="1:73" ht="16.5" customHeight="1" x14ac:dyDescent="0.2">
      <c r="A48" s="38" t="s">
        <v>26</v>
      </c>
      <c r="B48" s="71">
        <f ca="1">NOW()</f>
        <v>43691.380418287037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</row>
    <row r="49" spans="6:73" x14ac:dyDescent="0.2"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</row>
    <row r="50" spans="6:73" x14ac:dyDescent="0.2"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</row>
    <row r="51" spans="6:73" x14ac:dyDescent="0.2"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</row>
    <row r="52" spans="6:73" x14ac:dyDescent="0.2">
      <c r="F52" s="15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</row>
    <row r="53" spans="6:73" x14ac:dyDescent="0.2"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</row>
    <row r="54" spans="6:73" x14ac:dyDescent="0.2"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</row>
    <row r="55" spans="6:73" x14ac:dyDescent="0.2"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</row>
    <row r="56" spans="6:73" x14ac:dyDescent="0.2"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</row>
    <row r="57" spans="6:73" x14ac:dyDescent="0.2"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</row>
    <row r="58" spans="6:73" x14ac:dyDescent="0.2"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</row>
    <row r="59" spans="6:73" x14ac:dyDescent="0.2"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</row>
    <row r="60" spans="6:73" x14ac:dyDescent="0.2"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</row>
    <row r="61" spans="6:73" x14ac:dyDescent="0.2"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</row>
    <row r="62" spans="6:73" x14ac:dyDescent="0.2"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</row>
    <row r="63" spans="6:73" x14ac:dyDescent="0.2"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</row>
    <row r="64" spans="6:73" x14ac:dyDescent="0.2"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</row>
    <row r="65" spans="15:73" x14ac:dyDescent="0.2"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</row>
    <row r="66" spans="15:73" x14ac:dyDescent="0.2"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</row>
    <row r="67" spans="15:73" x14ac:dyDescent="0.2"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</row>
    <row r="68" spans="15:73" x14ac:dyDescent="0.2"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</row>
    <row r="69" spans="15:73" x14ac:dyDescent="0.2"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</row>
    <row r="70" spans="15:73" x14ac:dyDescent="0.2"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</row>
    <row r="71" spans="15:73" x14ac:dyDescent="0.2"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</row>
    <row r="72" spans="15:73" x14ac:dyDescent="0.2"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</row>
    <row r="73" spans="15:73" x14ac:dyDescent="0.2"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</row>
    <row r="74" spans="15:73" x14ac:dyDescent="0.2"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</row>
    <row r="75" spans="15:73" x14ac:dyDescent="0.2"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</row>
    <row r="76" spans="15:73" x14ac:dyDescent="0.2"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</row>
    <row r="77" spans="15:73" x14ac:dyDescent="0.2"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</row>
    <row r="78" spans="15:73" x14ac:dyDescent="0.2"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</row>
    <row r="79" spans="15:73" x14ac:dyDescent="0.2"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</row>
    <row r="80" spans="15:73" x14ac:dyDescent="0.2"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</row>
    <row r="81" spans="15:73" x14ac:dyDescent="0.2"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</row>
    <row r="82" spans="15:73" x14ac:dyDescent="0.2"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</row>
    <row r="83" spans="15:73" x14ac:dyDescent="0.2"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</row>
    <row r="84" spans="15:73" x14ac:dyDescent="0.2"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</row>
    <row r="85" spans="15:73" x14ac:dyDescent="0.2"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</row>
    <row r="86" spans="15:73" x14ac:dyDescent="0.2"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</row>
    <row r="87" spans="15:73" x14ac:dyDescent="0.2"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</row>
    <row r="88" spans="15:73" x14ac:dyDescent="0.2"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</row>
    <row r="89" spans="15:73" x14ac:dyDescent="0.2"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</row>
    <row r="90" spans="15:73" x14ac:dyDescent="0.2"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</row>
    <row r="91" spans="15:73" x14ac:dyDescent="0.2"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</row>
    <row r="92" spans="15:73" x14ac:dyDescent="0.2"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</row>
    <row r="93" spans="15:73" x14ac:dyDescent="0.2"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</row>
    <row r="94" spans="15:73" x14ac:dyDescent="0.2"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</row>
    <row r="95" spans="15:73" x14ac:dyDescent="0.2"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</row>
    <row r="96" spans="15:73" x14ac:dyDescent="0.2"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</row>
    <row r="97" spans="15:73" x14ac:dyDescent="0.2"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</row>
    <row r="98" spans="15:73" x14ac:dyDescent="0.2"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</row>
    <row r="99" spans="15:73" x14ac:dyDescent="0.2"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</row>
    <row r="100" spans="15:73" x14ac:dyDescent="0.2"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</row>
    <row r="101" spans="15:73" x14ac:dyDescent="0.2"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</row>
    <row r="102" spans="15:73" x14ac:dyDescent="0.2"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</row>
    <row r="103" spans="15:73" x14ac:dyDescent="0.2"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</row>
    <row r="104" spans="15:73" x14ac:dyDescent="0.2"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</row>
    <row r="105" spans="15:73" x14ac:dyDescent="0.2"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</row>
    <row r="106" spans="15:73" x14ac:dyDescent="0.2"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</row>
    <row r="107" spans="15:73" x14ac:dyDescent="0.2"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</row>
    <row r="108" spans="15:73" x14ac:dyDescent="0.2"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</row>
    <row r="109" spans="15:73" x14ac:dyDescent="0.2"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</row>
    <row r="110" spans="15:73" x14ac:dyDescent="0.2"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</row>
    <row r="111" spans="15:73" x14ac:dyDescent="0.2"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</row>
    <row r="112" spans="15:73" x14ac:dyDescent="0.2"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</row>
    <row r="113" spans="15:73" x14ac:dyDescent="0.2"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</row>
    <row r="114" spans="15:73" x14ac:dyDescent="0.2"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</row>
    <row r="115" spans="15:73" x14ac:dyDescent="0.2"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</row>
    <row r="116" spans="15:73" x14ac:dyDescent="0.2"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</row>
    <row r="117" spans="15:73" x14ac:dyDescent="0.2"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</row>
    <row r="118" spans="15:73" x14ac:dyDescent="0.2"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</row>
    <row r="119" spans="15:73" x14ac:dyDescent="0.2"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</row>
    <row r="120" spans="15:73" x14ac:dyDescent="0.2"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</row>
    <row r="121" spans="15:73" x14ac:dyDescent="0.2"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</row>
    <row r="122" spans="15:73" x14ac:dyDescent="0.2"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</row>
    <row r="123" spans="15:73" x14ac:dyDescent="0.2"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</row>
    <row r="124" spans="15:73" x14ac:dyDescent="0.2"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</row>
    <row r="125" spans="15:73" x14ac:dyDescent="0.2"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</row>
    <row r="126" spans="15:73" x14ac:dyDescent="0.2"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</row>
    <row r="127" spans="15:73" x14ac:dyDescent="0.2"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</row>
    <row r="128" spans="15:73" x14ac:dyDescent="0.2"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</row>
    <row r="129" spans="15:73" x14ac:dyDescent="0.2"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</row>
    <row r="130" spans="15:73" x14ac:dyDescent="0.2"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</row>
    <row r="131" spans="15:73" x14ac:dyDescent="0.2"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</row>
    <row r="132" spans="15:73" x14ac:dyDescent="0.2"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</row>
    <row r="133" spans="15:73" x14ac:dyDescent="0.2"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</row>
    <row r="134" spans="15:73" x14ac:dyDescent="0.2"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</row>
    <row r="135" spans="15:73" x14ac:dyDescent="0.2"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</row>
    <row r="136" spans="15:73" x14ac:dyDescent="0.2"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</row>
    <row r="137" spans="15:73" x14ac:dyDescent="0.2"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</row>
    <row r="138" spans="15:73" x14ac:dyDescent="0.2"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</row>
    <row r="139" spans="15:73" x14ac:dyDescent="0.2"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</row>
    <row r="140" spans="15:73" x14ac:dyDescent="0.2"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</row>
    <row r="141" spans="15:73" x14ac:dyDescent="0.2"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</row>
    <row r="142" spans="15:73" x14ac:dyDescent="0.2"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</row>
    <row r="143" spans="15:73" x14ac:dyDescent="0.2"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</row>
    <row r="144" spans="15:73" x14ac:dyDescent="0.2"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</row>
    <row r="145" spans="15:73" x14ac:dyDescent="0.2"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</row>
    <row r="146" spans="15:73" x14ac:dyDescent="0.2"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</row>
    <row r="147" spans="15:73" x14ac:dyDescent="0.2"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</row>
    <row r="148" spans="15:73" x14ac:dyDescent="0.2"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</row>
    <row r="149" spans="15:73" x14ac:dyDescent="0.2"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</row>
    <row r="150" spans="15:73" x14ac:dyDescent="0.2"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</row>
    <row r="151" spans="15:73" x14ac:dyDescent="0.2"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</row>
    <row r="152" spans="15:73" x14ac:dyDescent="0.2"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</row>
    <row r="153" spans="15:73" x14ac:dyDescent="0.2"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</row>
    <row r="154" spans="15:73" x14ac:dyDescent="0.2"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</row>
    <row r="155" spans="15:73" x14ac:dyDescent="0.2"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</row>
    <row r="156" spans="15:73" x14ac:dyDescent="0.2"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</row>
    <row r="157" spans="15:73" x14ac:dyDescent="0.2"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</row>
    <row r="158" spans="15:73" x14ac:dyDescent="0.2"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</row>
    <row r="159" spans="15:73" x14ac:dyDescent="0.2"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</row>
    <row r="160" spans="15:73" x14ac:dyDescent="0.2"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</row>
    <row r="161" spans="15:73" x14ac:dyDescent="0.2"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</row>
    <row r="162" spans="15:73" x14ac:dyDescent="0.2"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</row>
    <row r="163" spans="15:73" x14ac:dyDescent="0.2"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</row>
    <row r="164" spans="15:73" x14ac:dyDescent="0.2"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</row>
    <row r="165" spans="15:73" x14ac:dyDescent="0.2"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</row>
    <row r="166" spans="15:73" x14ac:dyDescent="0.2"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</row>
    <row r="167" spans="15:73" x14ac:dyDescent="0.2"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</row>
    <row r="168" spans="15:73" x14ac:dyDescent="0.2"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</row>
    <row r="169" spans="15:73" x14ac:dyDescent="0.2"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</row>
    <row r="170" spans="15:73" x14ac:dyDescent="0.2"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</row>
    <row r="171" spans="15:73" x14ac:dyDescent="0.2"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</row>
    <row r="172" spans="15:73" x14ac:dyDescent="0.2"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</row>
    <row r="173" spans="15:73" x14ac:dyDescent="0.2"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</row>
    <row r="174" spans="15:73" x14ac:dyDescent="0.2"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</row>
    <row r="175" spans="15:73" x14ac:dyDescent="0.2"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</row>
    <row r="176" spans="15:73" x14ac:dyDescent="0.2"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</row>
    <row r="177" spans="15:73" x14ac:dyDescent="0.2"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</row>
    <row r="178" spans="15:73" x14ac:dyDescent="0.2"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</row>
    <row r="179" spans="15:73" x14ac:dyDescent="0.2"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</row>
    <row r="180" spans="15:73" x14ac:dyDescent="0.2"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</row>
    <row r="181" spans="15:73" x14ac:dyDescent="0.2"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</row>
    <row r="182" spans="15:73" x14ac:dyDescent="0.2"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</row>
    <row r="183" spans="15:73" x14ac:dyDescent="0.2"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</row>
    <row r="184" spans="15:73" x14ac:dyDescent="0.2"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</row>
    <row r="185" spans="15:73" x14ac:dyDescent="0.2"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</row>
    <row r="186" spans="15:73" x14ac:dyDescent="0.2"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</row>
    <row r="187" spans="15:73" x14ac:dyDescent="0.2"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</row>
    <row r="188" spans="15:73" x14ac:dyDescent="0.2"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</row>
    <row r="189" spans="15:73" x14ac:dyDescent="0.2"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</row>
    <row r="190" spans="15:73" x14ac:dyDescent="0.2"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</row>
    <row r="191" spans="15:73" x14ac:dyDescent="0.2"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</row>
    <row r="192" spans="15:73" x14ac:dyDescent="0.2"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</row>
    <row r="193" spans="15:73" x14ac:dyDescent="0.2"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</row>
    <row r="194" spans="15:73" x14ac:dyDescent="0.2"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</row>
    <row r="195" spans="15:73" x14ac:dyDescent="0.2"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</row>
    <row r="196" spans="15:73" x14ac:dyDescent="0.2"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</row>
    <row r="197" spans="15:73" x14ac:dyDescent="0.2"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</row>
    <row r="198" spans="15:73" x14ac:dyDescent="0.2"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</row>
    <row r="199" spans="15:73" x14ac:dyDescent="0.2"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</row>
    <row r="200" spans="15:73" x14ac:dyDescent="0.2"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</row>
    <row r="201" spans="15:73" x14ac:dyDescent="0.2"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</row>
    <row r="202" spans="15:73" x14ac:dyDescent="0.2"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</row>
    <row r="203" spans="15:73" x14ac:dyDescent="0.2"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</row>
    <row r="204" spans="15:73" x14ac:dyDescent="0.2"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</row>
    <row r="205" spans="15:73" x14ac:dyDescent="0.2"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</row>
    <row r="206" spans="15:73" x14ac:dyDescent="0.2"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</row>
    <row r="207" spans="15:73" x14ac:dyDescent="0.2"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</row>
    <row r="208" spans="15:73" x14ac:dyDescent="0.2"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</row>
    <row r="209" spans="15:73" x14ac:dyDescent="0.2"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</row>
    <row r="210" spans="15:73" x14ac:dyDescent="0.2"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</row>
    <row r="211" spans="15:73" x14ac:dyDescent="0.2"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</row>
    <row r="212" spans="15:73" x14ac:dyDescent="0.2"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</row>
    <row r="213" spans="15:73" x14ac:dyDescent="0.2"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</row>
    <row r="214" spans="15:73" x14ac:dyDescent="0.2"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</row>
    <row r="215" spans="15:73" x14ac:dyDescent="0.2"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</row>
    <row r="216" spans="15:73" x14ac:dyDescent="0.2"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</row>
    <row r="217" spans="15:73" x14ac:dyDescent="0.2"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</row>
    <row r="218" spans="15:73" x14ac:dyDescent="0.2"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</row>
    <row r="219" spans="15:73" x14ac:dyDescent="0.2"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</row>
    <row r="220" spans="15:73" x14ac:dyDescent="0.2"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</row>
    <row r="221" spans="15:73" x14ac:dyDescent="0.2"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</row>
    <row r="222" spans="15:73" x14ac:dyDescent="0.2"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</row>
    <row r="223" spans="15:73" x14ac:dyDescent="0.2"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</row>
    <row r="224" spans="15:73" x14ac:dyDescent="0.2"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</row>
    <row r="225" spans="15:73" x14ac:dyDescent="0.2"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</row>
    <row r="226" spans="15:73" x14ac:dyDescent="0.2"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</row>
    <row r="227" spans="15:73" x14ac:dyDescent="0.2"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</row>
    <row r="228" spans="15:73" x14ac:dyDescent="0.2"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</row>
    <row r="229" spans="15:73" x14ac:dyDescent="0.2"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</row>
    <row r="230" spans="15:73" x14ac:dyDescent="0.2"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</row>
    <row r="231" spans="15:73" x14ac:dyDescent="0.2"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</row>
    <row r="232" spans="15:73" x14ac:dyDescent="0.2"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</row>
    <row r="233" spans="15:73" x14ac:dyDescent="0.2"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</row>
    <row r="234" spans="15:73" x14ac:dyDescent="0.2"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</row>
    <row r="235" spans="15:73" x14ac:dyDescent="0.2"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</row>
    <row r="236" spans="15:73" x14ac:dyDescent="0.2"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</row>
    <row r="237" spans="15:73" x14ac:dyDescent="0.2"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</row>
    <row r="238" spans="15:73" x14ac:dyDescent="0.2"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</row>
    <row r="239" spans="15:73" x14ac:dyDescent="0.2"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</row>
    <row r="240" spans="15:73" x14ac:dyDescent="0.2"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</row>
    <row r="241" spans="15:73" x14ac:dyDescent="0.2"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</row>
    <row r="242" spans="15:73" x14ac:dyDescent="0.2"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</row>
    <row r="243" spans="15:73" x14ac:dyDescent="0.2"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</row>
    <row r="244" spans="15:73" x14ac:dyDescent="0.2"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</row>
    <row r="245" spans="15:73" x14ac:dyDescent="0.2"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</row>
    <row r="246" spans="15:73" x14ac:dyDescent="0.2"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</row>
    <row r="247" spans="15:73" x14ac:dyDescent="0.2"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</row>
    <row r="248" spans="15:73" x14ac:dyDescent="0.2"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</row>
    <row r="249" spans="15:73" x14ac:dyDescent="0.2"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</row>
    <row r="250" spans="15:73" x14ac:dyDescent="0.2"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</row>
    <row r="251" spans="15:73" x14ac:dyDescent="0.2"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</row>
    <row r="252" spans="15:73" x14ac:dyDescent="0.2"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</row>
    <row r="253" spans="15:73" x14ac:dyDescent="0.2"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</row>
    <row r="254" spans="15:73" x14ac:dyDescent="0.2"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</row>
    <row r="255" spans="15:73" x14ac:dyDescent="0.2"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</row>
    <row r="256" spans="15:73" x14ac:dyDescent="0.2"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</row>
    <row r="257" spans="15:73" x14ac:dyDescent="0.2"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</row>
    <row r="258" spans="15:73" x14ac:dyDescent="0.2"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</row>
    <row r="259" spans="15:73" x14ac:dyDescent="0.2"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</row>
    <row r="260" spans="15:73" x14ac:dyDescent="0.2"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</row>
    <row r="261" spans="15:73" x14ac:dyDescent="0.2"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</row>
    <row r="262" spans="15:73" x14ac:dyDescent="0.2"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</row>
    <row r="263" spans="15:73" x14ac:dyDescent="0.2"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</row>
    <row r="264" spans="15:73" x14ac:dyDescent="0.2"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</row>
    <row r="265" spans="15:73" x14ac:dyDescent="0.2"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</row>
    <row r="266" spans="15:73" x14ac:dyDescent="0.2"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</row>
    <row r="267" spans="15:73" x14ac:dyDescent="0.2"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</row>
    <row r="268" spans="15:73" x14ac:dyDescent="0.2"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</row>
    <row r="269" spans="15:73" x14ac:dyDescent="0.2"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</row>
    <row r="270" spans="15:73" x14ac:dyDescent="0.2"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</row>
    <row r="271" spans="15:73" x14ac:dyDescent="0.2"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</row>
    <row r="272" spans="15:73" x14ac:dyDescent="0.2"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</row>
    <row r="273" spans="15:73" x14ac:dyDescent="0.2"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</row>
    <row r="274" spans="15:73" x14ac:dyDescent="0.2"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</row>
    <row r="275" spans="15:73" x14ac:dyDescent="0.2"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</row>
    <row r="276" spans="15:73" x14ac:dyDescent="0.2"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</row>
    <row r="277" spans="15:73" x14ac:dyDescent="0.2"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</row>
    <row r="278" spans="15:73" x14ac:dyDescent="0.2"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</row>
    <row r="279" spans="15:73" x14ac:dyDescent="0.2"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</row>
    <row r="280" spans="15:73" x14ac:dyDescent="0.2"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</row>
    <row r="281" spans="15:73" x14ac:dyDescent="0.2"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</row>
    <row r="282" spans="15:73" x14ac:dyDescent="0.2"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</row>
    <row r="283" spans="15:73" x14ac:dyDescent="0.2"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</row>
    <row r="284" spans="15:73" x14ac:dyDescent="0.2"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</row>
    <row r="285" spans="15:73" x14ac:dyDescent="0.2"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</row>
    <row r="286" spans="15:73" x14ac:dyDescent="0.2"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</row>
    <row r="287" spans="15:73" x14ac:dyDescent="0.2"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</row>
    <row r="288" spans="15:73" x14ac:dyDescent="0.2"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</row>
    <row r="289" spans="15:73" x14ac:dyDescent="0.2"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</row>
    <row r="290" spans="15:73" x14ac:dyDescent="0.2"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</row>
    <row r="291" spans="15:73" x14ac:dyDescent="0.2"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</row>
    <row r="292" spans="15:73" x14ac:dyDescent="0.2"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</row>
    <row r="293" spans="15:73" x14ac:dyDescent="0.2"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</row>
    <row r="294" spans="15:73" x14ac:dyDescent="0.2"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</row>
    <row r="295" spans="15:73" x14ac:dyDescent="0.2"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</row>
    <row r="296" spans="15:73" x14ac:dyDescent="0.2"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</row>
    <row r="297" spans="15:73" x14ac:dyDescent="0.2"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</row>
    <row r="298" spans="15:73" x14ac:dyDescent="0.2"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</row>
    <row r="299" spans="15:73" x14ac:dyDescent="0.2"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</row>
    <row r="300" spans="15:73" x14ac:dyDescent="0.2"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</row>
    <row r="301" spans="15:73" x14ac:dyDescent="0.2"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</row>
    <row r="302" spans="15:73" x14ac:dyDescent="0.2"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</row>
    <row r="303" spans="15:73" x14ac:dyDescent="0.2"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</row>
    <row r="304" spans="15:73" x14ac:dyDescent="0.2"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</row>
    <row r="305" spans="15:73" x14ac:dyDescent="0.2"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</row>
    <row r="306" spans="15:73" x14ac:dyDescent="0.2"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</row>
    <row r="307" spans="15:73" x14ac:dyDescent="0.2"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</row>
    <row r="308" spans="15:73" x14ac:dyDescent="0.2"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</row>
    <row r="309" spans="15:73" x14ac:dyDescent="0.2"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</row>
    <row r="310" spans="15:73" x14ac:dyDescent="0.2"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</row>
    <row r="311" spans="15:73" x14ac:dyDescent="0.2"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</row>
    <row r="312" spans="15:73" x14ac:dyDescent="0.2"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</row>
    <row r="313" spans="15:73" x14ac:dyDescent="0.2"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</row>
    <row r="314" spans="15:73" x14ac:dyDescent="0.2"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</row>
    <row r="315" spans="15:73" x14ac:dyDescent="0.2"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</row>
    <row r="316" spans="15:73" x14ac:dyDescent="0.2"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</row>
    <row r="317" spans="15:73" x14ac:dyDescent="0.2"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</row>
    <row r="318" spans="15:73" x14ac:dyDescent="0.2"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</row>
    <row r="319" spans="15:73" x14ac:dyDescent="0.2"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</row>
    <row r="320" spans="15:73" x14ac:dyDescent="0.2"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</row>
    <row r="321" spans="15:73" x14ac:dyDescent="0.2"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</row>
    <row r="322" spans="15:73" x14ac:dyDescent="0.2"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</row>
    <row r="323" spans="15:73" x14ac:dyDescent="0.2"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</row>
    <row r="324" spans="15:73" x14ac:dyDescent="0.2"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</row>
    <row r="325" spans="15:73" x14ac:dyDescent="0.2"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</row>
    <row r="326" spans="15:73" x14ac:dyDescent="0.2"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</row>
    <row r="327" spans="15:73" x14ac:dyDescent="0.2"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</row>
    <row r="328" spans="15:73" x14ac:dyDescent="0.2"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</row>
    <row r="329" spans="15:73" x14ac:dyDescent="0.2"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</row>
    <row r="330" spans="15:73" x14ac:dyDescent="0.2"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</row>
    <row r="331" spans="15:73" x14ac:dyDescent="0.2"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</row>
    <row r="332" spans="15:73" x14ac:dyDescent="0.2"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</row>
    <row r="333" spans="15:73" x14ac:dyDescent="0.2"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</row>
    <row r="334" spans="15:73" x14ac:dyDescent="0.2"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</row>
    <row r="335" spans="15:73" x14ac:dyDescent="0.2"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</row>
    <row r="336" spans="15:73" x14ac:dyDescent="0.2"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</row>
    <row r="337" spans="15:73" x14ac:dyDescent="0.2"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</row>
    <row r="338" spans="15:73" x14ac:dyDescent="0.2"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</row>
    <row r="339" spans="15:73" x14ac:dyDescent="0.2"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</row>
    <row r="340" spans="15:73" x14ac:dyDescent="0.2"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</row>
    <row r="341" spans="15:73" x14ac:dyDescent="0.2"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</row>
    <row r="342" spans="15:73" x14ac:dyDescent="0.2"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</row>
    <row r="343" spans="15:73" x14ac:dyDescent="0.2"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</row>
    <row r="344" spans="15:73" x14ac:dyDescent="0.2"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</row>
    <row r="345" spans="15:73" x14ac:dyDescent="0.2"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</row>
    <row r="346" spans="15:73" x14ac:dyDescent="0.2"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</row>
    <row r="347" spans="15:73" x14ac:dyDescent="0.2"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</row>
    <row r="348" spans="15:73" x14ac:dyDescent="0.2"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</row>
    <row r="349" spans="15:73" x14ac:dyDescent="0.2"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</row>
    <row r="350" spans="15:73" x14ac:dyDescent="0.2"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</row>
    <row r="351" spans="15:73" x14ac:dyDescent="0.2"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</row>
    <row r="352" spans="15:73" x14ac:dyDescent="0.2"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</row>
    <row r="353" spans="15:73" x14ac:dyDescent="0.2"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</row>
    <row r="354" spans="15:73" x14ac:dyDescent="0.2"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</row>
    <row r="355" spans="15:73" x14ac:dyDescent="0.2"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</row>
    <row r="356" spans="15:73" x14ac:dyDescent="0.2"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</row>
    <row r="357" spans="15:73" x14ac:dyDescent="0.2"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</row>
    <row r="358" spans="15:73" x14ac:dyDescent="0.2"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</row>
    <row r="359" spans="15:73" x14ac:dyDescent="0.2"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</row>
    <row r="360" spans="15:73" x14ac:dyDescent="0.2"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</row>
    <row r="361" spans="15:73" x14ac:dyDescent="0.2"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</row>
    <row r="362" spans="15:73" x14ac:dyDescent="0.2"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</row>
    <row r="363" spans="15:73" x14ac:dyDescent="0.2"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</row>
    <row r="364" spans="15:73" x14ac:dyDescent="0.2"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</row>
    <row r="365" spans="15:73" x14ac:dyDescent="0.2"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</row>
    <row r="366" spans="15:73" x14ac:dyDescent="0.2"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</row>
    <row r="367" spans="15:73" x14ac:dyDescent="0.2"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</row>
    <row r="368" spans="15:73" x14ac:dyDescent="0.2"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</row>
    <row r="369" spans="15:73" x14ac:dyDescent="0.2"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</row>
    <row r="370" spans="15:73" x14ac:dyDescent="0.2"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</row>
    <row r="371" spans="15:73" x14ac:dyDescent="0.2"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  <c r="BO371" s="10"/>
      <c r="BP371" s="10"/>
      <c r="BQ371" s="10"/>
      <c r="BR371" s="10"/>
      <c r="BS371" s="10"/>
      <c r="BT371" s="10"/>
      <c r="BU371" s="10"/>
    </row>
    <row r="372" spans="15:73" x14ac:dyDescent="0.2"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  <c r="BP372" s="10"/>
      <c r="BQ372" s="10"/>
      <c r="BR372" s="10"/>
      <c r="BS372" s="10"/>
      <c r="BT372" s="10"/>
      <c r="BU372" s="10"/>
    </row>
    <row r="373" spans="15:73" x14ac:dyDescent="0.2"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  <c r="BP373" s="10"/>
      <c r="BQ373" s="10"/>
      <c r="BR373" s="10"/>
      <c r="BS373" s="10"/>
      <c r="BT373" s="10"/>
      <c r="BU373" s="10"/>
    </row>
    <row r="374" spans="15:73" x14ac:dyDescent="0.2"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/>
      <c r="BT374" s="10"/>
      <c r="BU374" s="10"/>
    </row>
    <row r="375" spans="15:73" x14ac:dyDescent="0.2"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  <c r="BP375" s="10"/>
      <c r="BQ375" s="10"/>
      <c r="BR375" s="10"/>
      <c r="BS375" s="10"/>
      <c r="BT375" s="10"/>
      <c r="BU375" s="10"/>
    </row>
    <row r="376" spans="15:73" x14ac:dyDescent="0.2"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  <c r="BP376" s="10"/>
      <c r="BQ376" s="10"/>
      <c r="BR376" s="10"/>
      <c r="BS376" s="10"/>
      <c r="BT376" s="10"/>
      <c r="BU376" s="10"/>
    </row>
    <row r="377" spans="15:73" x14ac:dyDescent="0.2"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0"/>
      <c r="BO377" s="10"/>
      <c r="BP377" s="10"/>
      <c r="BQ377" s="10"/>
      <c r="BR377" s="10"/>
      <c r="BS377" s="10"/>
      <c r="BT377" s="10"/>
      <c r="BU377" s="10"/>
    </row>
    <row r="378" spans="15:73" x14ac:dyDescent="0.2"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0"/>
      <c r="BO378" s="10"/>
      <c r="BP378" s="10"/>
      <c r="BQ378" s="10"/>
      <c r="BR378" s="10"/>
      <c r="BS378" s="10"/>
      <c r="BT378" s="10"/>
      <c r="BU378" s="10"/>
    </row>
    <row r="379" spans="15:73" x14ac:dyDescent="0.2"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0"/>
      <c r="BO379" s="10"/>
      <c r="BP379" s="10"/>
      <c r="BQ379" s="10"/>
      <c r="BR379" s="10"/>
      <c r="BS379" s="10"/>
      <c r="BT379" s="10"/>
      <c r="BU379" s="10"/>
    </row>
    <row r="380" spans="15:73" x14ac:dyDescent="0.2"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0"/>
      <c r="BO380" s="10"/>
      <c r="BP380" s="10"/>
      <c r="BQ380" s="10"/>
      <c r="BR380" s="10"/>
      <c r="BS380" s="10"/>
      <c r="BT380" s="10"/>
      <c r="BU380" s="10"/>
    </row>
    <row r="381" spans="15:73" x14ac:dyDescent="0.2"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0"/>
      <c r="BO381" s="10"/>
      <c r="BP381" s="10"/>
      <c r="BQ381" s="10"/>
      <c r="BR381" s="10"/>
      <c r="BS381" s="10"/>
      <c r="BT381" s="10"/>
      <c r="BU381" s="10"/>
    </row>
    <row r="382" spans="15:73" x14ac:dyDescent="0.2"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0"/>
      <c r="BO382" s="10"/>
      <c r="BP382" s="10"/>
      <c r="BQ382" s="10"/>
      <c r="BR382" s="10"/>
      <c r="BS382" s="10"/>
      <c r="BT382" s="10"/>
      <c r="BU382" s="10"/>
    </row>
    <row r="383" spans="15:73" x14ac:dyDescent="0.2"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0"/>
      <c r="BO383" s="10"/>
      <c r="BP383" s="10"/>
      <c r="BQ383" s="10"/>
      <c r="BR383" s="10"/>
      <c r="BS383" s="10"/>
      <c r="BT383" s="10"/>
      <c r="BU383" s="10"/>
    </row>
    <row r="384" spans="15:73" x14ac:dyDescent="0.2"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0"/>
      <c r="BO384" s="10"/>
      <c r="BP384" s="10"/>
      <c r="BQ384" s="10"/>
      <c r="BR384" s="10"/>
      <c r="BS384" s="10"/>
      <c r="BT384" s="10"/>
      <c r="BU384" s="10"/>
    </row>
    <row r="385" spans="15:73" x14ac:dyDescent="0.2"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0"/>
      <c r="BO385" s="10"/>
      <c r="BP385" s="10"/>
      <c r="BQ385" s="10"/>
      <c r="BR385" s="10"/>
      <c r="BS385" s="10"/>
      <c r="BT385" s="10"/>
      <c r="BU385" s="10"/>
    </row>
    <row r="386" spans="15:73" x14ac:dyDescent="0.2"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0"/>
      <c r="BO386" s="10"/>
      <c r="BP386" s="10"/>
      <c r="BQ386" s="10"/>
      <c r="BR386" s="10"/>
      <c r="BS386" s="10"/>
      <c r="BT386" s="10"/>
      <c r="BU386" s="10"/>
    </row>
    <row r="387" spans="15:73" x14ac:dyDescent="0.2"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0"/>
      <c r="BO387" s="10"/>
      <c r="BP387" s="10"/>
      <c r="BQ387" s="10"/>
      <c r="BR387" s="10"/>
      <c r="BS387" s="10"/>
      <c r="BT387" s="10"/>
      <c r="BU387" s="10"/>
    </row>
    <row r="388" spans="15:73" x14ac:dyDescent="0.2"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  <c r="BM388" s="10"/>
      <c r="BN388" s="10"/>
      <c r="BO388" s="10"/>
      <c r="BP388" s="10"/>
      <c r="BQ388" s="10"/>
      <c r="BR388" s="10"/>
      <c r="BS388" s="10"/>
      <c r="BT388" s="10"/>
      <c r="BU388" s="10"/>
    </row>
    <row r="389" spans="15:73" x14ac:dyDescent="0.2"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  <c r="BM389" s="10"/>
      <c r="BN389" s="10"/>
      <c r="BO389" s="10"/>
      <c r="BP389" s="10"/>
      <c r="BQ389" s="10"/>
      <c r="BR389" s="10"/>
      <c r="BS389" s="10"/>
      <c r="BT389" s="10"/>
      <c r="BU389" s="10"/>
    </row>
    <row r="390" spans="15:73" x14ac:dyDescent="0.2"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  <c r="BM390" s="10"/>
      <c r="BN390" s="10"/>
      <c r="BO390" s="10"/>
      <c r="BP390" s="10"/>
      <c r="BQ390" s="10"/>
      <c r="BR390" s="10"/>
      <c r="BS390" s="10"/>
      <c r="BT390" s="10"/>
      <c r="BU390" s="10"/>
    </row>
    <row r="391" spans="15:73" x14ac:dyDescent="0.2"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  <c r="BM391" s="10"/>
      <c r="BN391" s="10"/>
      <c r="BO391" s="10"/>
      <c r="BP391" s="10"/>
      <c r="BQ391" s="10"/>
      <c r="BR391" s="10"/>
      <c r="BS391" s="10"/>
      <c r="BT391" s="10"/>
      <c r="BU391" s="10"/>
    </row>
    <row r="392" spans="15:73" x14ac:dyDescent="0.2"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0"/>
      <c r="BO392" s="10"/>
      <c r="BP392" s="10"/>
      <c r="BQ392" s="10"/>
      <c r="BR392" s="10"/>
      <c r="BS392" s="10"/>
      <c r="BT392" s="10"/>
      <c r="BU392" s="10"/>
    </row>
    <row r="393" spans="15:73" x14ac:dyDescent="0.2"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0"/>
      <c r="BO393" s="10"/>
      <c r="BP393" s="10"/>
      <c r="BQ393" s="10"/>
      <c r="BR393" s="10"/>
      <c r="BS393" s="10"/>
      <c r="BT393" s="10"/>
      <c r="BU393" s="10"/>
    </row>
    <row r="394" spans="15:73" x14ac:dyDescent="0.2"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  <c r="BO394" s="10"/>
      <c r="BP394" s="10"/>
      <c r="BQ394" s="10"/>
      <c r="BR394" s="10"/>
      <c r="BS394" s="10"/>
      <c r="BT394" s="10"/>
      <c r="BU394" s="10"/>
    </row>
    <row r="395" spans="15:73" x14ac:dyDescent="0.2"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  <c r="BP395" s="10"/>
      <c r="BQ395" s="10"/>
      <c r="BR395" s="10"/>
      <c r="BS395" s="10"/>
      <c r="BT395" s="10"/>
      <c r="BU395" s="10"/>
    </row>
    <row r="396" spans="15:73" x14ac:dyDescent="0.2"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  <c r="BO396" s="10"/>
      <c r="BP396" s="10"/>
      <c r="BQ396" s="10"/>
      <c r="BR396" s="10"/>
      <c r="BS396" s="10"/>
      <c r="BT396" s="10"/>
      <c r="BU396" s="10"/>
    </row>
    <row r="397" spans="15:73" x14ac:dyDescent="0.2"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0"/>
      <c r="BO397" s="10"/>
      <c r="BP397" s="10"/>
      <c r="BQ397" s="10"/>
      <c r="BR397" s="10"/>
      <c r="BS397" s="10"/>
      <c r="BT397" s="10"/>
      <c r="BU397" s="10"/>
    </row>
    <row r="398" spans="15:73" x14ac:dyDescent="0.2"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0"/>
      <c r="BO398" s="10"/>
      <c r="BP398" s="10"/>
      <c r="BQ398" s="10"/>
      <c r="BR398" s="10"/>
      <c r="BS398" s="10"/>
      <c r="BT398" s="10"/>
      <c r="BU398" s="10"/>
    </row>
    <row r="399" spans="15:73" x14ac:dyDescent="0.2"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0"/>
      <c r="BO399" s="10"/>
      <c r="BP399" s="10"/>
      <c r="BQ399" s="10"/>
      <c r="BR399" s="10"/>
      <c r="BS399" s="10"/>
      <c r="BT399" s="10"/>
      <c r="BU399" s="10"/>
    </row>
    <row r="400" spans="15:73" x14ac:dyDescent="0.2"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0"/>
      <c r="BO400" s="10"/>
      <c r="BP400" s="10"/>
      <c r="BQ400" s="10"/>
      <c r="BR400" s="10"/>
      <c r="BS400" s="10"/>
      <c r="BT400" s="10"/>
      <c r="BU400" s="10"/>
    </row>
    <row r="401" spans="15:73" x14ac:dyDescent="0.2"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0"/>
      <c r="BO401" s="10"/>
      <c r="BP401" s="10"/>
      <c r="BQ401" s="10"/>
      <c r="BR401" s="10"/>
      <c r="BS401" s="10"/>
      <c r="BT401" s="10"/>
      <c r="BU401" s="10"/>
    </row>
    <row r="402" spans="15:73" x14ac:dyDescent="0.2"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0"/>
      <c r="BK402" s="10"/>
      <c r="BL402" s="10"/>
      <c r="BM402" s="10"/>
      <c r="BN402" s="10"/>
      <c r="BO402" s="10"/>
      <c r="BP402" s="10"/>
      <c r="BQ402" s="10"/>
      <c r="BR402" s="10"/>
      <c r="BS402" s="10"/>
      <c r="BT402" s="10"/>
      <c r="BU402" s="10"/>
    </row>
    <row r="403" spans="15:73" x14ac:dyDescent="0.2"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0"/>
      <c r="BO403" s="10"/>
      <c r="BP403" s="10"/>
      <c r="BQ403" s="10"/>
      <c r="BR403" s="10"/>
      <c r="BS403" s="10"/>
      <c r="BT403" s="10"/>
      <c r="BU403" s="10"/>
    </row>
    <row r="404" spans="15:73" x14ac:dyDescent="0.2"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  <c r="BM404" s="10"/>
      <c r="BN404" s="10"/>
      <c r="BO404" s="10"/>
      <c r="BP404" s="10"/>
      <c r="BQ404" s="10"/>
      <c r="BR404" s="10"/>
      <c r="BS404" s="10"/>
      <c r="BT404" s="10"/>
      <c r="BU404" s="10"/>
    </row>
    <row r="405" spans="15:73" x14ac:dyDescent="0.2"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0"/>
      <c r="BO405" s="10"/>
      <c r="BP405" s="10"/>
      <c r="BQ405" s="10"/>
      <c r="BR405" s="10"/>
      <c r="BS405" s="10"/>
      <c r="BT405" s="10"/>
      <c r="BU405" s="10"/>
    </row>
    <row r="406" spans="15:73" x14ac:dyDescent="0.2"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0"/>
      <c r="BO406" s="10"/>
      <c r="BP406" s="10"/>
      <c r="BQ406" s="10"/>
      <c r="BR406" s="10"/>
      <c r="BS406" s="10"/>
      <c r="BT406" s="10"/>
      <c r="BU406" s="10"/>
    </row>
    <row r="407" spans="15:73" x14ac:dyDescent="0.2"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0"/>
      <c r="BO407" s="10"/>
      <c r="BP407" s="10"/>
      <c r="BQ407" s="10"/>
      <c r="BR407" s="10"/>
      <c r="BS407" s="10"/>
      <c r="BT407" s="10"/>
      <c r="BU407" s="10"/>
    </row>
    <row r="408" spans="15:73" x14ac:dyDescent="0.2"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  <c r="BP408" s="10"/>
      <c r="BQ408" s="10"/>
      <c r="BR408" s="10"/>
      <c r="BS408" s="10"/>
      <c r="BT408" s="10"/>
      <c r="BU408" s="10"/>
    </row>
    <row r="409" spans="15:73" x14ac:dyDescent="0.2"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  <c r="BP409" s="10"/>
      <c r="BQ409" s="10"/>
      <c r="BR409" s="10"/>
      <c r="BS409" s="10"/>
      <c r="BT409" s="10"/>
      <c r="BU409" s="10"/>
    </row>
    <row r="410" spans="15:73" x14ac:dyDescent="0.2"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  <c r="BP410" s="10"/>
      <c r="BQ410" s="10"/>
      <c r="BR410" s="10"/>
      <c r="BS410" s="10"/>
      <c r="BT410" s="10"/>
      <c r="BU410" s="10"/>
    </row>
    <row r="411" spans="15:73" x14ac:dyDescent="0.2"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  <c r="BP411" s="10"/>
      <c r="BQ411" s="10"/>
      <c r="BR411" s="10"/>
      <c r="BS411" s="10"/>
      <c r="BT411" s="10"/>
      <c r="BU411" s="10"/>
    </row>
    <row r="412" spans="15:73" x14ac:dyDescent="0.2"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  <c r="BP412" s="10"/>
      <c r="BQ412" s="10"/>
      <c r="BR412" s="10"/>
      <c r="BS412" s="10"/>
      <c r="BT412" s="10"/>
      <c r="BU412" s="10"/>
    </row>
    <row r="413" spans="15:73" x14ac:dyDescent="0.2"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0"/>
      <c r="BO413" s="10"/>
      <c r="BP413" s="10"/>
      <c r="BQ413" s="10"/>
      <c r="BR413" s="10"/>
      <c r="BS413" s="10"/>
      <c r="BT413" s="10"/>
      <c r="BU413" s="10"/>
    </row>
    <row r="414" spans="15:73" x14ac:dyDescent="0.2"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0"/>
      <c r="BO414" s="10"/>
      <c r="BP414" s="10"/>
      <c r="BQ414" s="10"/>
      <c r="BR414" s="10"/>
      <c r="BS414" s="10"/>
      <c r="BT414" s="10"/>
      <c r="BU414" s="10"/>
    </row>
    <row r="415" spans="15:73" x14ac:dyDescent="0.2"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0"/>
      <c r="BO415" s="10"/>
      <c r="BP415" s="10"/>
      <c r="BQ415" s="10"/>
      <c r="BR415" s="10"/>
      <c r="BS415" s="10"/>
      <c r="BT415" s="10"/>
      <c r="BU415" s="10"/>
    </row>
    <row r="416" spans="15:73" x14ac:dyDescent="0.2"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0"/>
      <c r="BO416" s="10"/>
      <c r="BP416" s="10"/>
      <c r="BQ416" s="10"/>
      <c r="BR416" s="10"/>
      <c r="BS416" s="10"/>
      <c r="BT416" s="10"/>
      <c r="BU416" s="10"/>
    </row>
    <row r="417" spans="15:73" x14ac:dyDescent="0.2"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0"/>
      <c r="BO417" s="10"/>
      <c r="BP417" s="10"/>
      <c r="BQ417" s="10"/>
      <c r="BR417" s="10"/>
      <c r="BS417" s="10"/>
      <c r="BT417" s="10"/>
      <c r="BU417" s="10"/>
    </row>
    <row r="418" spans="15:73" x14ac:dyDescent="0.2"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0"/>
      <c r="BO418" s="10"/>
      <c r="BP418" s="10"/>
      <c r="BQ418" s="10"/>
      <c r="BR418" s="10"/>
      <c r="BS418" s="10"/>
      <c r="BT418" s="10"/>
      <c r="BU418" s="10"/>
    </row>
    <row r="419" spans="15:73" x14ac:dyDescent="0.2"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0"/>
      <c r="BO419" s="10"/>
      <c r="BP419" s="10"/>
      <c r="BQ419" s="10"/>
      <c r="BR419" s="10"/>
      <c r="BS419" s="10"/>
      <c r="BT419" s="10"/>
      <c r="BU419" s="10"/>
    </row>
    <row r="420" spans="15:73" x14ac:dyDescent="0.2"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0"/>
      <c r="BO420" s="10"/>
      <c r="BP420" s="10"/>
      <c r="BQ420" s="10"/>
      <c r="BR420" s="10"/>
      <c r="BS420" s="10"/>
      <c r="BT420" s="10"/>
      <c r="BU420" s="10"/>
    </row>
    <row r="421" spans="15:73" x14ac:dyDescent="0.2"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0"/>
      <c r="BO421" s="10"/>
      <c r="BP421" s="10"/>
      <c r="BQ421" s="10"/>
      <c r="BR421" s="10"/>
      <c r="BS421" s="10"/>
      <c r="BT421" s="10"/>
      <c r="BU421" s="10"/>
    </row>
    <row r="422" spans="15:73" x14ac:dyDescent="0.2"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  <c r="BO422" s="10"/>
      <c r="BP422" s="10"/>
      <c r="BQ422" s="10"/>
      <c r="BR422" s="10"/>
      <c r="BS422" s="10"/>
      <c r="BT422" s="10"/>
      <c r="BU422" s="10"/>
    </row>
    <row r="423" spans="15:73" x14ac:dyDescent="0.2"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0"/>
      <c r="BO423" s="10"/>
      <c r="BP423" s="10"/>
      <c r="BQ423" s="10"/>
      <c r="BR423" s="10"/>
      <c r="BS423" s="10"/>
      <c r="BT423" s="10"/>
      <c r="BU423" s="10"/>
    </row>
    <row r="424" spans="15:73" x14ac:dyDescent="0.2"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0"/>
      <c r="BO424" s="10"/>
      <c r="BP424" s="10"/>
      <c r="BQ424" s="10"/>
      <c r="BR424" s="10"/>
      <c r="BS424" s="10"/>
      <c r="BT424" s="10"/>
      <c r="BU424" s="10"/>
    </row>
    <row r="425" spans="15:73" x14ac:dyDescent="0.2"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0"/>
      <c r="BO425" s="10"/>
      <c r="BP425" s="10"/>
      <c r="BQ425" s="10"/>
      <c r="BR425" s="10"/>
      <c r="BS425" s="10"/>
      <c r="BT425" s="10"/>
      <c r="BU425" s="10"/>
    </row>
    <row r="426" spans="15:73" x14ac:dyDescent="0.2"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  <c r="BL426" s="10"/>
      <c r="BM426" s="10"/>
      <c r="BN426" s="10"/>
      <c r="BO426" s="10"/>
      <c r="BP426" s="10"/>
      <c r="BQ426" s="10"/>
      <c r="BR426" s="10"/>
      <c r="BS426" s="10"/>
      <c r="BT426" s="10"/>
      <c r="BU426" s="10"/>
    </row>
    <row r="427" spans="15:73" x14ac:dyDescent="0.2"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  <c r="BM427" s="10"/>
      <c r="BN427" s="10"/>
      <c r="BO427" s="10"/>
      <c r="BP427" s="10"/>
      <c r="BQ427" s="10"/>
      <c r="BR427" s="10"/>
      <c r="BS427" s="10"/>
      <c r="BT427" s="10"/>
      <c r="BU427" s="10"/>
    </row>
    <row r="428" spans="15:73" x14ac:dyDescent="0.2"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  <c r="BM428" s="10"/>
      <c r="BN428" s="10"/>
      <c r="BO428" s="10"/>
      <c r="BP428" s="10"/>
      <c r="BQ428" s="10"/>
      <c r="BR428" s="10"/>
      <c r="BS428" s="10"/>
      <c r="BT428" s="10"/>
      <c r="BU428" s="10"/>
    </row>
    <row r="429" spans="15:73" x14ac:dyDescent="0.2"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0"/>
      <c r="BK429" s="10"/>
      <c r="BL429" s="10"/>
      <c r="BM429" s="10"/>
      <c r="BN429" s="10"/>
      <c r="BO429" s="10"/>
      <c r="BP429" s="10"/>
      <c r="BQ429" s="10"/>
      <c r="BR429" s="10"/>
      <c r="BS429" s="10"/>
      <c r="BT429" s="10"/>
      <c r="BU429" s="10"/>
    </row>
    <row r="430" spans="15:73" x14ac:dyDescent="0.2"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  <c r="BL430" s="10"/>
      <c r="BM430" s="10"/>
      <c r="BN430" s="10"/>
      <c r="BO430" s="10"/>
      <c r="BP430" s="10"/>
      <c r="BQ430" s="10"/>
      <c r="BR430" s="10"/>
      <c r="BS430" s="10"/>
      <c r="BT430" s="10"/>
      <c r="BU430" s="10"/>
    </row>
    <row r="431" spans="15:73" x14ac:dyDescent="0.2"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/>
      <c r="BM431" s="10"/>
      <c r="BN431" s="10"/>
      <c r="BO431" s="10"/>
      <c r="BP431" s="10"/>
      <c r="BQ431" s="10"/>
      <c r="BR431" s="10"/>
      <c r="BS431" s="10"/>
      <c r="BT431" s="10"/>
      <c r="BU431" s="10"/>
    </row>
    <row r="432" spans="15:73" x14ac:dyDescent="0.2"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  <c r="BM432" s="10"/>
      <c r="BN432" s="10"/>
      <c r="BO432" s="10"/>
      <c r="BP432" s="10"/>
      <c r="BQ432" s="10"/>
      <c r="BR432" s="10"/>
      <c r="BS432" s="10"/>
      <c r="BT432" s="10"/>
      <c r="BU432" s="10"/>
    </row>
    <row r="433" spans="15:73" x14ac:dyDescent="0.2"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  <c r="BM433" s="10"/>
      <c r="BN433" s="10"/>
      <c r="BO433" s="10"/>
      <c r="BP433" s="10"/>
      <c r="BQ433" s="10"/>
      <c r="BR433" s="10"/>
      <c r="BS433" s="10"/>
      <c r="BT433" s="10"/>
      <c r="BU433" s="10"/>
    </row>
    <row r="434" spans="15:73" x14ac:dyDescent="0.2"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0"/>
      <c r="BK434" s="10"/>
      <c r="BL434" s="10"/>
      <c r="BM434" s="10"/>
      <c r="BN434" s="10"/>
      <c r="BO434" s="10"/>
      <c r="BP434" s="10"/>
      <c r="BQ434" s="10"/>
      <c r="BR434" s="10"/>
      <c r="BS434" s="10"/>
      <c r="BT434" s="10"/>
      <c r="BU434" s="10"/>
    </row>
    <row r="435" spans="15:73" x14ac:dyDescent="0.2"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0"/>
      <c r="BK435" s="10"/>
      <c r="BL435" s="10"/>
      <c r="BM435" s="10"/>
      <c r="BN435" s="10"/>
      <c r="BO435" s="10"/>
      <c r="BP435" s="10"/>
      <c r="BQ435" s="10"/>
      <c r="BR435" s="10"/>
      <c r="BS435" s="10"/>
      <c r="BT435" s="10"/>
      <c r="BU435" s="10"/>
    </row>
    <row r="436" spans="15:73" x14ac:dyDescent="0.2"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0"/>
      <c r="BK436" s="10"/>
      <c r="BL436" s="10"/>
      <c r="BM436" s="10"/>
      <c r="BN436" s="10"/>
      <c r="BO436" s="10"/>
      <c r="BP436" s="10"/>
      <c r="BQ436" s="10"/>
      <c r="BR436" s="10"/>
      <c r="BS436" s="10"/>
      <c r="BT436" s="10"/>
      <c r="BU436" s="10"/>
    </row>
    <row r="437" spans="15:73" x14ac:dyDescent="0.2"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0"/>
      <c r="BK437" s="10"/>
      <c r="BL437" s="10"/>
      <c r="BM437" s="10"/>
      <c r="BN437" s="10"/>
      <c r="BO437" s="10"/>
      <c r="BP437" s="10"/>
      <c r="BQ437" s="10"/>
      <c r="BR437" s="10"/>
      <c r="BS437" s="10"/>
      <c r="BT437" s="10"/>
      <c r="BU437" s="10"/>
    </row>
    <row r="438" spans="15:73" x14ac:dyDescent="0.2"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0"/>
      <c r="BK438" s="10"/>
      <c r="BL438" s="10"/>
      <c r="BM438" s="10"/>
      <c r="BN438" s="10"/>
      <c r="BO438" s="10"/>
      <c r="BP438" s="10"/>
      <c r="BQ438" s="10"/>
      <c r="BR438" s="10"/>
      <c r="BS438" s="10"/>
      <c r="BT438" s="10"/>
      <c r="BU438" s="10"/>
    </row>
    <row r="439" spans="15:73" x14ac:dyDescent="0.2"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0"/>
      <c r="BK439" s="10"/>
      <c r="BL439" s="10"/>
      <c r="BM439" s="10"/>
      <c r="BN439" s="10"/>
      <c r="BO439" s="10"/>
      <c r="BP439" s="10"/>
      <c r="BQ439" s="10"/>
      <c r="BR439" s="10"/>
      <c r="BS439" s="10"/>
      <c r="BT439" s="10"/>
      <c r="BU439" s="10"/>
    </row>
    <row r="440" spans="15:73" x14ac:dyDescent="0.2"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  <c r="BL440" s="10"/>
      <c r="BM440" s="10"/>
      <c r="BN440" s="10"/>
      <c r="BO440" s="10"/>
      <c r="BP440" s="10"/>
      <c r="BQ440" s="10"/>
      <c r="BR440" s="10"/>
      <c r="BS440" s="10"/>
      <c r="BT440" s="10"/>
      <c r="BU440" s="10"/>
    </row>
    <row r="441" spans="15:73" x14ac:dyDescent="0.2"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0"/>
      <c r="BK441" s="10"/>
      <c r="BL441" s="10"/>
      <c r="BM441" s="10"/>
      <c r="BN441" s="10"/>
      <c r="BO441" s="10"/>
      <c r="BP441" s="10"/>
      <c r="BQ441" s="10"/>
      <c r="BR441" s="10"/>
      <c r="BS441" s="10"/>
      <c r="BT441" s="10"/>
      <c r="BU441" s="10"/>
    </row>
    <row r="442" spans="15:73" x14ac:dyDescent="0.2"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  <c r="BL442" s="10"/>
      <c r="BM442" s="10"/>
      <c r="BN442" s="10"/>
      <c r="BO442" s="10"/>
      <c r="BP442" s="10"/>
      <c r="BQ442" s="10"/>
      <c r="BR442" s="10"/>
      <c r="BS442" s="10"/>
      <c r="BT442" s="10"/>
      <c r="BU442" s="10"/>
    </row>
    <row r="443" spans="15:73" x14ac:dyDescent="0.2"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  <c r="BM443" s="10"/>
      <c r="BN443" s="10"/>
      <c r="BO443" s="10"/>
      <c r="BP443" s="10"/>
      <c r="BQ443" s="10"/>
      <c r="BR443" s="10"/>
      <c r="BS443" s="10"/>
      <c r="BT443" s="10"/>
      <c r="BU443" s="10"/>
    </row>
    <row r="444" spans="15:73" x14ac:dyDescent="0.2"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  <c r="BM444" s="10"/>
      <c r="BN444" s="10"/>
      <c r="BO444" s="10"/>
      <c r="BP444" s="10"/>
      <c r="BQ444" s="10"/>
      <c r="BR444" s="10"/>
      <c r="BS444" s="10"/>
      <c r="BT444" s="10"/>
      <c r="BU444" s="10"/>
    </row>
    <row r="445" spans="15:73" x14ac:dyDescent="0.2"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  <c r="BM445" s="10"/>
      <c r="BN445" s="10"/>
      <c r="BO445" s="10"/>
      <c r="BP445" s="10"/>
      <c r="BQ445" s="10"/>
      <c r="BR445" s="10"/>
      <c r="BS445" s="10"/>
      <c r="BT445" s="10"/>
      <c r="BU445" s="10"/>
    </row>
    <row r="446" spans="15:73" x14ac:dyDescent="0.2"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  <c r="BL446" s="10"/>
      <c r="BM446" s="10"/>
      <c r="BN446" s="10"/>
      <c r="BO446" s="10"/>
      <c r="BP446" s="10"/>
      <c r="BQ446" s="10"/>
      <c r="BR446" s="10"/>
      <c r="BS446" s="10"/>
      <c r="BT446" s="10"/>
      <c r="BU446" s="10"/>
    </row>
    <row r="447" spans="15:73" x14ac:dyDescent="0.2"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  <c r="BL447" s="10"/>
      <c r="BM447" s="10"/>
      <c r="BN447" s="10"/>
      <c r="BO447" s="10"/>
      <c r="BP447" s="10"/>
      <c r="BQ447" s="10"/>
      <c r="BR447" s="10"/>
      <c r="BS447" s="10"/>
      <c r="BT447" s="10"/>
      <c r="BU447" s="10"/>
    </row>
    <row r="448" spans="15:73" x14ac:dyDescent="0.2"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  <c r="BL448" s="10"/>
      <c r="BM448" s="10"/>
      <c r="BN448" s="10"/>
      <c r="BO448" s="10"/>
      <c r="BP448" s="10"/>
      <c r="BQ448" s="10"/>
      <c r="BR448" s="10"/>
      <c r="BS448" s="10"/>
      <c r="BT448" s="10"/>
      <c r="BU448" s="10"/>
    </row>
    <row r="449" spans="15:73" x14ac:dyDescent="0.2"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  <c r="BL449" s="10"/>
      <c r="BM449" s="10"/>
      <c r="BN449" s="10"/>
      <c r="BO449" s="10"/>
      <c r="BP449" s="10"/>
      <c r="BQ449" s="10"/>
      <c r="BR449" s="10"/>
      <c r="BS449" s="10"/>
      <c r="BT449" s="10"/>
      <c r="BU449" s="10"/>
    </row>
    <row r="450" spans="15:73" x14ac:dyDescent="0.2"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  <c r="BL450" s="10"/>
      <c r="BM450" s="10"/>
      <c r="BN450" s="10"/>
      <c r="BO450" s="10"/>
      <c r="BP450" s="10"/>
      <c r="BQ450" s="10"/>
      <c r="BR450" s="10"/>
      <c r="BS450" s="10"/>
      <c r="BT450" s="10"/>
      <c r="BU450" s="10"/>
    </row>
    <row r="451" spans="15:73" x14ac:dyDescent="0.2"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0"/>
      <c r="BK451" s="10"/>
      <c r="BL451" s="10"/>
      <c r="BM451" s="10"/>
      <c r="BN451" s="10"/>
      <c r="BO451" s="10"/>
      <c r="BP451" s="10"/>
      <c r="BQ451" s="10"/>
      <c r="BR451" s="10"/>
      <c r="BS451" s="10"/>
      <c r="BT451" s="10"/>
      <c r="BU451" s="10"/>
    </row>
    <row r="452" spans="15:73" x14ac:dyDescent="0.2"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0"/>
      <c r="BK452" s="10"/>
      <c r="BL452" s="10"/>
      <c r="BM452" s="10"/>
      <c r="BN452" s="10"/>
      <c r="BO452" s="10"/>
      <c r="BP452" s="10"/>
      <c r="BQ452" s="10"/>
      <c r="BR452" s="10"/>
      <c r="BS452" s="10"/>
      <c r="BT452" s="10"/>
      <c r="BU452" s="10"/>
    </row>
    <row r="453" spans="15:73" x14ac:dyDescent="0.2"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0"/>
      <c r="BK453" s="10"/>
      <c r="BL453" s="10"/>
      <c r="BM453" s="10"/>
      <c r="BN453" s="10"/>
      <c r="BO453" s="10"/>
      <c r="BP453" s="10"/>
      <c r="BQ453" s="10"/>
      <c r="BR453" s="10"/>
      <c r="BS453" s="10"/>
      <c r="BT453" s="10"/>
      <c r="BU453" s="10"/>
    </row>
    <row r="454" spans="15:73" x14ac:dyDescent="0.2"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0"/>
      <c r="BK454" s="10"/>
      <c r="BL454" s="10"/>
      <c r="BM454" s="10"/>
      <c r="BN454" s="10"/>
      <c r="BO454" s="10"/>
      <c r="BP454" s="10"/>
      <c r="BQ454" s="10"/>
      <c r="BR454" s="10"/>
      <c r="BS454" s="10"/>
      <c r="BT454" s="10"/>
      <c r="BU454" s="10"/>
    </row>
    <row r="455" spans="15:73" x14ac:dyDescent="0.2"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  <c r="BI455" s="10"/>
      <c r="BJ455" s="10"/>
      <c r="BK455" s="10"/>
      <c r="BL455" s="10"/>
      <c r="BM455" s="10"/>
      <c r="BN455" s="10"/>
      <c r="BO455" s="10"/>
      <c r="BP455" s="10"/>
      <c r="BQ455" s="10"/>
      <c r="BR455" s="10"/>
      <c r="BS455" s="10"/>
      <c r="BT455" s="10"/>
      <c r="BU455" s="10"/>
    </row>
    <row r="456" spans="15:73" x14ac:dyDescent="0.2"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"/>
      <c r="BC456" s="10"/>
      <c r="BD456" s="10"/>
      <c r="BE456" s="10"/>
      <c r="BF456" s="10"/>
      <c r="BG456" s="10"/>
      <c r="BH456" s="10"/>
      <c r="BI456" s="10"/>
      <c r="BJ456" s="10"/>
      <c r="BK456" s="10"/>
      <c r="BL456" s="10"/>
      <c r="BM456" s="10"/>
      <c r="BN456" s="10"/>
      <c r="BO456" s="10"/>
      <c r="BP456" s="10"/>
      <c r="BQ456" s="10"/>
      <c r="BR456" s="10"/>
      <c r="BS456" s="10"/>
      <c r="BT456" s="10"/>
      <c r="BU456" s="10"/>
    </row>
    <row r="457" spans="15:73" x14ac:dyDescent="0.2"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"/>
      <c r="BC457" s="10"/>
      <c r="BD457" s="10"/>
      <c r="BE457" s="10"/>
      <c r="BF457" s="10"/>
      <c r="BG457" s="10"/>
      <c r="BH457" s="10"/>
      <c r="BI457" s="10"/>
      <c r="BJ457" s="10"/>
      <c r="BK457" s="10"/>
      <c r="BL457" s="10"/>
      <c r="BM457" s="10"/>
      <c r="BN457" s="10"/>
      <c r="BO457" s="10"/>
      <c r="BP457" s="10"/>
      <c r="BQ457" s="10"/>
      <c r="BR457" s="10"/>
      <c r="BS457" s="10"/>
      <c r="BT457" s="10"/>
      <c r="BU457" s="10"/>
    </row>
    <row r="458" spans="15:73" x14ac:dyDescent="0.2"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"/>
      <c r="BC458" s="10"/>
      <c r="BD458" s="10"/>
      <c r="BE458" s="10"/>
      <c r="BF458" s="10"/>
      <c r="BG458" s="10"/>
      <c r="BH458" s="10"/>
      <c r="BI458" s="10"/>
      <c r="BJ458" s="10"/>
      <c r="BK458" s="10"/>
      <c r="BL458" s="10"/>
      <c r="BM458" s="10"/>
      <c r="BN458" s="10"/>
      <c r="BO458" s="10"/>
      <c r="BP458" s="10"/>
      <c r="BQ458" s="10"/>
      <c r="BR458" s="10"/>
      <c r="BS458" s="10"/>
      <c r="BT458" s="10"/>
      <c r="BU458" s="10"/>
    </row>
    <row r="459" spans="15:73" x14ac:dyDescent="0.2"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"/>
      <c r="BC459" s="10"/>
      <c r="BD459" s="10"/>
      <c r="BE459" s="10"/>
      <c r="BF459" s="10"/>
      <c r="BG459" s="10"/>
      <c r="BH459" s="10"/>
      <c r="BI459" s="10"/>
      <c r="BJ459" s="10"/>
      <c r="BK459" s="10"/>
      <c r="BL459" s="10"/>
      <c r="BM459" s="10"/>
      <c r="BN459" s="10"/>
      <c r="BO459" s="10"/>
      <c r="BP459" s="10"/>
      <c r="BQ459" s="10"/>
      <c r="BR459" s="10"/>
      <c r="BS459" s="10"/>
      <c r="BT459" s="10"/>
      <c r="BU459" s="10"/>
    </row>
    <row r="460" spans="15:73" x14ac:dyDescent="0.2"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"/>
      <c r="BC460" s="10"/>
      <c r="BD460" s="10"/>
      <c r="BE460" s="10"/>
      <c r="BF460" s="10"/>
      <c r="BG460" s="10"/>
      <c r="BH460" s="10"/>
      <c r="BI460" s="10"/>
      <c r="BJ460" s="10"/>
      <c r="BK460" s="10"/>
      <c r="BL460" s="10"/>
      <c r="BM460" s="10"/>
      <c r="BN460" s="10"/>
      <c r="BO460" s="10"/>
      <c r="BP460" s="10"/>
      <c r="BQ460" s="10"/>
      <c r="BR460" s="10"/>
      <c r="BS460" s="10"/>
      <c r="BT460" s="10"/>
      <c r="BU460" s="10"/>
    </row>
    <row r="461" spans="15:73" x14ac:dyDescent="0.2"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"/>
      <c r="BC461" s="10"/>
      <c r="BD461" s="10"/>
      <c r="BE461" s="10"/>
      <c r="BF461" s="10"/>
      <c r="BG461" s="10"/>
      <c r="BH461" s="10"/>
      <c r="BI461" s="10"/>
      <c r="BJ461" s="10"/>
      <c r="BK461" s="10"/>
      <c r="BL461" s="10"/>
      <c r="BM461" s="10"/>
      <c r="BN461" s="10"/>
      <c r="BO461" s="10"/>
      <c r="BP461" s="10"/>
      <c r="BQ461" s="10"/>
      <c r="BR461" s="10"/>
      <c r="BS461" s="10"/>
      <c r="BT461" s="10"/>
      <c r="BU461" s="10"/>
    </row>
    <row r="462" spans="15:73" x14ac:dyDescent="0.2"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  <c r="BI462" s="10"/>
      <c r="BJ462" s="10"/>
      <c r="BK462" s="10"/>
      <c r="BL462" s="10"/>
      <c r="BM462" s="10"/>
      <c r="BN462" s="10"/>
      <c r="BO462" s="10"/>
      <c r="BP462" s="10"/>
      <c r="BQ462" s="10"/>
      <c r="BR462" s="10"/>
      <c r="BS462" s="10"/>
      <c r="BT462" s="10"/>
      <c r="BU462" s="10"/>
    </row>
    <row r="463" spans="15:73" x14ac:dyDescent="0.2"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"/>
      <c r="BC463" s="10"/>
      <c r="BD463" s="10"/>
      <c r="BE463" s="10"/>
      <c r="BF463" s="10"/>
      <c r="BG463" s="10"/>
      <c r="BH463" s="10"/>
      <c r="BI463" s="10"/>
      <c r="BJ463" s="10"/>
      <c r="BK463" s="10"/>
      <c r="BL463" s="10"/>
      <c r="BM463" s="10"/>
      <c r="BN463" s="10"/>
      <c r="BO463" s="10"/>
      <c r="BP463" s="10"/>
      <c r="BQ463" s="10"/>
      <c r="BR463" s="10"/>
      <c r="BS463" s="10"/>
      <c r="BT463" s="10"/>
      <c r="BU463" s="10"/>
    </row>
    <row r="464" spans="15:73" x14ac:dyDescent="0.2"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"/>
      <c r="BC464" s="10"/>
      <c r="BD464" s="10"/>
      <c r="BE464" s="10"/>
      <c r="BF464" s="10"/>
      <c r="BG464" s="10"/>
      <c r="BH464" s="10"/>
      <c r="BI464" s="10"/>
      <c r="BJ464" s="10"/>
      <c r="BK464" s="10"/>
      <c r="BL464" s="10"/>
      <c r="BM464" s="10"/>
      <c r="BN464" s="10"/>
      <c r="BO464" s="10"/>
      <c r="BP464" s="10"/>
      <c r="BQ464" s="10"/>
      <c r="BR464" s="10"/>
      <c r="BS464" s="10"/>
      <c r="BT464" s="10"/>
      <c r="BU464" s="10"/>
    </row>
    <row r="465" spans="15:73" x14ac:dyDescent="0.2"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"/>
      <c r="BC465" s="10"/>
      <c r="BD465" s="10"/>
      <c r="BE465" s="10"/>
      <c r="BF465" s="10"/>
      <c r="BG465" s="10"/>
      <c r="BH465" s="10"/>
      <c r="BI465" s="10"/>
      <c r="BJ465" s="10"/>
      <c r="BK465" s="10"/>
      <c r="BL465" s="10"/>
      <c r="BM465" s="10"/>
      <c r="BN465" s="10"/>
      <c r="BO465" s="10"/>
      <c r="BP465" s="10"/>
      <c r="BQ465" s="10"/>
      <c r="BR465" s="10"/>
      <c r="BS465" s="10"/>
      <c r="BT465" s="10"/>
      <c r="BU465" s="10"/>
    </row>
    <row r="466" spans="15:73" x14ac:dyDescent="0.2"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"/>
      <c r="BC466" s="10"/>
      <c r="BD466" s="10"/>
      <c r="BE466" s="10"/>
      <c r="BF466" s="10"/>
      <c r="BG466" s="10"/>
      <c r="BH466" s="10"/>
      <c r="BI466" s="10"/>
      <c r="BJ466" s="10"/>
      <c r="BK466" s="10"/>
      <c r="BL466" s="10"/>
      <c r="BM466" s="10"/>
      <c r="BN466" s="10"/>
      <c r="BO466" s="10"/>
      <c r="BP466" s="10"/>
      <c r="BQ466" s="10"/>
      <c r="BR466" s="10"/>
      <c r="BS466" s="10"/>
      <c r="BT466" s="10"/>
      <c r="BU466" s="10"/>
    </row>
    <row r="467" spans="15:73" x14ac:dyDescent="0.2"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  <c r="BI467" s="10"/>
      <c r="BJ467" s="10"/>
      <c r="BK467" s="10"/>
      <c r="BL467" s="10"/>
      <c r="BM467" s="10"/>
      <c r="BN467" s="10"/>
      <c r="BO467" s="10"/>
      <c r="BP467" s="10"/>
      <c r="BQ467" s="10"/>
      <c r="BR467" s="10"/>
      <c r="BS467" s="10"/>
      <c r="BT467" s="10"/>
      <c r="BU467" s="10"/>
    </row>
    <row r="468" spans="15:73" x14ac:dyDescent="0.2"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  <c r="BM468" s="10"/>
      <c r="BN468" s="10"/>
      <c r="BO468" s="10"/>
      <c r="BP468" s="10"/>
      <c r="BQ468" s="10"/>
      <c r="BR468" s="10"/>
      <c r="BS468" s="10"/>
      <c r="BT468" s="10"/>
      <c r="BU468" s="10"/>
    </row>
    <row r="469" spans="15:73" x14ac:dyDescent="0.2"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0"/>
      <c r="BO469" s="10"/>
      <c r="BP469" s="10"/>
      <c r="BQ469" s="10"/>
      <c r="BR469" s="10"/>
      <c r="BS469" s="10"/>
      <c r="BT469" s="10"/>
      <c r="BU469" s="10"/>
    </row>
    <row r="470" spans="15:73" x14ac:dyDescent="0.2"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  <c r="BM470" s="10"/>
      <c r="BN470" s="10"/>
      <c r="BO470" s="10"/>
      <c r="BP470" s="10"/>
      <c r="BQ470" s="10"/>
      <c r="BR470" s="10"/>
      <c r="BS470" s="10"/>
      <c r="BT470" s="10"/>
      <c r="BU470" s="10"/>
    </row>
    <row r="471" spans="15:73" x14ac:dyDescent="0.2"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  <c r="BM471" s="10"/>
      <c r="BN471" s="10"/>
      <c r="BO471" s="10"/>
      <c r="BP471" s="10"/>
      <c r="BQ471" s="10"/>
      <c r="BR471" s="10"/>
      <c r="BS471" s="10"/>
      <c r="BT471" s="10"/>
      <c r="BU471" s="10"/>
    </row>
    <row r="472" spans="15:73" x14ac:dyDescent="0.2"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0"/>
      <c r="BO472" s="10"/>
      <c r="BP472" s="10"/>
      <c r="BQ472" s="10"/>
      <c r="BR472" s="10"/>
      <c r="BS472" s="10"/>
      <c r="BT472" s="10"/>
      <c r="BU472" s="10"/>
    </row>
    <row r="473" spans="15:73" x14ac:dyDescent="0.2"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0"/>
      <c r="BO473" s="10"/>
      <c r="BP473" s="10"/>
      <c r="BQ473" s="10"/>
      <c r="BR473" s="10"/>
      <c r="BS473" s="10"/>
      <c r="BT473" s="10"/>
      <c r="BU473" s="10"/>
    </row>
    <row r="474" spans="15:73" x14ac:dyDescent="0.2"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  <c r="BM474" s="10"/>
      <c r="BN474" s="10"/>
      <c r="BO474" s="10"/>
      <c r="BP474" s="10"/>
      <c r="BQ474" s="10"/>
      <c r="BR474" s="10"/>
      <c r="BS474" s="10"/>
      <c r="BT474" s="10"/>
      <c r="BU474" s="10"/>
    </row>
    <row r="475" spans="15:73" x14ac:dyDescent="0.2"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  <c r="BM475" s="10"/>
      <c r="BN475" s="10"/>
      <c r="BO475" s="10"/>
      <c r="BP475" s="10"/>
      <c r="BQ475" s="10"/>
      <c r="BR475" s="10"/>
      <c r="BS475" s="10"/>
      <c r="BT475" s="10"/>
      <c r="BU475" s="10"/>
    </row>
    <row r="476" spans="15:73" x14ac:dyDescent="0.2"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  <c r="BM476" s="10"/>
      <c r="BN476" s="10"/>
      <c r="BO476" s="10"/>
      <c r="BP476" s="10"/>
      <c r="BQ476" s="10"/>
      <c r="BR476" s="10"/>
      <c r="BS476" s="10"/>
      <c r="BT476" s="10"/>
      <c r="BU476" s="10"/>
    </row>
    <row r="477" spans="15:73" x14ac:dyDescent="0.2"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0"/>
      <c r="BO477" s="10"/>
      <c r="BP477" s="10"/>
      <c r="BQ477" s="10"/>
      <c r="BR477" s="10"/>
      <c r="BS477" s="10"/>
      <c r="BT477" s="10"/>
      <c r="BU477" s="10"/>
    </row>
    <row r="478" spans="15:73" x14ac:dyDescent="0.2"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0"/>
      <c r="BO478" s="10"/>
      <c r="BP478" s="10"/>
      <c r="BQ478" s="10"/>
      <c r="BR478" s="10"/>
      <c r="BS478" s="10"/>
      <c r="BT478" s="10"/>
      <c r="BU478" s="10"/>
    </row>
    <row r="479" spans="15:73" x14ac:dyDescent="0.2"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0"/>
      <c r="BO479" s="10"/>
      <c r="BP479" s="10"/>
      <c r="BQ479" s="10"/>
      <c r="BR479" s="10"/>
      <c r="BS479" s="10"/>
      <c r="BT479" s="10"/>
      <c r="BU479" s="10"/>
    </row>
    <row r="480" spans="15:73" x14ac:dyDescent="0.2"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0"/>
      <c r="BO480" s="10"/>
      <c r="BP480" s="10"/>
      <c r="BQ480" s="10"/>
      <c r="BR480" s="10"/>
      <c r="BS480" s="10"/>
      <c r="BT480" s="10"/>
      <c r="BU480" s="10"/>
    </row>
    <row r="481" spans="15:73" x14ac:dyDescent="0.2"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0"/>
      <c r="BO481" s="10"/>
      <c r="BP481" s="10"/>
      <c r="BQ481" s="10"/>
      <c r="BR481" s="10"/>
      <c r="BS481" s="10"/>
      <c r="BT481" s="10"/>
      <c r="BU481" s="10"/>
    </row>
    <row r="482" spans="15:73" x14ac:dyDescent="0.2"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0"/>
      <c r="BO482" s="10"/>
      <c r="BP482" s="10"/>
      <c r="BQ482" s="10"/>
      <c r="BR482" s="10"/>
      <c r="BS482" s="10"/>
      <c r="BT482" s="10"/>
      <c r="BU482" s="10"/>
    </row>
    <row r="483" spans="15:73" x14ac:dyDescent="0.2"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0"/>
      <c r="BO483" s="10"/>
      <c r="BP483" s="10"/>
      <c r="BQ483" s="10"/>
      <c r="BR483" s="10"/>
      <c r="BS483" s="10"/>
      <c r="BT483" s="10"/>
      <c r="BU483" s="10"/>
    </row>
    <row r="484" spans="15:73" x14ac:dyDescent="0.2"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0"/>
      <c r="BO484" s="10"/>
      <c r="BP484" s="10"/>
      <c r="BQ484" s="10"/>
      <c r="BR484" s="10"/>
      <c r="BS484" s="10"/>
      <c r="BT484" s="10"/>
      <c r="BU484" s="10"/>
    </row>
    <row r="485" spans="15:73" x14ac:dyDescent="0.2"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  <c r="BP485" s="10"/>
      <c r="BQ485" s="10"/>
      <c r="BR485" s="10"/>
      <c r="BS485" s="10"/>
      <c r="BT485" s="10"/>
      <c r="BU485" s="10"/>
    </row>
    <row r="486" spans="15:73" x14ac:dyDescent="0.2"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/>
      <c r="BT486" s="10"/>
      <c r="BU486" s="10"/>
    </row>
    <row r="487" spans="15:73" x14ac:dyDescent="0.2"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  <c r="BP487" s="10"/>
      <c r="BQ487" s="10"/>
      <c r="BR487" s="10"/>
      <c r="BS487" s="10"/>
      <c r="BT487" s="10"/>
      <c r="BU487" s="10"/>
    </row>
    <row r="488" spans="15:73" x14ac:dyDescent="0.2"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  <c r="BP488" s="10"/>
      <c r="BQ488" s="10"/>
      <c r="BR488" s="10"/>
      <c r="BS488" s="10"/>
      <c r="BT488" s="10"/>
      <c r="BU488" s="10"/>
    </row>
    <row r="489" spans="15:73" x14ac:dyDescent="0.2"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0"/>
      <c r="BO489" s="10"/>
      <c r="BP489" s="10"/>
      <c r="BQ489" s="10"/>
      <c r="BR489" s="10"/>
      <c r="BS489" s="10"/>
      <c r="BT489" s="10"/>
      <c r="BU489" s="10"/>
    </row>
    <row r="490" spans="15:73" x14ac:dyDescent="0.2"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0"/>
      <c r="BK490" s="10"/>
      <c r="BL490" s="10"/>
      <c r="BM490" s="10"/>
      <c r="BN490" s="10"/>
      <c r="BO490" s="10"/>
      <c r="BP490" s="10"/>
      <c r="BQ490" s="10"/>
      <c r="BR490" s="10"/>
      <c r="BS490" s="10"/>
      <c r="BT490" s="10"/>
      <c r="BU490" s="10"/>
    </row>
    <row r="491" spans="15:73" x14ac:dyDescent="0.2"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0"/>
      <c r="BK491" s="10"/>
      <c r="BL491" s="10"/>
      <c r="BM491" s="10"/>
      <c r="BN491" s="10"/>
      <c r="BO491" s="10"/>
      <c r="BP491" s="10"/>
      <c r="BQ491" s="10"/>
      <c r="BR491" s="10"/>
      <c r="BS491" s="10"/>
      <c r="BT491" s="10"/>
      <c r="BU491" s="10"/>
    </row>
    <row r="492" spans="15:73" x14ac:dyDescent="0.2"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0"/>
      <c r="BK492" s="10"/>
      <c r="BL492" s="10"/>
      <c r="BM492" s="10"/>
      <c r="BN492" s="10"/>
      <c r="BO492" s="10"/>
      <c r="BP492" s="10"/>
      <c r="BQ492" s="10"/>
      <c r="BR492" s="10"/>
      <c r="BS492" s="10"/>
      <c r="BT492" s="10"/>
      <c r="BU492" s="10"/>
    </row>
    <row r="493" spans="15:73" x14ac:dyDescent="0.2"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0"/>
      <c r="BK493" s="10"/>
      <c r="BL493" s="10"/>
      <c r="BM493" s="10"/>
      <c r="BN493" s="10"/>
      <c r="BO493" s="10"/>
      <c r="BP493" s="10"/>
      <c r="BQ493" s="10"/>
      <c r="BR493" s="10"/>
      <c r="BS493" s="10"/>
      <c r="BT493" s="10"/>
      <c r="BU493" s="10"/>
    </row>
    <row r="494" spans="15:73" x14ac:dyDescent="0.2"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  <c r="BI494" s="10"/>
      <c r="BJ494" s="10"/>
      <c r="BK494" s="10"/>
      <c r="BL494" s="10"/>
      <c r="BM494" s="10"/>
      <c r="BN494" s="10"/>
      <c r="BO494" s="10"/>
      <c r="BP494" s="10"/>
      <c r="BQ494" s="10"/>
      <c r="BR494" s="10"/>
      <c r="BS494" s="10"/>
      <c r="BT494" s="10"/>
      <c r="BU494" s="10"/>
    </row>
    <row r="495" spans="15:73" x14ac:dyDescent="0.2"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0"/>
      <c r="BK495" s="10"/>
      <c r="BL495" s="10"/>
      <c r="BM495" s="10"/>
      <c r="BN495" s="10"/>
      <c r="BO495" s="10"/>
      <c r="BP495" s="10"/>
      <c r="BQ495" s="10"/>
      <c r="BR495" s="10"/>
      <c r="BS495" s="10"/>
      <c r="BT495" s="10"/>
      <c r="BU495" s="10"/>
    </row>
    <row r="496" spans="15:73" x14ac:dyDescent="0.2"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0"/>
      <c r="BK496" s="10"/>
      <c r="BL496" s="10"/>
      <c r="BM496" s="10"/>
      <c r="BN496" s="10"/>
      <c r="BO496" s="10"/>
      <c r="BP496" s="10"/>
      <c r="BQ496" s="10"/>
      <c r="BR496" s="10"/>
      <c r="BS496" s="10"/>
      <c r="BT496" s="10"/>
      <c r="BU496" s="10"/>
    </row>
    <row r="497" spans="15:73" x14ac:dyDescent="0.2"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0"/>
      <c r="BK497" s="10"/>
      <c r="BL497" s="10"/>
      <c r="BM497" s="10"/>
      <c r="BN497" s="10"/>
      <c r="BO497" s="10"/>
      <c r="BP497" s="10"/>
      <c r="BQ497" s="10"/>
      <c r="BR497" s="10"/>
      <c r="BS497" s="10"/>
      <c r="BT497" s="10"/>
      <c r="BU497" s="10"/>
    </row>
    <row r="498" spans="15:73" x14ac:dyDescent="0.2"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  <c r="BM498" s="10"/>
      <c r="BN498" s="10"/>
      <c r="BO498" s="10"/>
      <c r="BP498" s="10"/>
      <c r="BQ498" s="10"/>
      <c r="BR498" s="10"/>
      <c r="BS498" s="10"/>
      <c r="BT498" s="10"/>
      <c r="BU498" s="10"/>
    </row>
    <row r="499" spans="15:73" x14ac:dyDescent="0.2"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0"/>
      <c r="BK499" s="10"/>
      <c r="BL499" s="10"/>
      <c r="BM499" s="10"/>
      <c r="BN499" s="10"/>
      <c r="BO499" s="10"/>
      <c r="BP499" s="10"/>
      <c r="BQ499" s="10"/>
      <c r="BR499" s="10"/>
      <c r="BS499" s="10"/>
      <c r="BT499" s="10"/>
      <c r="BU499" s="10"/>
    </row>
    <row r="500" spans="15:73" x14ac:dyDescent="0.2"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0"/>
      <c r="BK500" s="10"/>
      <c r="BL500" s="10"/>
      <c r="BM500" s="10"/>
      <c r="BN500" s="10"/>
      <c r="BO500" s="10"/>
      <c r="BP500" s="10"/>
      <c r="BQ500" s="10"/>
      <c r="BR500" s="10"/>
      <c r="BS500" s="10"/>
      <c r="BT500" s="10"/>
      <c r="BU500" s="10"/>
    </row>
    <row r="501" spans="15:73" x14ac:dyDescent="0.2"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"/>
      <c r="BC501" s="10"/>
      <c r="BD501" s="10"/>
      <c r="BE501" s="10"/>
      <c r="BF501" s="10"/>
      <c r="BG501" s="10"/>
      <c r="BH501" s="10"/>
      <c r="BI501" s="10"/>
      <c r="BJ501" s="10"/>
      <c r="BK501" s="10"/>
      <c r="BL501" s="10"/>
      <c r="BM501" s="10"/>
      <c r="BN501" s="10"/>
      <c r="BO501" s="10"/>
      <c r="BP501" s="10"/>
      <c r="BQ501" s="10"/>
      <c r="BR501" s="10"/>
      <c r="BS501" s="10"/>
      <c r="BT501" s="10"/>
      <c r="BU501" s="10"/>
    </row>
    <row r="502" spans="15:73" x14ac:dyDescent="0.2"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"/>
      <c r="BC502" s="10"/>
      <c r="BD502" s="10"/>
      <c r="BE502" s="10"/>
      <c r="BF502" s="10"/>
      <c r="BG502" s="10"/>
      <c r="BH502" s="10"/>
      <c r="BI502" s="10"/>
      <c r="BJ502" s="10"/>
      <c r="BK502" s="10"/>
      <c r="BL502" s="10"/>
      <c r="BM502" s="10"/>
      <c r="BN502" s="10"/>
      <c r="BO502" s="10"/>
      <c r="BP502" s="10"/>
      <c r="BQ502" s="10"/>
      <c r="BR502" s="10"/>
      <c r="BS502" s="10"/>
      <c r="BT502" s="10"/>
      <c r="BU502" s="10"/>
    </row>
    <row r="503" spans="15:73" x14ac:dyDescent="0.2"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"/>
      <c r="BC503" s="10"/>
      <c r="BD503" s="10"/>
      <c r="BE503" s="10"/>
      <c r="BF503" s="10"/>
      <c r="BG503" s="10"/>
      <c r="BH503" s="10"/>
      <c r="BI503" s="10"/>
      <c r="BJ503" s="10"/>
      <c r="BK503" s="10"/>
      <c r="BL503" s="10"/>
      <c r="BM503" s="10"/>
      <c r="BN503" s="10"/>
      <c r="BO503" s="10"/>
      <c r="BP503" s="10"/>
      <c r="BQ503" s="10"/>
      <c r="BR503" s="10"/>
      <c r="BS503" s="10"/>
      <c r="BT503" s="10"/>
      <c r="BU503" s="10"/>
    </row>
    <row r="504" spans="15:73" x14ac:dyDescent="0.2"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"/>
      <c r="BC504" s="10"/>
      <c r="BD504" s="10"/>
      <c r="BE504" s="10"/>
      <c r="BF504" s="10"/>
      <c r="BG504" s="10"/>
      <c r="BH504" s="10"/>
      <c r="BI504" s="10"/>
      <c r="BJ504" s="10"/>
      <c r="BK504" s="10"/>
      <c r="BL504" s="10"/>
      <c r="BM504" s="10"/>
      <c r="BN504" s="10"/>
      <c r="BO504" s="10"/>
      <c r="BP504" s="10"/>
      <c r="BQ504" s="10"/>
      <c r="BR504" s="10"/>
      <c r="BS504" s="10"/>
      <c r="BT504" s="10"/>
      <c r="BU504" s="10"/>
    </row>
    <row r="505" spans="15:73" x14ac:dyDescent="0.2"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"/>
      <c r="BC505" s="10"/>
      <c r="BD505" s="10"/>
      <c r="BE505" s="10"/>
      <c r="BF505" s="10"/>
      <c r="BG505" s="10"/>
      <c r="BH505" s="10"/>
      <c r="BI505" s="10"/>
      <c r="BJ505" s="10"/>
      <c r="BK505" s="10"/>
      <c r="BL505" s="10"/>
      <c r="BM505" s="10"/>
      <c r="BN505" s="10"/>
      <c r="BO505" s="10"/>
      <c r="BP505" s="10"/>
      <c r="BQ505" s="10"/>
      <c r="BR505" s="10"/>
      <c r="BS505" s="10"/>
      <c r="BT505" s="10"/>
      <c r="BU505" s="10"/>
    </row>
    <row r="506" spans="15:73" x14ac:dyDescent="0.2"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"/>
      <c r="BC506" s="10"/>
      <c r="BD506" s="10"/>
      <c r="BE506" s="10"/>
      <c r="BF506" s="10"/>
      <c r="BG506" s="10"/>
      <c r="BH506" s="10"/>
      <c r="BI506" s="10"/>
      <c r="BJ506" s="10"/>
      <c r="BK506" s="10"/>
      <c r="BL506" s="10"/>
      <c r="BM506" s="10"/>
      <c r="BN506" s="10"/>
      <c r="BO506" s="10"/>
      <c r="BP506" s="10"/>
      <c r="BQ506" s="10"/>
      <c r="BR506" s="10"/>
      <c r="BS506" s="10"/>
      <c r="BT506" s="10"/>
      <c r="BU506" s="10"/>
    </row>
    <row r="507" spans="15:73" x14ac:dyDescent="0.2"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"/>
      <c r="BC507" s="10"/>
      <c r="BD507" s="10"/>
      <c r="BE507" s="10"/>
      <c r="BF507" s="10"/>
      <c r="BG507" s="10"/>
      <c r="BH507" s="10"/>
      <c r="BI507" s="10"/>
      <c r="BJ507" s="10"/>
      <c r="BK507" s="10"/>
      <c r="BL507" s="10"/>
      <c r="BM507" s="10"/>
      <c r="BN507" s="10"/>
      <c r="BO507" s="10"/>
      <c r="BP507" s="10"/>
      <c r="BQ507" s="10"/>
      <c r="BR507" s="10"/>
      <c r="BS507" s="10"/>
      <c r="BT507" s="10"/>
      <c r="BU507" s="10"/>
    </row>
    <row r="508" spans="15:73" x14ac:dyDescent="0.2"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"/>
      <c r="BC508" s="10"/>
      <c r="BD508" s="10"/>
      <c r="BE508" s="10"/>
      <c r="BF508" s="10"/>
      <c r="BG508" s="10"/>
      <c r="BH508" s="10"/>
      <c r="BI508" s="10"/>
      <c r="BJ508" s="10"/>
      <c r="BK508" s="10"/>
      <c r="BL508" s="10"/>
      <c r="BM508" s="10"/>
      <c r="BN508" s="10"/>
      <c r="BO508" s="10"/>
      <c r="BP508" s="10"/>
      <c r="BQ508" s="10"/>
      <c r="BR508" s="10"/>
      <c r="BS508" s="10"/>
      <c r="BT508" s="10"/>
      <c r="BU508" s="10"/>
    </row>
    <row r="509" spans="15:73" x14ac:dyDescent="0.2"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"/>
      <c r="BC509" s="10"/>
      <c r="BD509" s="10"/>
      <c r="BE509" s="10"/>
      <c r="BF509" s="10"/>
      <c r="BG509" s="10"/>
      <c r="BH509" s="10"/>
      <c r="BI509" s="10"/>
      <c r="BJ509" s="10"/>
      <c r="BK509" s="10"/>
      <c r="BL509" s="10"/>
      <c r="BM509" s="10"/>
      <c r="BN509" s="10"/>
      <c r="BO509" s="10"/>
      <c r="BP509" s="10"/>
      <c r="BQ509" s="10"/>
      <c r="BR509" s="10"/>
      <c r="BS509" s="10"/>
      <c r="BT509" s="10"/>
      <c r="BU509" s="10"/>
    </row>
    <row r="510" spans="15:73" x14ac:dyDescent="0.2"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"/>
      <c r="BC510" s="10"/>
      <c r="BD510" s="10"/>
      <c r="BE510" s="10"/>
      <c r="BF510" s="10"/>
      <c r="BG510" s="10"/>
      <c r="BH510" s="10"/>
      <c r="BI510" s="10"/>
      <c r="BJ510" s="10"/>
      <c r="BK510" s="10"/>
      <c r="BL510" s="10"/>
      <c r="BM510" s="10"/>
      <c r="BN510" s="10"/>
      <c r="BO510" s="10"/>
      <c r="BP510" s="10"/>
      <c r="BQ510" s="10"/>
      <c r="BR510" s="10"/>
      <c r="BS510" s="10"/>
      <c r="BT510" s="10"/>
      <c r="BU510" s="10"/>
    </row>
    <row r="511" spans="15:73" x14ac:dyDescent="0.2"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"/>
      <c r="BC511" s="10"/>
      <c r="BD511" s="10"/>
      <c r="BE511" s="10"/>
      <c r="BF511" s="10"/>
      <c r="BG511" s="10"/>
      <c r="BH511" s="10"/>
      <c r="BI511" s="10"/>
      <c r="BJ511" s="10"/>
      <c r="BK511" s="10"/>
      <c r="BL511" s="10"/>
      <c r="BM511" s="10"/>
      <c r="BN511" s="10"/>
      <c r="BO511" s="10"/>
      <c r="BP511" s="10"/>
      <c r="BQ511" s="10"/>
      <c r="BR511" s="10"/>
      <c r="BS511" s="10"/>
      <c r="BT511" s="10"/>
      <c r="BU511" s="10"/>
    </row>
    <row r="512" spans="15:73" x14ac:dyDescent="0.2"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  <c r="BL512" s="10"/>
      <c r="BM512" s="10"/>
      <c r="BN512" s="10"/>
      <c r="BO512" s="10"/>
      <c r="BP512" s="10"/>
      <c r="BQ512" s="10"/>
      <c r="BR512" s="10"/>
      <c r="BS512" s="10"/>
      <c r="BT512" s="10"/>
      <c r="BU512" s="10"/>
    </row>
    <row r="513" spans="15:73" x14ac:dyDescent="0.2"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  <c r="BD513" s="10"/>
      <c r="BE513" s="10"/>
      <c r="BF513" s="10"/>
      <c r="BG513" s="10"/>
      <c r="BH513" s="10"/>
      <c r="BI513" s="10"/>
      <c r="BJ513" s="10"/>
      <c r="BK513" s="10"/>
      <c r="BL513" s="10"/>
      <c r="BM513" s="10"/>
      <c r="BN513" s="10"/>
      <c r="BO513" s="10"/>
      <c r="BP513" s="10"/>
      <c r="BQ513" s="10"/>
      <c r="BR513" s="10"/>
      <c r="BS513" s="10"/>
      <c r="BT513" s="10"/>
      <c r="BU513" s="10"/>
    </row>
    <row r="514" spans="15:73" x14ac:dyDescent="0.2"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"/>
      <c r="BC514" s="10"/>
      <c r="BD514" s="10"/>
      <c r="BE514" s="10"/>
      <c r="BF514" s="10"/>
      <c r="BG514" s="10"/>
      <c r="BH514" s="10"/>
      <c r="BI514" s="10"/>
      <c r="BJ514" s="10"/>
      <c r="BK514" s="10"/>
      <c r="BL514" s="10"/>
      <c r="BM514" s="10"/>
      <c r="BN514" s="10"/>
      <c r="BO514" s="10"/>
      <c r="BP514" s="10"/>
      <c r="BQ514" s="10"/>
      <c r="BR514" s="10"/>
      <c r="BS514" s="10"/>
      <c r="BT514" s="10"/>
      <c r="BU514" s="10"/>
    </row>
    <row r="515" spans="15:73" x14ac:dyDescent="0.2"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"/>
      <c r="BC515" s="10"/>
      <c r="BD515" s="10"/>
      <c r="BE515" s="10"/>
      <c r="BF515" s="10"/>
      <c r="BG515" s="10"/>
      <c r="BH515" s="10"/>
      <c r="BI515" s="10"/>
      <c r="BJ515" s="10"/>
      <c r="BK515" s="10"/>
      <c r="BL515" s="10"/>
      <c r="BM515" s="10"/>
      <c r="BN515" s="10"/>
      <c r="BO515" s="10"/>
      <c r="BP515" s="10"/>
      <c r="BQ515" s="10"/>
      <c r="BR515" s="10"/>
      <c r="BS515" s="10"/>
      <c r="BT515" s="10"/>
      <c r="BU515" s="10"/>
    </row>
    <row r="516" spans="15:73" x14ac:dyDescent="0.2"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"/>
      <c r="BC516" s="10"/>
      <c r="BD516" s="10"/>
      <c r="BE516" s="10"/>
      <c r="BF516" s="10"/>
      <c r="BG516" s="10"/>
      <c r="BH516" s="10"/>
      <c r="BI516" s="10"/>
      <c r="BJ516" s="10"/>
      <c r="BK516" s="10"/>
      <c r="BL516" s="10"/>
      <c r="BM516" s="10"/>
      <c r="BN516" s="10"/>
      <c r="BO516" s="10"/>
      <c r="BP516" s="10"/>
      <c r="BQ516" s="10"/>
      <c r="BR516" s="10"/>
      <c r="BS516" s="10"/>
      <c r="BT516" s="10"/>
      <c r="BU516" s="10"/>
    </row>
    <row r="517" spans="15:73" x14ac:dyDescent="0.2"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"/>
      <c r="BC517" s="10"/>
      <c r="BD517" s="10"/>
      <c r="BE517" s="10"/>
      <c r="BF517" s="10"/>
      <c r="BG517" s="10"/>
      <c r="BH517" s="10"/>
      <c r="BI517" s="10"/>
      <c r="BJ517" s="10"/>
      <c r="BK517" s="10"/>
      <c r="BL517" s="10"/>
      <c r="BM517" s="10"/>
      <c r="BN517" s="10"/>
      <c r="BO517" s="10"/>
      <c r="BP517" s="10"/>
      <c r="BQ517" s="10"/>
      <c r="BR517" s="10"/>
      <c r="BS517" s="10"/>
      <c r="BT517" s="10"/>
      <c r="BU517" s="10"/>
    </row>
    <row r="518" spans="15:73" x14ac:dyDescent="0.2"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  <c r="BD518" s="10"/>
      <c r="BE518" s="10"/>
      <c r="BF518" s="10"/>
      <c r="BG518" s="10"/>
      <c r="BH518" s="10"/>
      <c r="BI518" s="10"/>
      <c r="BJ518" s="10"/>
      <c r="BK518" s="10"/>
      <c r="BL518" s="10"/>
      <c r="BM518" s="10"/>
      <c r="BN518" s="10"/>
      <c r="BO518" s="10"/>
      <c r="BP518" s="10"/>
      <c r="BQ518" s="10"/>
      <c r="BR518" s="10"/>
      <c r="BS518" s="10"/>
      <c r="BT518" s="10"/>
      <c r="BU518" s="10"/>
    </row>
    <row r="519" spans="15:73" x14ac:dyDescent="0.2"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"/>
      <c r="BC519" s="10"/>
      <c r="BD519" s="10"/>
      <c r="BE519" s="10"/>
      <c r="BF519" s="10"/>
      <c r="BG519" s="10"/>
      <c r="BH519" s="10"/>
      <c r="BI519" s="10"/>
      <c r="BJ519" s="10"/>
      <c r="BK519" s="10"/>
      <c r="BL519" s="10"/>
      <c r="BM519" s="10"/>
      <c r="BN519" s="10"/>
      <c r="BO519" s="10"/>
      <c r="BP519" s="10"/>
      <c r="BQ519" s="10"/>
      <c r="BR519" s="10"/>
      <c r="BS519" s="10"/>
      <c r="BT519" s="10"/>
      <c r="BU519" s="10"/>
    </row>
    <row r="520" spans="15:73" x14ac:dyDescent="0.2"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"/>
      <c r="BC520" s="10"/>
      <c r="BD520" s="10"/>
      <c r="BE520" s="10"/>
      <c r="BF520" s="10"/>
      <c r="BG520" s="10"/>
      <c r="BH520" s="10"/>
      <c r="BI520" s="10"/>
      <c r="BJ520" s="10"/>
      <c r="BK520" s="10"/>
      <c r="BL520" s="10"/>
      <c r="BM520" s="10"/>
      <c r="BN520" s="10"/>
      <c r="BO520" s="10"/>
      <c r="BP520" s="10"/>
      <c r="BQ520" s="10"/>
      <c r="BR520" s="10"/>
      <c r="BS520" s="10"/>
      <c r="BT520" s="10"/>
      <c r="BU520" s="10"/>
    </row>
    <row r="521" spans="15:73" x14ac:dyDescent="0.2"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"/>
      <c r="BC521" s="10"/>
      <c r="BD521" s="10"/>
      <c r="BE521" s="10"/>
      <c r="BF521" s="10"/>
      <c r="BG521" s="10"/>
      <c r="BH521" s="10"/>
      <c r="BI521" s="10"/>
      <c r="BJ521" s="10"/>
      <c r="BK521" s="10"/>
      <c r="BL521" s="10"/>
      <c r="BM521" s="10"/>
      <c r="BN521" s="10"/>
      <c r="BO521" s="10"/>
      <c r="BP521" s="10"/>
      <c r="BQ521" s="10"/>
      <c r="BR521" s="10"/>
      <c r="BS521" s="10"/>
      <c r="BT521" s="10"/>
      <c r="BU521" s="10"/>
    </row>
    <row r="522" spans="15:73" x14ac:dyDescent="0.2"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"/>
      <c r="BC522" s="10"/>
      <c r="BD522" s="10"/>
      <c r="BE522" s="10"/>
      <c r="BF522" s="10"/>
      <c r="BG522" s="10"/>
      <c r="BH522" s="10"/>
      <c r="BI522" s="10"/>
      <c r="BJ522" s="10"/>
      <c r="BK522" s="10"/>
      <c r="BL522" s="10"/>
      <c r="BM522" s="10"/>
      <c r="BN522" s="10"/>
      <c r="BO522" s="10"/>
      <c r="BP522" s="10"/>
      <c r="BQ522" s="10"/>
      <c r="BR522" s="10"/>
      <c r="BS522" s="10"/>
      <c r="BT522" s="10"/>
      <c r="BU522" s="10"/>
    </row>
    <row r="523" spans="15:73" x14ac:dyDescent="0.2"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"/>
      <c r="BC523" s="10"/>
      <c r="BD523" s="10"/>
      <c r="BE523" s="10"/>
      <c r="BF523" s="10"/>
      <c r="BG523" s="10"/>
      <c r="BH523" s="10"/>
      <c r="BI523" s="10"/>
      <c r="BJ523" s="10"/>
      <c r="BK523" s="10"/>
      <c r="BL523" s="10"/>
      <c r="BM523" s="10"/>
      <c r="BN523" s="10"/>
      <c r="BO523" s="10"/>
      <c r="BP523" s="10"/>
      <c r="BQ523" s="10"/>
      <c r="BR523" s="10"/>
      <c r="BS523" s="10"/>
      <c r="BT523" s="10"/>
      <c r="BU523" s="10"/>
    </row>
    <row r="524" spans="15:73" x14ac:dyDescent="0.2"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"/>
      <c r="BC524" s="10"/>
      <c r="BD524" s="10"/>
      <c r="BE524" s="10"/>
      <c r="BF524" s="10"/>
      <c r="BG524" s="10"/>
      <c r="BH524" s="10"/>
      <c r="BI524" s="10"/>
      <c r="BJ524" s="10"/>
      <c r="BK524" s="10"/>
      <c r="BL524" s="10"/>
      <c r="BM524" s="10"/>
      <c r="BN524" s="10"/>
      <c r="BO524" s="10"/>
      <c r="BP524" s="10"/>
      <c r="BQ524" s="10"/>
      <c r="BR524" s="10"/>
      <c r="BS524" s="10"/>
      <c r="BT524" s="10"/>
      <c r="BU524" s="10"/>
    </row>
    <row r="525" spans="15:73" x14ac:dyDescent="0.2"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"/>
      <c r="BC525" s="10"/>
      <c r="BD525" s="10"/>
      <c r="BE525" s="10"/>
      <c r="BF525" s="10"/>
      <c r="BG525" s="10"/>
      <c r="BH525" s="10"/>
      <c r="BI525" s="10"/>
      <c r="BJ525" s="10"/>
      <c r="BK525" s="10"/>
      <c r="BL525" s="10"/>
      <c r="BM525" s="10"/>
      <c r="BN525" s="10"/>
      <c r="BO525" s="10"/>
      <c r="BP525" s="10"/>
      <c r="BQ525" s="10"/>
      <c r="BR525" s="10"/>
      <c r="BS525" s="10"/>
      <c r="BT525" s="10"/>
      <c r="BU525" s="10"/>
    </row>
    <row r="526" spans="15:73" x14ac:dyDescent="0.2"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"/>
      <c r="BC526" s="10"/>
      <c r="BD526" s="10"/>
      <c r="BE526" s="10"/>
      <c r="BF526" s="10"/>
      <c r="BG526" s="10"/>
      <c r="BH526" s="10"/>
      <c r="BI526" s="10"/>
      <c r="BJ526" s="10"/>
      <c r="BK526" s="10"/>
      <c r="BL526" s="10"/>
      <c r="BM526" s="10"/>
      <c r="BN526" s="10"/>
      <c r="BO526" s="10"/>
      <c r="BP526" s="10"/>
      <c r="BQ526" s="10"/>
      <c r="BR526" s="10"/>
      <c r="BS526" s="10"/>
      <c r="BT526" s="10"/>
      <c r="BU526" s="10"/>
    </row>
    <row r="527" spans="15:73" x14ac:dyDescent="0.2"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"/>
      <c r="BC527" s="10"/>
      <c r="BD527" s="10"/>
      <c r="BE527" s="10"/>
      <c r="BF527" s="10"/>
      <c r="BG527" s="10"/>
      <c r="BH527" s="10"/>
      <c r="BI527" s="10"/>
      <c r="BJ527" s="10"/>
      <c r="BK527" s="10"/>
      <c r="BL527" s="10"/>
      <c r="BM527" s="10"/>
      <c r="BN527" s="10"/>
      <c r="BO527" s="10"/>
      <c r="BP527" s="10"/>
      <c r="BQ527" s="10"/>
      <c r="BR527" s="10"/>
      <c r="BS527" s="10"/>
      <c r="BT527" s="10"/>
      <c r="BU527" s="10"/>
    </row>
    <row r="528" spans="15:73" x14ac:dyDescent="0.2"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"/>
      <c r="BC528" s="10"/>
      <c r="BD528" s="10"/>
      <c r="BE528" s="10"/>
      <c r="BF528" s="10"/>
      <c r="BG528" s="10"/>
      <c r="BH528" s="10"/>
      <c r="BI528" s="10"/>
      <c r="BJ528" s="10"/>
      <c r="BK528" s="10"/>
      <c r="BL528" s="10"/>
      <c r="BM528" s="10"/>
      <c r="BN528" s="10"/>
      <c r="BO528" s="10"/>
      <c r="BP528" s="10"/>
      <c r="BQ528" s="10"/>
      <c r="BR528" s="10"/>
      <c r="BS528" s="10"/>
      <c r="BT528" s="10"/>
      <c r="BU528" s="10"/>
    </row>
    <row r="529" spans="15:73" x14ac:dyDescent="0.2"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"/>
      <c r="BC529" s="10"/>
      <c r="BD529" s="10"/>
      <c r="BE529" s="10"/>
      <c r="BF529" s="10"/>
      <c r="BG529" s="10"/>
      <c r="BH529" s="10"/>
      <c r="BI529" s="10"/>
      <c r="BJ529" s="10"/>
      <c r="BK529" s="10"/>
      <c r="BL529" s="10"/>
      <c r="BM529" s="10"/>
      <c r="BN529" s="10"/>
      <c r="BO529" s="10"/>
      <c r="BP529" s="10"/>
      <c r="BQ529" s="10"/>
      <c r="BR529" s="10"/>
      <c r="BS529" s="10"/>
      <c r="BT529" s="10"/>
      <c r="BU529" s="10"/>
    </row>
    <row r="530" spans="15:73" x14ac:dyDescent="0.2"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"/>
      <c r="BC530" s="10"/>
      <c r="BD530" s="10"/>
      <c r="BE530" s="10"/>
      <c r="BF530" s="10"/>
      <c r="BG530" s="10"/>
      <c r="BH530" s="10"/>
      <c r="BI530" s="10"/>
      <c r="BJ530" s="10"/>
      <c r="BK530" s="10"/>
      <c r="BL530" s="10"/>
      <c r="BM530" s="10"/>
      <c r="BN530" s="10"/>
      <c r="BO530" s="10"/>
      <c r="BP530" s="10"/>
      <c r="BQ530" s="10"/>
      <c r="BR530" s="10"/>
      <c r="BS530" s="10"/>
      <c r="BT530" s="10"/>
      <c r="BU530" s="10"/>
    </row>
    <row r="531" spans="15:73" x14ac:dyDescent="0.2"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"/>
      <c r="BC531" s="10"/>
      <c r="BD531" s="10"/>
      <c r="BE531" s="10"/>
      <c r="BF531" s="10"/>
      <c r="BG531" s="10"/>
      <c r="BH531" s="10"/>
      <c r="BI531" s="10"/>
      <c r="BJ531" s="10"/>
      <c r="BK531" s="10"/>
      <c r="BL531" s="10"/>
      <c r="BM531" s="10"/>
      <c r="BN531" s="10"/>
      <c r="BO531" s="10"/>
      <c r="BP531" s="10"/>
      <c r="BQ531" s="10"/>
      <c r="BR531" s="10"/>
      <c r="BS531" s="10"/>
      <c r="BT531" s="10"/>
      <c r="BU531" s="10"/>
    </row>
    <row r="532" spans="15:73" x14ac:dyDescent="0.2"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"/>
      <c r="BC532" s="10"/>
      <c r="BD532" s="10"/>
      <c r="BE532" s="10"/>
      <c r="BF532" s="10"/>
      <c r="BG532" s="10"/>
      <c r="BH532" s="10"/>
      <c r="BI532" s="10"/>
      <c r="BJ532" s="10"/>
      <c r="BK532" s="10"/>
      <c r="BL532" s="10"/>
      <c r="BM532" s="10"/>
      <c r="BN532" s="10"/>
      <c r="BO532" s="10"/>
      <c r="BP532" s="10"/>
      <c r="BQ532" s="10"/>
      <c r="BR532" s="10"/>
      <c r="BS532" s="10"/>
      <c r="BT532" s="10"/>
      <c r="BU532" s="10"/>
    </row>
    <row r="533" spans="15:73" x14ac:dyDescent="0.2"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"/>
      <c r="BC533" s="10"/>
      <c r="BD533" s="10"/>
      <c r="BE533" s="10"/>
      <c r="BF533" s="10"/>
      <c r="BG533" s="10"/>
      <c r="BH533" s="10"/>
      <c r="BI533" s="10"/>
      <c r="BJ533" s="10"/>
      <c r="BK533" s="10"/>
      <c r="BL533" s="10"/>
      <c r="BM533" s="10"/>
      <c r="BN533" s="10"/>
      <c r="BO533" s="10"/>
      <c r="BP533" s="10"/>
      <c r="BQ533" s="10"/>
      <c r="BR533" s="10"/>
      <c r="BS533" s="10"/>
      <c r="BT533" s="10"/>
      <c r="BU533" s="10"/>
    </row>
    <row r="534" spans="15:73" x14ac:dyDescent="0.2"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"/>
      <c r="BC534" s="10"/>
      <c r="BD534" s="10"/>
      <c r="BE534" s="10"/>
      <c r="BF534" s="10"/>
      <c r="BG534" s="10"/>
      <c r="BH534" s="10"/>
      <c r="BI534" s="10"/>
      <c r="BJ534" s="10"/>
      <c r="BK534" s="10"/>
      <c r="BL534" s="10"/>
      <c r="BM534" s="10"/>
      <c r="BN534" s="10"/>
      <c r="BO534" s="10"/>
      <c r="BP534" s="10"/>
      <c r="BQ534" s="10"/>
      <c r="BR534" s="10"/>
      <c r="BS534" s="10"/>
      <c r="BT534" s="10"/>
      <c r="BU534" s="10"/>
    </row>
    <row r="535" spans="15:73" x14ac:dyDescent="0.2"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"/>
      <c r="BC535" s="10"/>
      <c r="BD535" s="10"/>
      <c r="BE535" s="10"/>
      <c r="BF535" s="10"/>
      <c r="BG535" s="10"/>
      <c r="BH535" s="10"/>
      <c r="BI535" s="10"/>
      <c r="BJ535" s="10"/>
      <c r="BK535" s="10"/>
      <c r="BL535" s="10"/>
      <c r="BM535" s="10"/>
      <c r="BN535" s="10"/>
      <c r="BO535" s="10"/>
      <c r="BP535" s="10"/>
      <c r="BQ535" s="10"/>
      <c r="BR535" s="10"/>
      <c r="BS535" s="10"/>
      <c r="BT535" s="10"/>
      <c r="BU535" s="10"/>
    </row>
    <row r="536" spans="15:73" x14ac:dyDescent="0.2"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10"/>
      <c r="AX536" s="10"/>
      <c r="AY536" s="10"/>
      <c r="AZ536" s="10"/>
      <c r="BA536" s="10"/>
      <c r="BB536" s="10"/>
      <c r="BC536" s="10"/>
      <c r="BD536" s="10"/>
      <c r="BE536" s="10"/>
      <c r="BF536" s="10"/>
      <c r="BG536" s="10"/>
      <c r="BH536" s="10"/>
      <c r="BI536" s="10"/>
      <c r="BJ536" s="10"/>
      <c r="BK536" s="10"/>
      <c r="BL536" s="10"/>
      <c r="BM536" s="10"/>
      <c r="BN536" s="10"/>
      <c r="BO536" s="10"/>
      <c r="BP536" s="10"/>
      <c r="BQ536" s="10"/>
      <c r="BR536" s="10"/>
      <c r="BS536" s="10"/>
      <c r="BT536" s="10"/>
      <c r="BU536" s="10"/>
    </row>
    <row r="537" spans="15:73" x14ac:dyDescent="0.2"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10"/>
      <c r="AX537" s="10"/>
      <c r="AY537" s="10"/>
      <c r="AZ537" s="10"/>
      <c r="BA537" s="10"/>
      <c r="BB537" s="10"/>
      <c r="BC537" s="10"/>
      <c r="BD537" s="10"/>
      <c r="BE537" s="10"/>
      <c r="BF537" s="10"/>
      <c r="BG537" s="10"/>
      <c r="BH537" s="10"/>
      <c r="BI537" s="10"/>
      <c r="BJ537" s="10"/>
      <c r="BK537" s="10"/>
      <c r="BL537" s="10"/>
      <c r="BM537" s="10"/>
      <c r="BN537" s="10"/>
      <c r="BO537" s="10"/>
      <c r="BP537" s="10"/>
      <c r="BQ537" s="10"/>
      <c r="BR537" s="10"/>
      <c r="BS537" s="10"/>
      <c r="BT537" s="10"/>
      <c r="BU537" s="10"/>
    </row>
    <row r="538" spans="15:73" x14ac:dyDescent="0.2"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10"/>
      <c r="AX538" s="10"/>
      <c r="AY538" s="10"/>
      <c r="AZ538" s="10"/>
      <c r="BA538" s="10"/>
      <c r="BB538" s="10"/>
      <c r="BC538" s="10"/>
      <c r="BD538" s="10"/>
      <c r="BE538" s="10"/>
      <c r="BF538" s="10"/>
      <c r="BG538" s="10"/>
      <c r="BH538" s="10"/>
      <c r="BI538" s="10"/>
      <c r="BJ538" s="10"/>
      <c r="BK538" s="10"/>
      <c r="BL538" s="10"/>
      <c r="BM538" s="10"/>
      <c r="BN538" s="10"/>
      <c r="BO538" s="10"/>
      <c r="BP538" s="10"/>
      <c r="BQ538" s="10"/>
      <c r="BR538" s="10"/>
      <c r="BS538" s="10"/>
      <c r="BT538" s="10"/>
      <c r="BU538" s="10"/>
    </row>
    <row r="539" spans="15:73" x14ac:dyDescent="0.2"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"/>
      <c r="BC539" s="10"/>
      <c r="BD539" s="10"/>
      <c r="BE539" s="10"/>
      <c r="BF539" s="10"/>
      <c r="BG539" s="10"/>
      <c r="BH539" s="10"/>
      <c r="BI539" s="10"/>
      <c r="BJ539" s="10"/>
      <c r="BK539" s="10"/>
      <c r="BL539" s="10"/>
      <c r="BM539" s="10"/>
      <c r="BN539" s="10"/>
      <c r="BO539" s="10"/>
      <c r="BP539" s="10"/>
      <c r="BQ539" s="10"/>
      <c r="BR539" s="10"/>
      <c r="BS539" s="10"/>
      <c r="BT539" s="10"/>
      <c r="BU539" s="10"/>
    </row>
    <row r="540" spans="15:73" x14ac:dyDescent="0.2"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10"/>
      <c r="AX540" s="10"/>
      <c r="AY540" s="10"/>
      <c r="AZ540" s="10"/>
      <c r="BA540" s="10"/>
      <c r="BB540" s="10"/>
      <c r="BC540" s="10"/>
      <c r="BD540" s="10"/>
      <c r="BE540" s="10"/>
      <c r="BF540" s="10"/>
      <c r="BG540" s="10"/>
      <c r="BH540" s="10"/>
      <c r="BI540" s="10"/>
      <c r="BJ540" s="10"/>
      <c r="BK540" s="10"/>
      <c r="BL540" s="10"/>
      <c r="BM540" s="10"/>
      <c r="BN540" s="10"/>
      <c r="BO540" s="10"/>
      <c r="BP540" s="10"/>
      <c r="BQ540" s="10"/>
      <c r="BR540" s="10"/>
      <c r="BS540" s="10"/>
      <c r="BT540" s="10"/>
      <c r="BU540" s="10"/>
    </row>
    <row r="541" spans="15:73" x14ac:dyDescent="0.2"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10"/>
      <c r="AX541" s="10"/>
      <c r="AY541" s="10"/>
      <c r="AZ541" s="10"/>
      <c r="BA541" s="10"/>
      <c r="BB541" s="10"/>
      <c r="BC541" s="10"/>
      <c r="BD541" s="10"/>
      <c r="BE541" s="10"/>
      <c r="BF541" s="10"/>
      <c r="BG541" s="10"/>
      <c r="BH541" s="10"/>
      <c r="BI541" s="10"/>
      <c r="BJ541" s="10"/>
      <c r="BK541" s="10"/>
      <c r="BL541" s="10"/>
      <c r="BM541" s="10"/>
      <c r="BN541" s="10"/>
      <c r="BO541" s="10"/>
      <c r="BP541" s="10"/>
      <c r="BQ541" s="10"/>
      <c r="BR541" s="10"/>
      <c r="BS541" s="10"/>
      <c r="BT541" s="10"/>
      <c r="BU541" s="10"/>
    </row>
    <row r="542" spans="15:73" x14ac:dyDescent="0.2"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10"/>
      <c r="AX542" s="10"/>
      <c r="AY542" s="10"/>
      <c r="AZ542" s="10"/>
      <c r="BA542" s="10"/>
      <c r="BB542" s="10"/>
      <c r="BC542" s="10"/>
      <c r="BD542" s="10"/>
      <c r="BE542" s="10"/>
      <c r="BF542" s="10"/>
      <c r="BG542" s="10"/>
      <c r="BH542" s="10"/>
      <c r="BI542" s="10"/>
      <c r="BJ542" s="10"/>
      <c r="BK542" s="10"/>
      <c r="BL542" s="10"/>
      <c r="BM542" s="10"/>
      <c r="BN542" s="10"/>
      <c r="BO542" s="10"/>
      <c r="BP542" s="10"/>
      <c r="BQ542" s="10"/>
      <c r="BR542" s="10"/>
      <c r="BS542" s="10"/>
      <c r="BT542" s="10"/>
      <c r="BU542" s="10"/>
    </row>
    <row r="543" spans="15:73" x14ac:dyDescent="0.2"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10"/>
      <c r="AX543" s="10"/>
      <c r="AY543" s="10"/>
      <c r="AZ543" s="10"/>
      <c r="BA543" s="10"/>
      <c r="BB543" s="10"/>
      <c r="BC543" s="10"/>
      <c r="BD543" s="10"/>
      <c r="BE543" s="10"/>
      <c r="BF543" s="10"/>
      <c r="BG543" s="10"/>
      <c r="BH543" s="10"/>
      <c r="BI543" s="10"/>
      <c r="BJ543" s="10"/>
      <c r="BK543" s="10"/>
      <c r="BL543" s="10"/>
      <c r="BM543" s="10"/>
      <c r="BN543" s="10"/>
      <c r="BO543" s="10"/>
      <c r="BP543" s="10"/>
      <c r="BQ543" s="10"/>
      <c r="BR543" s="10"/>
      <c r="BS543" s="10"/>
      <c r="BT543" s="10"/>
      <c r="BU543" s="10"/>
    </row>
    <row r="544" spans="15:73" x14ac:dyDescent="0.2"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10"/>
      <c r="AX544" s="10"/>
      <c r="AY544" s="10"/>
      <c r="AZ544" s="10"/>
      <c r="BA544" s="10"/>
      <c r="BB544" s="10"/>
      <c r="BC544" s="10"/>
      <c r="BD544" s="10"/>
      <c r="BE544" s="10"/>
      <c r="BF544" s="10"/>
      <c r="BG544" s="10"/>
      <c r="BH544" s="10"/>
      <c r="BI544" s="10"/>
      <c r="BJ544" s="10"/>
      <c r="BK544" s="10"/>
      <c r="BL544" s="10"/>
      <c r="BM544" s="10"/>
      <c r="BN544" s="10"/>
      <c r="BO544" s="10"/>
      <c r="BP544" s="10"/>
      <c r="BQ544" s="10"/>
      <c r="BR544" s="10"/>
      <c r="BS544" s="10"/>
      <c r="BT544" s="10"/>
      <c r="BU544" s="10"/>
    </row>
    <row r="545" spans="15:73" x14ac:dyDescent="0.2"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10"/>
      <c r="AX545" s="10"/>
      <c r="AY545" s="10"/>
      <c r="AZ545" s="10"/>
      <c r="BA545" s="10"/>
      <c r="BB545" s="10"/>
      <c r="BC545" s="10"/>
      <c r="BD545" s="10"/>
      <c r="BE545" s="10"/>
      <c r="BF545" s="10"/>
      <c r="BG545" s="10"/>
      <c r="BH545" s="10"/>
      <c r="BI545" s="10"/>
      <c r="BJ545" s="10"/>
      <c r="BK545" s="10"/>
      <c r="BL545" s="10"/>
      <c r="BM545" s="10"/>
      <c r="BN545" s="10"/>
      <c r="BO545" s="10"/>
      <c r="BP545" s="10"/>
      <c r="BQ545" s="10"/>
      <c r="BR545" s="10"/>
      <c r="BS545" s="10"/>
      <c r="BT545" s="10"/>
      <c r="BU545" s="10"/>
    </row>
  </sheetData>
  <dataConsolidate/>
  <phoneticPr fontId="3" type="noConversion"/>
  <pageMargins left="0.75" right="0.75" top="1" bottom="1" header="0.5" footer="0.5"/>
  <pageSetup scale="64" orientation="portrait" verticalDpi="300" r:id="rId1"/>
  <headerFooter alignWithMargins="0"/>
  <ignoredErrors>
    <ignoredError sqref="K34 K27 K15 K38 K42 K44 K23 K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4"/>
  <sheetViews>
    <sheetView showGridLines="0" zoomScaleNormal="100" workbookViewId="0"/>
  </sheetViews>
  <sheetFormatPr defaultRowHeight="12.75" x14ac:dyDescent="0.2"/>
  <cols>
    <col min="1" max="1" width="14.7109375" customWidth="1"/>
    <col min="2" max="2" width="11.7109375" customWidth="1"/>
    <col min="3" max="3" width="10.7109375" customWidth="1"/>
    <col min="4" max="4" width="7.7109375" customWidth="1"/>
    <col min="5" max="5" width="10.7109375" customWidth="1"/>
    <col min="6" max="6" width="1.7109375" customWidth="1"/>
    <col min="7" max="10" width="10.7109375" customWidth="1"/>
    <col min="11" max="11" width="7.7109375" customWidth="1"/>
  </cols>
  <sheetData>
    <row r="1" spans="1:12" ht="14.25" x14ac:dyDescent="0.2">
      <c r="A1" s="37" t="s">
        <v>23</v>
      </c>
      <c r="B1" s="37"/>
      <c r="C1" s="37"/>
      <c r="D1" s="37"/>
      <c r="E1" s="37"/>
      <c r="F1" s="37"/>
      <c r="G1" s="37"/>
      <c r="H1" s="37"/>
      <c r="I1" s="37"/>
      <c r="J1" s="37"/>
    </row>
    <row r="2" spans="1:12" ht="14.25" x14ac:dyDescent="0.2">
      <c r="A2" s="38"/>
      <c r="B2" s="169" t="s">
        <v>0</v>
      </c>
      <c r="C2" s="169"/>
      <c r="D2" s="169"/>
      <c r="E2" s="169"/>
      <c r="F2" s="41"/>
      <c r="G2" s="169" t="s">
        <v>24</v>
      </c>
      <c r="H2" s="169"/>
      <c r="I2" s="169"/>
      <c r="J2" s="38"/>
    </row>
    <row r="3" spans="1:12" ht="14.25" x14ac:dyDescent="0.2">
      <c r="A3" s="38" t="s">
        <v>83</v>
      </c>
      <c r="B3" s="40" t="s">
        <v>8</v>
      </c>
      <c r="C3" s="42"/>
      <c r="D3" s="42"/>
      <c r="E3" s="42"/>
      <c r="F3" s="42"/>
      <c r="G3" s="42"/>
      <c r="H3" s="42"/>
      <c r="I3" s="42"/>
      <c r="J3" s="40" t="s">
        <v>34</v>
      </c>
    </row>
    <row r="4" spans="1:12" ht="14.25" x14ac:dyDescent="0.2">
      <c r="A4" s="43" t="s">
        <v>84</v>
      </c>
      <c r="B4" s="45" t="s">
        <v>33</v>
      </c>
      <c r="C4" s="45" t="s">
        <v>1</v>
      </c>
      <c r="D4" s="45" t="s">
        <v>2</v>
      </c>
      <c r="E4" s="47" t="s">
        <v>32</v>
      </c>
      <c r="F4" s="46"/>
      <c r="G4" s="45" t="s">
        <v>35</v>
      </c>
      <c r="H4" s="45" t="s">
        <v>31</v>
      </c>
      <c r="I4" s="45" t="s">
        <v>32</v>
      </c>
      <c r="J4" s="45" t="s">
        <v>95</v>
      </c>
    </row>
    <row r="5" spans="1:12" ht="14.25" x14ac:dyDescent="0.2">
      <c r="A5" s="38"/>
      <c r="B5" s="170" t="s">
        <v>103</v>
      </c>
      <c r="C5" s="170"/>
      <c r="D5" s="170"/>
      <c r="E5" s="170"/>
      <c r="F5" s="170"/>
      <c r="G5" s="170"/>
      <c r="H5" s="170"/>
      <c r="I5" s="170"/>
      <c r="J5" s="170"/>
    </row>
    <row r="6" spans="1:12" ht="16.5" x14ac:dyDescent="0.2">
      <c r="A6" s="38" t="s">
        <v>139</v>
      </c>
      <c r="B6" s="72">
        <v>400.63</v>
      </c>
      <c r="C6" s="73">
        <f>C23</f>
        <v>49225.606000000007</v>
      </c>
      <c r="D6" s="73">
        <f>D23</f>
        <v>482.79358673947797</v>
      </c>
      <c r="E6" s="52">
        <f t="shared" ref="E6:E8" si="0">SUM(B6:D6)</f>
        <v>50109.029586739482</v>
      </c>
      <c r="F6" s="73"/>
      <c r="G6" s="73">
        <f t="shared" ref="G6:G8" si="1">I6-H6</f>
        <v>35496.563356288301</v>
      </c>
      <c r="H6" s="73">
        <v>14057.042230451181</v>
      </c>
      <c r="I6" s="73">
        <f t="shared" ref="I6:I8" si="2">E6-J6</f>
        <v>49553.605586739483</v>
      </c>
      <c r="J6" s="73">
        <v>555.42399999999998</v>
      </c>
    </row>
    <row r="7" spans="1:12" ht="16.5" x14ac:dyDescent="0.2">
      <c r="A7" s="38" t="s">
        <v>162</v>
      </c>
      <c r="B7" s="72">
        <v>555.42399999999998</v>
      </c>
      <c r="C7" s="73">
        <v>48420</v>
      </c>
      <c r="D7" s="73">
        <v>725</v>
      </c>
      <c r="E7" s="52">
        <f t="shared" si="0"/>
        <v>49700.423999999999</v>
      </c>
      <c r="F7" s="73"/>
      <c r="G7" s="73">
        <f t="shared" si="1"/>
        <v>35700.423999999999</v>
      </c>
      <c r="H7" s="73">
        <v>13550</v>
      </c>
      <c r="I7" s="73">
        <f t="shared" si="2"/>
        <v>49250.423999999999</v>
      </c>
      <c r="J7" s="73">
        <v>450</v>
      </c>
    </row>
    <row r="8" spans="1:12" ht="16.5" x14ac:dyDescent="0.2">
      <c r="A8" s="38" t="s">
        <v>170</v>
      </c>
      <c r="B8" s="72">
        <v>450</v>
      </c>
      <c r="C8" s="73">
        <v>49650</v>
      </c>
      <c r="D8" s="73">
        <v>500</v>
      </c>
      <c r="E8" s="52">
        <f t="shared" si="0"/>
        <v>50600</v>
      </c>
      <c r="F8" s="73"/>
      <c r="G8" s="73">
        <f t="shared" si="1"/>
        <v>36500</v>
      </c>
      <c r="H8" s="73">
        <v>13700</v>
      </c>
      <c r="I8" s="73">
        <f t="shared" si="2"/>
        <v>50200</v>
      </c>
      <c r="J8" s="73">
        <v>400</v>
      </c>
    </row>
    <row r="9" spans="1:12" ht="14.25" x14ac:dyDescent="0.2">
      <c r="A9" s="38"/>
      <c r="B9" s="74"/>
      <c r="C9" s="74"/>
      <c r="D9" s="74"/>
      <c r="E9" s="74"/>
      <c r="F9" s="74"/>
      <c r="G9" s="74"/>
      <c r="H9" s="74"/>
      <c r="I9" s="74"/>
      <c r="J9" s="74"/>
    </row>
    <row r="10" spans="1:12" ht="15.75" x14ac:dyDescent="0.25">
      <c r="A10" s="38" t="s">
        <v>119</v>
      </c>
      <c r="B10" s="74"/>
      <c r="C10" s="59"/>
      <c r="D10" s="59"/>
      <c r="E10" s="59"/>
      <c r="F10" s="75"/>
      <c r="G10" s="59"/>
      <c r="H10" s="59"/>
      <c r="I10" s="59"/>
      <c r="J10" s="75"/>
      <c r="K10" s="21"/>
      <c r="L10" s="21"/>
    </row>
    <row r="11" spans="1:12" ht="15.75" x14ac:dyDescent="0.25">
      <c r="A11" s="41" t="s">
        <v>57</v>
      </c>
      <c r="B11" s="76">
        <v>400.63</v>
      </c>
      <c r="C11" s="59">
        <f>3847.77+276.055</f>
        <v>4123.8249999999998</v>
      </c>
      <c r="D11" s="59">
        <f>(22847.236+3583+112.237+227.84)*2.204622/2000</f>
        <v>29.509210493343002</v>
      </c>
      <c r="E11" s="59">
        <f t="shared" ref="E11:E16" si="3">SUM(B11:D11)</f>
        <v>4553.9642104933428</v>
      </c>
      <c r="F11" s="75"/>
      <c r="G11" s="77">
        <f t="shared" ref="G11:G16" si="4">I11-H11</f>
        <v>3378.2291726851877</v>
      </c>
      <c r="H11" s="59">
        <f>((600.609231+9.196+100.005374))*(2.204622/2)</f>
        <v>782.43203780815509</v>
      </c>
      <c r="I11" s="75">
        <f>E11-J11</f>
        <v>4160.6612104933429</v>
      </c>
      <c r="J11" s="59">
        <f>350.935+42.368</f>
        <v>393.303</v>
      </c>
      <c r="K11" s="21"/>
      <c r="L11" s="21"/>
    </row>
    <row r="12" spans="1:12" ht="15.75" x14ac:dyDescent="0.25">
      <c r="A12" s="41" t="s">
        <v>58</v>
      </c>
      <c r="B12" s="76">
        <f>J11</f>
        <v>393.303</v>
      </c>
      <c r="C12" s="59">
        <f>3829.14+272.552</f>
        <v>4101.692</v>
      </c>
      <c r="D12" s="59">
        <f>(24089.253+4366+138.856+88.687)*2.204622/2000</f>
        <v>31.617361541556004</v>
      </c>
      <c r="E12" s="59">
        <f t="shared" si="3"/>
        <v>4526.6123615415563</v>
      </c>
      <c r="F12" s="75"/>
      <c r="G12" s="77">
        <f t="shared" si="4"/>
        <v>3025.3476751154071</v>
      </c>
      <c r="H12" s="59">
        <f>((803.813698+9.59+195.528161))*(2.204622/2)</f>
        <v>1112.156686426149</v>
      </c>
      <c r="I12" s="75">
        <f t="shared" ref="I12:I17" si="5">E12-J12</f>
        <v>4137.5043615415561</v>
      </c>
      <c r="J12" s="59">
        <f>354.998+34.11</f>
        <v>389.108</v>
      </c>
      <c r="K12" s="21"/>
      <c r="L12" s="21"/>
    </row>
    <row r="13" spans="1:12" ht="15.75" x14ac:dyDescent="0.25">
      <c r="A13" s="41" t="s">
        <v>59</v>
      </c>
      <c r="B13" s="76">
        <f t="shared" ref="B13:B18" si="6">J12</f>
        <v>389.108</v>
      </c>
      <c r="C13" s="59">
        <f>3904.161+268.856</f>
        <v>4173.0169999999998</v>
      </c>
      <c r="D13" s="59">
        <f>(24386.897+4370+327.365+22.939)*2.204622/2000</f>
        <v>32.085187841511001</v>
      </c>
      <c r="E13" s="59">
        <f t="shared" si="3"/>
        <v>4594.2101878415106</v>
      </c>
      <c r="F13" s="75"/>
      <c r="G13" s="77">
        <f t="shared" si="4"/>
        <v>2858.1368113752765</v>
      </c>
      <c r="H13" s="59">
        <f>((823.191747+4.499+243.868347))*(2.204622/2)</f>
        <v>1181.191376466234</v>
      </c>
      <c r="I13" s="75">
        <f t="shared" si="5"/>
        <v>4039.3281878415105</v>
      </c>
      <c r="J13" s="59">
        <f>506.203+48.679</f>
        <v>554.88199999999995</v>
      </c>
      <c r="K13" s="21"/>
      <c r="L13" s="21"/>
    </row>
    <row r="14" spans="1:12" ht="15.75" x14ac:dyDescent="0.25">
      <c r="A14" s="41" t="s">
        <v>60</v>
      </c>
      <c r="B14" s="76">
        <f t="shared" si="6"/>
        <v>554.88199999999995</v>
      </c>
      <c r="C14" s="59">
        <f>3859.849+268.466</f>
        <v>4128.3150000000005</v>
      </c>
      <c r="D14" s="59">
        <f>(36957.472+5397+529.766+155.003)*2.204622/2000</f>
        <v>47.442628785951008</v>
      </c>
      <c r="E14" s="59">
        <f t="shared" si="3"/>
        <v>4730.6396287859516</v>
      </c>
      <c r="F14" s="75"/>
      <c r="G14" s="77">
        <f t="shared" si="4"/>
        <v>3142.7943669256811</v>
      </c>
      <c r="H14" s="59">
        <f>((962.901815+8.332+97.279755))*(2.204622/2)</f>
        <v>1177.8342618602701</v>
      </c>
      <c r="I14" s="75">
        <f t="shared" si="5"/>
        <v>4320.6286287859512</v>
      </c>
      <c r="J14" s="59">
        <f>379.359+30.652</f>
        <v>410.01099999999997</v>
      </c>
      <c r="K14" s="21"/>
      <c r="L14" s="21"/>
    </row>
    <row r="15" spans="1:12" ht="15.75" x14ac:dyDescent="0.25">
      <c r="A15" s="41" t="s">
        <v>61</v>
      </c>
      <c r="B15" s="76">
        <f t="shared" si="6"/>
        <v>410.01099999999997</v>
      </c>
      <c r="C15" s="59">
        <f>3651.786+247.786</f>
        <v>3899.5720000000001</v>
      </c>
      <c r="D15" s="59">
        <f>(38674.078+4680+268.165+52.191)*2.204622/2000</f>
        <v>48.142809016974006</v>
      </c>
      <c r="E15" s="59">
        <f t="shared" si="3"/>
        <v>4357.7258090169744</v>
      </c>
      <c r="F15" s="75"/>
      <c r="G15" s="77">
        <f t="shared" si="4"/>
        <v>2661.1986865177173</v>
      </c>
      <c r="H15" s="59">
        <f>((925.512124+11.234+188.830163))*(2.204622/2)</f>
        <v>1240.7351224992572</v>
      </c>
      <c r="I15" s="75">
        <f t="shared" si="5"/>
        <v>3901.9338090169745</v>
      </c>
      <c r="J15" s="59">
        <f>415.077+40.715</f>
        <v>455.79200000000003</v>
      </c>
      <c r="K15" s="21"/>
      <c r="L15" s="21"/>
    </row>
    <row r="16" spans="1:12" ht="15.75" x14ac:dyDescent="0.25">
      <c r="A16" s="41" t="s">
        <v>62</v>
      </c>
      <c r="B16" s="76">
        <f t="shared" si="6"/>
        <v>455.79200000000003</v>
      </c>
      <c r="C16" s="59">
        <f>4029.272+277.277</f>
        <v>4306.549</v>
      </c>
      <c r="D16" s="59">
        <f>(44281.365+4613+552.284+45.659)*2.204622/2000</f>
        <v>54.555915523787995</v>
      </c>
      <c r="E16" s="59">
        <f t="shared" si="3"/>
        <v>4816.8969155237883</v>
      </c>
      <c r="F16" s="75"/>
      <c r="G16" s="77">
        <f t="shared" si="4"/>
        <v>2941.8087154208074</v>
      </c>
      <c r="H16" s="59">
        <f>((1012.284931+8.669+186.41604))*(2.204622/2)</f>
        <v>1330.8972001029811</v>
      </c>
      <c r="I16" s="75">
        <f t="shared" si="5"/>
        <v>4272.7059155237885</v>
      </c>
      <c r="J16" s="59">
        <f>492.224+51.967</f>
        <v>544.19100000000003</v>
      </c>
      <c r="K16" s="21"/>
      <c r="L16" s="21"/>
    </row>
    <row r="17" spans="1:12" ht="15.75" x14ac:dyDescent="0.25">
      <c r="A17" s="41" t="s">
        <v>63</v>
      </c>
      <c r="B17" s="76">
        <f t="shared" si="6"/>
        <v>544.19100000000003</v>
      </c>
      <c r="C17" s="59">
        <f>3822.338+257.585</f>
        <v>4079.9230000000002</v>
      </c>
      <c r="D17" s="59">
        <f>(28037.557+5480+746.07+92.753)*2.204622/2000</f>
        <v>37.87141559418</v>
      </c>
      <c r="E17" s="59">
        <f t="shared" ref="E17:E22" si="7">SUM(B17:D17)</f>
        <v>4661.9854155941803</v>
      </c>
      <c r="F17" s="75"/>
      <c r="G17" s="77">
        <f t="shared" ref="G17:G22" si="8">I17-H17</f>
        <v>2991.2704254616519</v>
      </c>
      <c r="H17" s="59">
        <f>((841.816034+12.376+251.293614))*(2.204622/2)</f>
        <v>1218.5889901325279</v>
      </c>
      <c r="I17" s="75">
        <f t="shared" si="5"/>
        <v>4209.8594155941801</v>
      </c>
      <c r="J17" s="59">
        <f>404.468+47.658</f>
        <v>452.12600000000003</v>
      </c>
      <c r="K17" s="21"/>
      <c r="L17" s="21"/>
    </row>
    <row r="18" spans="1:12" ht="15.75" x14ac:dyDescent="0.25">
      <c r="A18" s="41" t="s">
        <v>64</v>
      </c>
      <c r="B18" s="76">
        <f t="shared" si="6"/>
        <v>452.12600000000003</v>
      </c>
      <c r="C18" s="59">
        <f>3846.687+262.574</f>
        <v>4109.2609999999995</v>
      </c>
      <c r="D18" s="59">
        <f>(30309.76+5213+999.903+277.738)*2.204622/2000</f>
        <v>40.565486826710995</v>
      </c>
      <c r="E18" s="59">
        <f t="shared" si="7"/>
        <v>4601.9524868267108</v>
      </c>
      <c r="F18" s="75"/>
      <c r="G18" s="77">
        <f t="shared" si="8"/>
        <v>2889.4588105000275</v>
      </c>
      <c r="H18" s="59">
        <f>((881.446902+14.35+264.825351))*(2.204622/2)</f>
        <v>1279.3666763266831</v>
      </c>
      <c r="I18" s="75">
        <f>E18-J18</f>
        <v>4168.8254868267104</v>
      </c>
      <c r="J18" s="59">
        <f>391.812+41.315</f>
        <v>433.12700000000001</v>
      </c>
      <c r="K18" s="21"/>
      <c r="L18" s="21"/>
    </row>
    <row r="19" spans="1:12" ht="15.75" x14ac:dyDescent="0.25">
      <c r="A19" s="41" t="s">
        <v>65</v>
      </c>
      <c r="B19" s="76">
        <f>J18</f>
        <v>433.12700000000001</v>
      </c>
      <c r="C19" s="59">
        <f>3778.127+254.192</f>
        <v>4032.319</v>
      </c>
      <c r="D19" s="59">
        <f>(32262.637+4424+601.309+347.659)*2.204622/2000</f>
        <v>41.486141383155001</v>
      </c>
      <c r="E19" s="59">
        <f t="shared" si="7"/>
        <v>4506.9321413831549</v>
      </c>
      <c r="F19" s="75"/>
      <c r="G19" s="77">
        <f t="shared" si="8"/>
        <v>2726.1042038049382</v>
      </c>
      <c r="H19" s="59">
        <f>((943.672871+13.178+297.149985))*(2.204622/2)</f>
        <v>1382.2989375782163</v>
      </c>
      <c r="I19" s="75">
        <f>E19-J19</f>
        <v>4108.4031413831544</v>
      </c>
      <c r="J19" s="59">
        <f>359.823+38.706</f>
        <v>398.529</v>
      </c>
      <c r="K19" s="21"/>
      <c r="L19" s="21"/>
    </row>
    <row r="20" spans="1:12" ht="15.75" x14ac:dyDescent="0.25">
      <c r="A20" s="41" t="s">
        <v>67</v>
      </c>
      <c r="B20" s="76">
        <f>J19</f>
        <v>398.529</v>
      </c>
      <c r="C20" s="59">
        <f>3979.12+265.562</f>
        <v>4244.6819999999998</v>
      </c>
      <c r="D20" s="59">
        <f>(25855.193+9513+404.699+474.826)*2.204622/2000</f>
        <v>39.956258276298001</v>
      </c>
      <c r="E20" s="59">
        <f t="shared" si="7"/>
        <v>4683.1672582762976</v>
      </c>
      <c r="F20" s="75"/>
      <c r="G20" s="77">
        <f t="shared" si="8"/>
        <v>3100.3295650067312</v>
      </c>
      <c r="H20" s="59">
        <f>((706.045243+16.308+248.705463))*(2.204622/2)</f>
        <v>1070.4086932695661</v>
      </c>
      <c r="I20" s="75">
        <f>E20-J20</f>
        <v>4170.7382582762975</v>
      </c>
      <c r="J20" s="59">
        <f>462.35+50.079</f>
        <v>512.42899999999997</v>
      </c>
      <c r="K20" s="21"/>
      <c r="L20" s="21"/>
    </row>
    <row r="21" spans="1:12" ht="15.75" x14ac:dyDescent="0.25">
      <c r="A21" s="41" t="s">
        <v>68</v>
      </c>
      <c r="B21" s="76">
        <f>J20</f>
        <v>512.42899999999997</v>
      </c>
      <c r="C21" s="59">
        <f>3771.727+259.078</f>
        <v>4030.8049999999998</v>
      </c>
      <c r="D21" s="59">
        <f>(30866.896+9793+380.962+375.799)*2.204622/2000</f>
        <v>45.654036594327003</v>
      </c>
      <c r="E21" s="59">
        <f t="shared" si="7"/>
        <v>4588.8880365943269</v>
      </c>
      <c r="F21" s="75"/>
      <c r="G21" s="77">
        <f t="shared" si="8"/>
        <v>2985.600190398573</v>
      </c>
      <c r="H21" s="59">
        <f>((861.810146+14.552+214.287268))*(2.204622/2)</f>
        <v>1202.234846195754</v>
      </c>
      <c r="I21" s="75">
        <f>E21-J21</f>
        <v>4187.835036594327</v>
      </c>
      <c r="J21" s="59">
        <f>359.936+41.117</f>
        <v>401.053</v>
      </c>
      <c r="K21" s="21"/>
      <c r="L21" s="21"/>
    </row>
    <row r="22" spans="1:12" ht="15.75" x14ac:dyDescent="0.25">
      <c r="A22" s="41" t="s">
        <v>70</v>
      </c>
      <c r="B22" s="76">
        <f>J21</f>
        <v>401.053</v>
      </c>
      <c r="C22" s="59">
        <f>3740.681+254.965</f>
        <v>3995.6460000000002</v>
      </c>
      <c r="D22" s="59">
        <f>(21495.643+7904+984.314+376.087)*2.204622/2000</f>
        <v>33.907134861684</v>
      </c>
      <c r="E22" s="59">
        <f t="shared" si="7"/>
        <v>4430.606134861685</v>
      </c>
      <c r="F22" s="75"/>
      <c r="G22" s="77">
        <f t="shared" si="8"/>
        <v>2837.1878709900429</v>
      </c>
      <c r="H22" s="59">
        <f>((712.205638+16.362+213.085184))*(2.204622/2)</f>
        <v>1037.994263871642</v>
      </c>
      <c r="I22" s="75">
        <f>E22-J22</f>
        <v>3875.182134861685</v>
      </c>
      <c r="J22" s="59">
        <f>501.299+54.125</f>
        <v>555.42399999999998</v>
      </c>
      <c r="K22" s="21"/>
      <c r="L22" s="21"/>
    </row>
    <row r="23" spans="1:12" ht="15.75" x14ac:dyDescent="0.25">
      <c r="A23" s="41" t="s">
        <v>3</v>
      </c>
      <c r="B23" s="76"/>
      <c r="C23" s="59">
        <f>SUM(C11:C22)</f>
        <v>49225.606000000007</v>
      </c>
      <c r="D23" s="59">
        <f>SUM(D11:D22)</f>
        <v>482.79358673947797</v>
      </c>
      <c r="E23" s="59">
        <f>B11+C23+D23</f>
        <v>50109.029586739482</v>
      </c>
      <c r="F23" s="59"/>
      <c r="G23" s="59">
        <f>SUM(G11:G22)</f>
        <v>35537.466494202046</v>
      </c>
      <c r="H23" s="59">
        <f>SUM(H11:H22)</f>
        <v>14016.139092537436</v>
      </c>
      <c r="I23" s="59">
        <f>SUM(I11:I22)</f>
        <v>49553.605586739475</v>
      </c>
      <c r="J23" s="59"/>
      <c r="K23" s="21"/>
      <c r="L23" s="21"/>
    </row>
    <row r="24" spans="1:12" ht="14.25" x14ac:dyDescent="0.2">
      <c r="A24" s="41"/>
      <c r="B24" s="76"/>
      <c r="C24" s="59"/>
      <c r="D24" s="59"/>
      <c r="E24" s="59"/>
      <c r="F24" s="59"/>
      <c r="G24" s="59"/>
      <c r="H24" s="59"/>
      <c r="I24" s="59"/>
      <c r="J24" s="59"/>
    </row>
    <row r="25" spans="1:12" ht="15.75" x14ac:dyDescent="0.25">
      <c r="A25" s="41" t="s">
        <v>163</v>
      </c>
      <c r="B25" s="76"/>
      <c r="C25" s="59"/>
      <c r="D25" s="59"/>
      <c r="E25" s="59"/>
      <c r="F25" s="59"/>
      <c r="G25" s="59"/>
      <c r="H25" s="59"/>
      <c r="I25" s="59"/>
      <c r="J25" s="59"/>
      <c r="K25" s="21"/>
      <c r="L25" s="21"/>
    </row>
    <row r="26" spans="1:12" ht="15.75" x14ac:dyDescent="0.25">
      <c r="A26" s="41" t="s">
        <v>57</v>
      </c>
      <c r="B26" s="76">
        <f>J22</f>
        <v>555.42399999999998</v>
      </c>
      <c r="C26" s="59">
        <f>4020.038+270.986</f>
        <v>4291.0240000000003</v>
      </c>
      <c r="D26" s="59">
        <f>(38895.341+8534+588.568+342.761)*2.204622/2000</f>
        <v>53.30849850837</v>
      </c>
      <c r="E26" s="59">
        <f>SUM(B26:D26)</f>
        <v>4899.75649850837</v>
      </c>
      <c r="F26" s="75"/>
      <c r="G26" s="77">
        <f>I26-H26</f>
        <v>3348.3661517904311</v>
      </c>
      <c r="H26" s="77">
        <f>((776.408731+6.862+220.547018))*(2.204622/2)</f>
        <v>1106.519346717939</v>
      </c>
      <c r="I26" s="75">
        <f>E26-J26</f>
        <v>4454.8854985083699</v>
      </c>
      <c r="J26" s="59">
        <f>399.414+45.457</f>
        <v>444.87099999999998</v>
      </c>
      <c r="K26" s="21"/>
      <c r="L26" s="21"/>
    </row>
    <row r="27" spans="1:12" ht="15.75" x14ac:dyDescent="0.25">
      <c r="A27" s="41" t="s">
        <v>58</v>
      </c>
      <c r="B27" s="76">
        <f>J26</f>
        <v>444.87099999999998</v>
      </c>
      <c r="C27" s="59">
        <f>3889.342+265.758</f>
        <v>4155.1000000000004</v>
      </c>
      <c r="D27" s="59">
        <f>(29367.714+4604+554.38+256.525)*2.204622/2000</f>
        <v>38.341263532509004</v>
      </c>
      <c r="E27" s="59">
        <f>SUM(B27:D27)</f>
        <v>4638.3122635325099</v>
      </c>
      <c r="F27" s="59"/>
      <c r="G27" s="77">
        <f>I27-H27</f>
        <v>3149.3935899207918</v>
      </c>
      <c r="H27" s="77">
        <f>((785.170511+14.219+247.015427))*(2.204622/2)</f>
        <v>1153.4636736117181</v>
      </c>
      <c r="I27" s="75">
        <f>E27-J27</f>
        <v>4302.8572635325099</v>
      </c>
      <c r="J27" s="59">
        <f>294.996+40.459</f>
        <v>335.45499999999998</v>
      </c>
      <c r="K27" s="21"/>
      <c r="L27" s="21"/>
    </row>
    <row r="28" spans="1:12" ht="15.75" x14ac:dyDescent="0.25">
      <c r="A28" s="41" t="s">
        <v>59</v>
      </c>
      <c r="B28" s="76">
        <f t="shared" ref="B28:B32" si="9">J27</f>
        <v>335.45499999999998</v>
      </c>
      <c r="C28" s="59">
        <f>4016.547+279.141</f>
        <v>4295.6880000000001</v>
      </c>
      <c r="D28" s="59">
        <f>(42910.147+10294+518.4+271.062)*2.204622/2000</f>
        <v>59.517749130398997</v>
      </c>
      <c r="E28" s="59">
        <f>SUM(B28:D28)</f>
        <v>4690.6607491303994</v>
      </c>
      <c r="F28" s="59"/>
      <c r="G28" s="77">
        <f>I28-H28</f>
        <v>3107.3150045094517</v>
      </c>
      <c r="H28" s="77">
        <f>((818.064035+20.76+202.841833))*(2.204622/2)</f>
        <v>1148.2397446209482</v>
      </c>
      <c r="I28" s="75">
        <f>E28-J28</f>
        <v>4255.5547491303996</v>
      </c>
      <c r="J28" s="77">
        <f>394.444+40.662</f>
        <v>435.10599999999999</v>
      </c>
      <c r="K28" s="21"/>
      <c r="L28" s="21"/>
    </row>
    <row r="29" spans="1:12" ht="15.75" x14ac:dyDescent="0.25">
      <c r="A29" s="41" t="s">
        <v>60</v>
      </c>
      <c r="B29" s="76">
        <f t="shared" si="9"/>
        <v>435.10599999999999</v>
      </c>
      <c r="C29" s="59">
        <f>3988.737+280.766</f>
        <v>4269.5029999999997</v>
      </c>
      <c r="D29" s="59">
        <f>(51173.6+5010+707.464+348.119)*2.204622/2000</f>
        <v>63.095381051913002</v>
      </c>
      <c r="E29" s="59">
        <f>SUM(B29:D29)</f>
        <v>4767.7043810519126</v>
      </c>
      <c r="F29" s="59"/>
      <c r="G29" s="77">
        <f>I29-H29</f>
        <v>2820.1101323920802</v>
      </c>
      <c r="H29" s="77">
        <f>((1043.006958+38.887+304.097154))*(2.204622/2)</f>
        <v>1527.793248659832</v>
      </c>
      <c r="I29" s="75">
        <f>E29-J29</f>
        <v>4347.9033810519122</v>
      </c>
      <c r="J29" s="77">
        <f>380.224+39.577</f>
        <v>419.80099999999999</v>
      </c>
      <c r="K29" s="21"/>
      <c r="L29" s="21"/>
    </row>
    <row r="30" spans="1:12" ht="15.75" x14ac:dyDescent="0.25">
      <c r="A30" s="41" t="s">
        <v>61</v>
      </c>
      <c r="B30" s="76">
        <f t="shared" si="9"/>
        <v>419.80099999999999</v>
      </c>
      <c r="C30" s="59">
        <f>3583.222+253.395</f>
        <v>3836.6170000000002</v>
      </c>
      <c r="D30" s="59">
        <f>(47749.769+5105+263.079+425.819)*2.204622/2000</f>
        <v>59.021773114437003</v>
      </c>
      <c r="E30" s="59">
        <f>SUM(B30:D30)</f>
        <v>4315.4397731144372</v>
      </c>
      <c r="F30" s="59"/>
      <c r="G30" s="77">
        <f>I30-H30</f>
        <v>2922.4511532268561</v>
      </c>
      <c r="H30" s="77">
        <f>((787.403738+7.924+200.860833))*(2.204622/2)</f>
        <v>1098.1096198875809</v>
      </c>
      <c r="I30" s="75">
        <f t="shared" ref="I30:I34" si="10">E30-J30</f>
        <v>4020.5607731144373</v>
      </c>
      <c r="J30" s="77">
        <f>263.515+31.364</f>
        <v>294.87899999999996</v>
      </c>
      <c r="K30" s="21"/>
      <c r="L30" s="21"/>
    </row>
    <row r="31" spans="1:12" ht="15.75" x14ac:dyDescent="0.25">
      <c r="A31" s="41" t="s">
        <v>62</v>
      </c>
      <c r="B31" s="76">
        <f t="shared" si="9"/>
        <v>294.87899999999996</v>
      </c>
      <c r="C31" s="59">
        <f>3926.558+274.26</f>
        <v>4200.8180000000002</v>
      </c>
      <c r="D31" s="59">
        <f>(61699.469+4364+411.923+224.341)*2.204622/2000</f>
        <v>73.523849382962993</v>
      </c>
      <c r="E31" s="59">
        <f t="shared" ref="E31:E32" si="11">SUM(B31:D31)</f>
        <v>4569.220849382963</v>
      </c>
      <c r="F31" s="75"/>
      <c r="G31" s="77">
        <f t="shared" ref="G31:G32" si="12">I31-H31</f>
        <v>2881.8443252468242</v>
      </c>
      <c r="H31" s="59">
        <f>((763.932135+5.972+298.109814))*(2.204622/2)</f>
        <v>1177.283524136139</v>
      </c>
      <c r="I31" s="75">
        <f t="shared" si="10"/>
        <v>4059.1278493829632</v>
      </c>
      <c r="J31" s="77">
        <f>465.159+44.934</f>
        <v>510.09299999999996</v>
      </c>
      <c r="K31" s="21"/>
      <c r="L31" s="21"/>
    </row>
    <row r="32" spans="1:12" ht="15.75" x14ac:dyDescent="0.25">
      <c r="A32" s="41" t="s">
        <v>63</v>
      </c>
      <c r="B32" s="76">
        <f t="shared" si="9"/>
        <v>510.09299999999996</v>
      </c>
      <c r="C32" s="59">
        <f>3763.527+259.021</f>
        <v>4022.5480000000002</v>
      </c>
      <c r="D32" s="59">
        <f>(62488.686+4677+258.217+254.463)*2.204622/2000</f>
        <v>74.602607303826005</v>
      </c>
      <c r="E32" s="59">
        <f t="shared" si="11"/>
        <v>4607.2436073038261</v>
      </c>
      <c r="F32" s="75"/>
      <c r="G32" s="77">
        <f t="shared" si="12"/>
        <v>2821.810765308217</v>
      </c>
      <c r="H32" s="59">
        <f>((1007.701411+13.354+249.239308))*(2.204622/2)</f>
        <v>1400.2598419956091</v>
      </c>
      <c r="I32" s="75">
        <f t="shared" si="10"/>
        <v>4222.0706073038264</v>
      </c>
      <c r="J32" s="77">
        <f>337.326+47.847</f>
        <v>385.173</v>
      </c>
      <c r="K32" s="21"/>
      <c r="L32" s="21"/>
    </row>
    <row r="33" spans="1:12" ht="15.75" x14ac:dyDescent="0.25">
      <c r="A33" s="41" t="s">
        <v>64</v>
      </c>
      <c r="B33" s="76">
        <f t="shared" ref="B33:B34" si="13">J32</f>
        <v>385.173</v>
      </c>
      <c r="C33" s="59">
        <f>3660.325+249.227</f>
        <v>3909.5519999999997</v>
      </c>
      <c r="D33" s="59">
        <f>(57739.395+3870+130.583+721.919)*2.204622/2000</f>
        <v>68.852436143966997</v>
      </c>
      <c r="E33" s="59">
        <f t="shared" ref="E33" si="14">SUM(B33:D33)</f>
        <v>4363.5774361439662</v>
      </c>
      <c r="F33" s="75"/>
      <c r="G33" s="77">
        <f t="shared" ref="G33" si="15">I33-H33</f>
        <v>2930.8773870523009</v>
      </c>
      <c r="H33" s="59">
        <f>((819.428144+11.935+185.223871))*(2.204622/2)</f>
        <v>1120.595049091665</v>
      </c>
      <c r="I33" s="75">
        <f t="shared" si="10"/>
        <v>4051.4724361439662</v>
      </c>
      <c r="J33" s="77">
        <f>276.276+35.829</f>
        <v>312.10500000000002</v>
      </c>
      <c r="K33" s="21"/>
      <c r="L33" s="21"/>
    </row>
    <row r="34" spans="1:12" ht="15.75" x14ac:dyDescent="0.25">
      <c r="A34" s="41" t="s">
        <v>65</v>
      </c>
      <c r="B34" s="76">
        <f t="shared" si="13"/>
        <v>312.10500000000002</v>
      </c>
      <c r="C34" s="59">
        <f>3453.178+243.145</f>
        <v>3696.3229999999999</v>
      </c>
      <c r="D34" s="59">
        <f>(35949.489+2516+112.11+336.226)*2.204622/2000</f>
        <v>42.895137349575009</v>
      </c>
      <c r="E34" s="59">
        <f t="shared" ref="E34" si="16">SUM(B34:D34)</f>
        <v>4051.3231373495751</v>
      </c>
      <c r="F34" s="75"/>
      <c r="G34" s="77">
        <f t="shared" ref="G34" si="17">I34-H34</f>
        <v>2720.5046007899409</v>
      </c>
      <c r="H34" s="59">
        <f>((593.573569+8.497+220.167925))*(2.204622/2)</f>
        <v>906.36253655963401</v>
      </c>
      <c r="I34" s="75">
        <f t="shared" si="10"/>
        <v>3626.8671373495749</v>
      </c>
      <c r="J34" s="77">
        <f>376.025+48.431</f>
        <v>424.45599999999996</v>
      </c>
      <c r="K34" s="21"/>
      <c r="L34" s="21"/>
    </row>
    <row r="35" spans="1:12" ht="15.75" x14ac:dyDescent="0.25">
      <c r="A35" s="37" t="s">
        <v>164</v>
      </c>
      <c r="B35" s="78"/>
      <c r="C35" s="66">
        <f>SUM(C26:C34)</f>
        <v>36677.172999999995</v>
      </c>
      <c r="D35" s="66">
        <f t="shared" ref="D35:E35" si="18">SUM(D26:D34)</f>
        <v>533.15869551795902</v>
      </c>
      <c r="E35" s="66">
        <f t="shared" si="18"/>
        <v>40903.238695517961</v>
      </c>
      <c r="F35" s="66"/>
      <c r="G35" s="66">
        <f t="shared" ref="G35" si="19">SUM(G26:G33)</f>
        <v>23982.16850944695</v>
      </c>
      <c r="H35" s="66">
        <f>SUM(H26:H34)</f>
        <v>10638.626585281067</v>
      </c>
      <c r="I35" s="66">
        <f>SUM(I26:I34)</f>
        <v>37341.299695517962</v>
      </c>
      <c r="J35" s="66"/>
      <c r="K35" s="21"/>
      <c r="L35" s="21"/>
    </row>
    <row r="36" spans="1:12" ht="17.25" x14ac:dyDescent="0.25">
      <c r="A36" s="79" t="s">
        <v>166</v>
      </c>
      <c r="B36" s="38"/>
      <c r="C36" s="38"/>
      <c r="D36" s="38"/>
      <c r="E36" s="38"/>
      <c r="F36" s="38"/>
      <c r="G36" s="38"/>
      <c r="H36" s="38"/>
      <c r="I36" s="38"/>
      <c r="J36" s="38"/>
      <c r="K36" s="21"/>
      <c r="L36" s="21"/>
    </row>
    <row r="37" spans="1:12" ht="15.75" x14ac:dyDescent="0.25">
      <c r="A37" s="38" t="s">
        <v>125</v>
      </c>
      <c r="B37" s="38"/>
      <c r="C37" s="38"/>
      <c r="D37" s="38"/>
      <c r="E37" s="38"/>
      <c r="F37" s="38"/>
      <c r="G37" s="38"/>
      <c r="H37" s="38"/>
      <c r="I37" s="38"/>
      <c r="J37" s="38"/>
      <c r="K37" s="21"/>
      <c r="L37" s="21"/>
    </row>
    <row r="38" spans="1:12" ht="15.75" x14ac:dyDescent="0.25">
      <c r="A38" s="38" t="s">
        <v>26</v>
      </c>
      <c r="B38" s="71">
        <f ca="1">NOW()</f>
        <v>43691.380418287037</v>
      </c>
      <c r="C38" s="58"/>
      <c r="D38" s="54"/>
      <c r="E38" s="54"/>
      <c r="F38" s="54"/>
      <c r="G38" s="54"/>
      <c r="H38" s="54"/>
      <c r="I38" s="54"/>
      <c r="J38" s="54"/>
      <c r="K38" s="21"/>
      <c r="L38" s="21"/>
    </row>
    <row r="39" spans="1:12" ht="15.75" x14ac:dyDescent="0.25">
      <c r="A39" s="1"/>
      <c r="B39" s="3"/>
      <c r="C39" s="4"/>
      <c r="D39" s="3"/>
      <c r="E39" s="3"/>
      <c r="F39" s="3"/>
      <c r="G39" s="3"/>
      <c r="H39" s="5"/>
      <c r="I39" s="3"/>
      <c r="J39" s="3"/>
      <c r="K39" s="21"/>
      <c r="L39" s="21"/>
    </row>
    <row r="40" spans="1:12" ht="15.75" x14ac:dyDescent="0.25">
      <c r="A40" s="1"/>
      <c r="B40" s="3"/>
      <c r="C40" s="3"/>
      <c r="D40" s="3"/>
      <c r="E40" s="3"/>
      <c r="F40" s="3"/>
      <c r="G40" s="3"/>
      <c r="H40" s="3"/>
      <c r="I40" s="3"/>
      <c r="J40" s="3"/>
      <c r="K40" s="21"/>
      <c r="L40" s="21"/>
    </row>
    <row r="41" spans="1:12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21"/>
      <c r="L41" s="21"/>
    </row>
    <row r="42" spans="1:12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21"/>
      <c r="L42" s="21"/>
    </row>
    <row r="43" spans="1:12" ht="15.75" x14ac:dyDescent="0.25">
      <c r="K43" s="21"/>
      <c r="L43" s="21"/>
    </row>
    <row r="44" spans="1:12" ht="15.75" x14ac:dyDescent="0.25">
      <c r="K44" s="21"/>
      <c r="L44" s="21"/>
    </row>
  </sheetData>
  <mergeCells count="3">
    <mergeCell ref="G2:I2"/>
    <mergeCell ref="B5:J5"/>
    <mergeCell ref="B2:E2"/>
  </mergeCells>
  <phoneticPr fontId="3" type="noConversion"/>
  <pageMargins left="0.75" right="0.75" top="1" bottom="1" header="0.5" footer="0.5"/>
  <pageSetup scale="9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Normal="100" workbookViewId="0"/>
  </sheetViews>
  <sheetFormatPr defaultRowHeight="12.75" x14ac:dyDescent="0.2"/>
  <cols>
    <col min="1" max="1" width="14.5703125" customWidth="1"/>
    <col min="2" max="2" width="11.7109375" customWidth="1"/>
    <col min="3" max="3" width="10.7109375" customWidth="1"/>
    <col min="4" max="4" width="9.5703125" bestFit="1" customWidth="1"/>
    <col min="5" max="5" width="11.28515625" bestFit="1" customWidth="1"/>
    <col min="6" max="6" width="3.7109375" customWidth="1"/>
    <col min="7" max="7" width="10.7109375" bestFit="1" customWidth="1"/>
    <col min="8" max="8" width="10.7109375" customWidth="1"/>
    <col min="9" max="9" width="12.7109375" customWidth="1"/>
    <col min="10" max="10" width="9.7109375" customWidth="1"/>
    <col min="11" max="11" width="10.7109375" customWidth="1"/>
    <col min="12" max="12" width="10.140625" bestFit="1" customWidth="1"/>
    <col min="14" max="14" width="9.28515625" bestFit="1" customWidth="1"/>
  </cols>
  <sheetData>
    <row r="1" spans="1:13" ht="14.25" x14ac:dyDescent="0.2">
      <c r="A1" s="37" t="s">
        <v>25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3" ht="14.25" x14ac:dyDescent="0.2">
      <c r="A2" s="38"/>
      <c r="B2" s="169" t="s">
        <v>0</v>
      </c>
      <c r="C2" s="169"/>
      <c r="D2" s="169"/>
      <c r="E2" s="169"/>
      <c r="F2" s="41"/>
      <c r="G2" s="169" t="s">
        <v>24</v>
      </c>
      <c r="H2" s="169"/>
      <c r="I2" s="169"/>
      <c r="J2" s="39"/>
      <c r="K2" s="39"/>
      <c r="L2" s="38"/>
    </row>
    <row r="3" spans="1:13" ht="14.25" x14ac:dyDescent="0.2">
      <c r="A3" s="38" t="s">
        <v>83</v>
      </c>
      <c r="B3" s="40" t="s">
        <v>36</v>
      </c>
      <c r="C3" s="80" t="s">
        <v>1</v>
      </c>
      <c r="D3" s="80" t="s">
        <v>37</v>
      </c>
      <c r="E3" s="80" t="s">
        <v>32</v>
      </c>
      <c r="F3" s="80"/>
      <c r="G3" s="39" t="s">
        <v>35</v>
      </c>
      <c r="H3" s="39"/>
      <c r="I3" s="39"/>
      <c r="J3" s="80" t="s">
        <v>39</v>
      </c>
      <c r="K3" s="80" t="s">
        <v>32</v>
      </c>
      <c r="L3" s="80" t="s">
        <v>34</v>
      </c>
    </row>
    <row r="4" spans="1:13" ht="14.25" x14ac:dyDescent="0.2">
      <c r="A4" s="43" t="s">
        <v>84</v>
      </c>
      <c r="B4" s="45" t="s">
        <v>33</v>
      </c>
      <c r="C4" s="46"/>
      <c r="D4" s="46"/>
      <c r="E4" s="46"/>
      <c r="F4" s="46"/>
      <c r="G4" s="45" t="s">
        <v>3</v>
      </c>
      <c r="H4" s="45" t="s">
        <v>96</v>
      </c>
      <c r="I4" s="45" t="s">
        <v>118</v>
      </c>
      <c r="J4" s="46"/>
      <c r="K4" s="46"/>
      <c r="L4" s="80" t="s">
        <v>95</v>
      </c>
    </row>
    <row r="5" spans="1:13" ht="14.25" x14ac:dyDescent="0.2">
      <c r="A5" s="38"/>
      <c r="B5" s="171" t="s">
        <v>109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</row>
    <row r="6" spans="1:13" ht="14.25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3" ht="16.5" x14ac:dyDescent="0.2">
      <c r="A7" s="38" t="s">
        <v>139</v>
      </c>
      <c r="B7" s="74">
        <v>1710.954</v>
      </c>
      <c r="C7" s="74">
        <f>C25</f>
        <v>23772.428000000004</v>
      </c>
      <c r="D7" s="74">
        <f>D25</f>
        <v>335.31611675625004</v>
      </c>
      <c r="E7" s="74">
        <f t="shared" ref="E7:E9" si="0">SUM(B7:D7)</f>
        <v>25818.698116756255</v>
      </c>
      <c r="F7" s="74"/>
      <c r="G7" s="74">
        <f t="shared" ref="G7:G9" si="1">K7-J7</f>
        <v>21380.23059872978</v>
      </c>
      <c r="H7" s="74">
        <f>H25</f>
        <v>7133.6900000000005</v>
      </c>
      <c r="I7" s="74">
        <f t="shared" ref="I7:I9" si="2">G7-H7</f>
        <v>14246.54059872978</v>
      </c>
      <c r="J7" s="74">
        <f>J25</f>
        <v>2443.0335180264719</v>
      </c>
      <c r="K7" s="74">
        <f t="shared" ref="K7:K9" si="3">E7-L7</f>
        <v>23823.264116756254</v>
      </c>
      <c r="L7" s="74">
        <f>L24</f>
        <v>1995.434</v>
      </c>
      <c r="M7" s="17"/>
    </row>
    <row r="8" spans="1:13" ht="16.5" x14ac:dyDescent="0.2">
      <c r="A8" s="38" t="s">
        <v>162</v>
      </c>
      <c r="B8" s="74">
        <f>L7</f>
        <v>1995.434</v>
      </c>
      <c r="C8" s="74">
        <v>23995</v>
      </c>
      <c r="D8" s="74">
        <v>400</v>
      </c>
      <c r="E8" s="74">
        <f t="shared" si="0"/>
        <v>26390.434000000001</v>
      </c>
      <c r="F8" s="74"/>
      <c r="G8" s="74">
        <f t="shared" si="1"/>
        <v>22600.434000000001</v>
      </c>
      <c r="H8" s="74">
        <v>8100</v>
      </c>
      <c r="I8" s="74">
        <f t="shared" si="2"/>
        <v>14500.434000000001</v>
      </c>
      <c r="J8" s="74">
        <v>2050</v>
      </c>
      <c r="K8" s="74">
        <f t="shared" si="3"/>
        <v>24650.434000000001</v>
      </c>
      <c r="L8" s="74">
        <v>1740</v>
      </c>
      <c r="M8" s="17"/>
    </row>
    <row r="9" spans="1:13" ht="16.5" x14ac:dyDescent="0.2">
      <c r="A9" s="38" t="s">
        <v>170</v>
      </c>
      <c r="B9" s="74">
        <f>L8</f>
        <v>1740</v>
      </c>
      <c r="C9" s="74">
        <v>24535</v>
      </c>
      <c r="D9" s="74">
        <v>450</v>
      </c>
      <c r="E9" s="74">
        <f t="shared" si="0"/>
        <v>26725</v>
      </c>
      <c r="F9" s="74"/>
      <c r="G9" s="74">
        <f t="shared" si="1"/>
        <v>23500</v>
      </c>
      <c r="H9" s="74">
        <v>8600</v>
      </c>
      <c r="I9" s="74">
        <f t="shared" si="2"/>
        <v>14900</v>
      </c>
      <c r="J9" s="74">
        <v>1725</v>
      </c>
      <c r="K9" s="74">
        <f t="shared" si="3"/>
        <v>25225</v>
      </c>
      <c r="L9" s="74">
        <v>1500</v>
      </c>
      <c r="M9" s="17"/>
    </row>
    <row r="10" spans="1:13" ht="14.25" x14ac:dyDescent="0.2">
      <c r="A10" s="38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17"/>
    </row>
    <row r="11" spans="1:13" ht="14.25" x14ac:dyDescent="0.2">
      <c r="A11" s="41"/>
      <c r="B11" s="75"/>
      <c r="C11" s="81"/>
      <c r="D11" s="75"/>
      <c r="E11" s="75"/>
      <c r="F11" s="75"/>
      <c r="G11" s="75"/>
      <c r="H11" s="75"/>
      <c r="I11" s="75"/>
      <c r="J11" s="75"/>
      <c r="K11" s="75"/>
      <c r="L11" s="75"/>
    </row>
    <row r="12" spans="1:13" ht="14.25" x14ac:dyDescent="0.2">
      <c r="A12" s="38" t="s">
        <v>119</v>
      </c>
      <c r="B12" s="74"/>
      <c r="C12" s="59"/>
      <c r="D12" s="59"/>
      <c r="E12" s="59"/>
      <c r="F12" s="75"/>
      <c r="G12" s="59"/>
      <c r="H12" s="59"/>
      <c r="I12" s="59"/>
      <c r="J12" s="59"/>
      <c r="K12" s="59"/>
      <c r="L12" s="75"/>
    </row>
    <row r="13" spans="1:13" ht="14.25" x14ac:dyDescent="0.2">
      <c r="A13" s="41" t="s">
        <v>57</v>
      </c>
      <c r="B13" s="75">
        <v>1710.954</v>
      </c>
      <c r="C13" s="81">
        <v>2016.8879999999999</v>
      </c>
      <c r="D13" s="75">
        <f>(0.663115+0+13.934702+0)*2.204622</f>
        <v>32.182668510173997</v>
      </c>
      <c r="E13" s="75">
        <f t="shared" ref="E13:E19" si="4">SUM(B13:D13)</f>
        <v>3760.0246685101738</v>
      </c>
      <c r="F13" s="75"/>
      <c r="G13" s="75">
        <f>K13-J13</f>
        <v>1921.1603915106377</v>
      </c>
      <c r="H13" s="75">
        <v>577.42999999999995</v>
      </c>
      <c r="I13" s="59">
        <f>G13-H13</f>
        <v>1343.7303915106377</v>
      </c>
      <c r="J13" s="75">
        <f>(80.225792+0.085525+15.875468+0.265703)*2.204622</f>
        <v>212.64127699953602</v>
      </c>
      <c r="K13" s="75">
        <f>E13-L13</f>
        <v>2133.8016685101738</v>
      </c>
      <c r="L13" s="75">
        <f>1300.36+325.863</f>
        <v>1626.223</v>
      </c>
    </row>
    <row r="14" spans="1:13" ht="14.25" x14ac:dyDescent="0.2">
      <c r="A14" s="41" t="s">
        <v>58</v>
      </c>
      <c r="B14" s="75">
        <f t="shared" ref="B14:B19" si="5">L13</f>
        <v>1626.223</v>
      </c>
      <c r="C14" s="59">
        <v>1977.0050000000001</v>
      </c>
      <c r="D14" s="75">
        <f>(0.66927+0+9.3206+0.0008)*2.204622</f>
        <v>22.025650876739999</v>
      </c>
      <c r="E14" s="75">
        <f t="shared" si="4"/>
        <v>3625.2536508767403</v>
      </c>
      <c r="F14" s="75"/>
      <c r="G14" s="75">
        <f t="shared" ref="G14:G19" si="6">K14-J14</f>
        <v>1802.5265698197784</v>
      </c>
      <c r="H14" s="75">
        <v>590.79999999999995</v>
      </c>
      <c r="I14" s="59">
        <f t="shared" ref="I14:I23" si="7">G14-H14</f>
        <v>1211.7265698197784</v>
      </c>
      <c r="J14" s="75">
        <f>(41.937459+0.208519+17.592338+0.202155)*2.204622</f>
        <v>132.146081056962</v>
      </c>
      <c r="K14" s="75">
        <f t="shared" ref="K14:K19" si="8">E14-L14</f>
        <v>1934.6726508767404</v>
      </c>
      <c r="L14" s="75">
        <f>1379.223+311.358</f>
        <v>1690.5809999999999</v>
      </c>
    </row>
    <row r="15" spans="1:13" ht="14.25" x14ac:dyDescent="0.2">
      <c r="A15" s="41" t="s">
        <v>59</v>
      </c>
      <c r="B15" s="75">
        <f t="shared" si="5"/>
        <v>1690.5809999999999</v>
      </c>
      <c r="C15" s="59">
        <v>2015.2560000000001</v>
      </c>
      <c r="D15" s="75">
        <f>(0.611691+0+13.538281+0.0008)*2.204622</f>
        <v>31.197103268184001</v>
      </c>
      <c r="E15" s="75">
        <f t="shared" si="4"/>
        <v>3737.034103268184</v>
      </c>
      <c r="F15" s="75"/>
      <c r="G15" s="75">
        <f t="shared" si="6"/>
        <v>1613.4431539013021</v>
      </c>
      <c r="H15" s="75">
        <v>593.99</v>
      </c>
      <c r="I15" s="59">
        <f t="shared" si="7"/>
        <v>1019.4531539013021</v>
      </c>
      <c r="J15" s="75">
        <f>(60.89152+0.230156+17.166633+0.145522)*2.204622</f>
        <v>172.91694936688199</v>
      </c>
      <c r="K15" s="75">
        <f t="shared" si="8"/>
        <v>1786.360103268184</v>
      </c>
      <c r="L15" s="75">
        <f>1583.544+367.13</f>
        <v>1950.674</v>
      </c>
    </row>
    <row r="16" spans="1:13" ht="14.25" x14ac:dyDescent="0.2">
      <c r="A16" s="41" t="s">
        <v>60</v>
      </c>
      <c r="B16" s="75">
        <f t="shared" si="5"/>
        <v>1950.674</v>
      </c>
      <c r="C16" s="59">
        <v>1995.5889999999999</v>
      </c>
      <c r="D16" s="75">
        <f>(0.672527+0.001728+9.360229+0)*2.204622</f>
        <v>22.122244185048004</v>
      </c>
      <c r="E16" s="75">
        <f t="shared" si="4"/>
        <v>3968.3852441850481</v>
      </c>
      <c r="F16" s="75"/>
      <c r="G16" s="75">
        <f t="shared" si="6"/>
        <v>1547.88008064784</v>
      </c>
      <c r="H16" s="75">
        <v>462.12</v>
      </c>
      <c r="I16" s="59">
        <f t="shared" si="7"/>
        <v>1085.7600806478399</v>
      </c>
      <c r="J16" s="75">
        <f>(67.939406+0.153133+13.668131+0.213094)*2.204622</f>
        <v>180.72116353720801</v>
      </c>
      <c r="K16" s="75">
        <f t="shared" si="8"/>
        <v>1728.601244185048</v>
      </c>
      <c r="L16" s="75">
        <f>1886.728+353.056</f>
        <v>2239.7840000000001</v>
      </c>
    </row>
    <row r="17" spans="1:12" ht="14.25" x14ac:dyDescent="0.2">
      <c r="A17" s="41" t="s">
        <v>61</v>
      </c>
      <c r="B17" s="75">
        <f t="shared" si="5"/>
        <v>2239.7840000000001</v>
      </c>
      <c r="C17" s="59">
        <v>1889.8409999999999</v>
      </c>
      <c r="D17" s="75">
        <f>(10.974745+0+7.629912+0.0008)*2.204622</f>
        <v>41.017999822254005</v>
      </c>
      <c r="E17" s="75">
        <f t="shared" si="4"/>
        <v>4170.6429998222538</v>
      </c>
      <c r="F17" s="75"/>
      <c r="G17" s="75">
        <f t="shared" si="6"/>
        <v>1565.8113762743883</v>
      </c>
      <c r="H17" s="75">
        <v>495.59</v>
      </c>
      <c r="I17" s="59">
        <f t="shared" si="7"/>
        <v>1070.2213762743884</v>
      </c>
      <c r="J17" s="75">
        <f>(68.12744+0.142344+12.90994+0.217279)*2.204622</f>
        <v>179.44962354786603</v>
      </c>
      <c r="K17" s="75">
        <f t="shared" si="8"/>
        <v>1745.2609998222542</v>
      </c>
      <c r="L17" s="75">
        <f>2049.644+375.738</f>
        <v>2425.3819999999996</v>
      </c>
    </row>
    <row r="18" spans="1:12" ht="14.25" x14ac:dyDescent="0.2">
      <c r="A18" s="41" t="s">
        <v>62</v>
      </c>
      <c r="B18" s="75">
        <f t="shared" si="5"/>
        <v>2425.3819999999996</v>
      </c>
      <c r="C18" s="59">
        <v>2079.123</v>
      </c>
      <c r="D18" s="75">
        <f>(1.613442+0+7.97635+0.0008)*2.204622</f>
        <v>21.143630116223999</v>
      </c>
      <c r="E18" s="75">
        <f t="shared" si="4"/>
        <v>4525.6486301162231</v>
      </c>
      <c r="F18" s="75"/>
      <c r="G18" s="75">
        <f t="shared" si="6"/>
        <v>1877.9403104172752</v>
      </c>
      <c r="H18" s="75">
        <v>624.15</v>
      </c>
      <c r="I18" s="59">
        <f t="shared" si="7"/>
        <v>1253.7903104172751</v>
      </c>
      <c r="J18" s="75">
        <f>(63.26355+0.255788+28.408661+0.253935)*2.204622</f>
        <v>203.226319698948</v>
      </c>
      <c r="K18" s="75">
        <f t="shared" si="8"/>
        <v>2081.1666301162231</v>
      </c>
      <c r="L18" s="75">
        <f>2080.138+364.344</f>
        <v>2444.482</v>
      </c>
    </row>
    <row r="19" spans="1:12" ht="14.25" x14ac:dyDescent="0.2">
      <c r="A19" s="41" t="s">
        <v>63</v>
      </c>
      <c r="B19" s="75">
        <f t="shared" si="5"/>
        <v>2444.482</v>
      </c>
      <c r="C19" s="59">
        <v>1964.922</v>
      </c>
      <c r="D19" s="75">
        <f>(0.56331+0.103249+12.3464+0)*2.204622</f>
        <v>28.688655696498</v>
      </c>
      <c r="E19" s="75">
        <f t="shared" si="4"/>
        <v>4438.0926556964987</v>
      </c>
      <c r="F19" s="75"/>
      <c r="G19" s="75">
        <f t="shared" si="6"/>
        <v>1536.9962173366227</v>
      </c>
      <c r="H19" s="75">
        <v>519.55999999999995</v>
      </c>
      <c r="I19" s="59">
        <f t="shared" si="7"/>
        <v>1017.4362173366228</v>
      </c>
      <c r="J19" s="75">
        <f>(74.547873+0.133339+21.342471+0.283275)*2.204622</f>
        <v>212.32043835987602</v>
      </c>
      <c r="K19" s="75">
        <f t="shared" si="8"/>
        <v>1749.3166556964989</v>
      </c>
      <c r="L19" s="75">
        <f>2316.192+372.584</f>
        <v>2688.7759999999998</v>
      </c>
    </row>
    <row r="20" spans="1:12" ht="14.25" x14ac:dyDescent="0.2">
      <c r="A20" s="41" t="s">
        <v>64</v>
      </c>
      <c r="B20" s="75">
        <f>L19</f>
        <v>2688.7759999999998</v>
      </c>
      <c r="C20" s="59">
        <v>1966.511</v>
      </c>
      <c r="D20" s="75">
        <f>(0.754842+0+14.709869+0.00128)*2.204622</f>
        <v>34.096664010402002</v>
      </c>
      <c r="E20" s="75">
        <f>SUM(B20:D20)</f>
        <v>4689.3836640104018</v>
      </c>
      <c r="F20" s="75"/>
      <c r="G20" s="75">
        <f>K20-J20</f>
        <v>1883.9005750484957</v>
      </c>
      <c r="H20" s="75">
        <v>581.33000000000004</v>
      </c>
      <c r="I20" s="59">
        <f t="shared" si="7"/>
        <v>1302.5705750484958</v>
      </c>
      <c r="J20" s="75">
        <f>(171.049084+0.572188+23.792737+0.275814)*2.204622</f>
        <v>431.42208896190601</v>
      </c>
      <c r="K20" s="75">
        <f>E20-L20</f>
        <v>2315.3226640104017</v>
      </c>
      <c r="L20" s="75">
        <f>2002.934+371.127</f>
        <v>2374.0610000000001</v>
      </c>
    </row>
    <row r="21" spans="1:12" ht="14.25" x14ac:dyDescent="0.2">
      <c r="A21" s="41" t="s">
        <v>65</v>
      </c>
      <c r="B21" s="75">
        <f>L20</f>
        <v>2374.0610000000001</v>
      </c>
      <c r="C21" s="59">
        <v>1936.9069999999999</v>
      </c>
      <c r="D21" s="75">
        <f>(2.305083+0+12.102798+0.0008)*2.204622</f>
        <v>31.765695123581999</v>
      </c>
      <c r="E21" s="75">
        <f>SUM(B21:D21)</f>
        <v>4342.733695123582</v>
      </c>
      <c r="F21" s="75"/>
      <c r="G21" s="75">
        <f>K21-J21</f>
        <v>1809.8430295830899</v>
      </c>
      <c r="H21" s="75">
        <v>623.61</v>
      </c>
      <c r="I21" s="59">
        <f t="shared" si="7"/>
        <v>1186.2330295830898</v>
      </c>
      <c r="J21" s="75">
        <f>(86.616031+0.094936+16.408293+0.337326)*2.204622</f>
        <v>228.08266554049203</v>
      </c>
      <c r="K21" s="75">
        <f>E21-L21</f>
        <v>2037.925695123582</v>
      </c>
      <c r="L21" s="75">
        <f>1933.152+371.656</f>
        <v>2304.808</v>
      </c>
    </row>
    <row r="22" spans="1:12" ht="14.25" x14ac:dyDescent="0.2">
      <c r="A22" s="41" t="s">
        <v>67</v>
      </c>
      <c r="B22" s="75">
        <f>L21</f>
        <v>2304.808</v>
      </c>
      <c r="C22" s="59">
        <v>2043.3230000000001</v>
      </c>
      <c r="D22" s="75">
        <f>(2.90045+0+11.937917+0.0018)*2.204622</f>
        <v>32.716958651874002</v>
      </c>
      <c r="E22" s="75">
        <f>SUM(B22:D22)</f>
        <v>4380.8479586518743</v>
      </c>
      <c r="F22" s="75"/>
      <c r="G22" s="75">
        <f>K22-J22</f>
        <v>1822.4984100716565</v>
      </c>
      <c r="H22" s="75">
        <v>671.27</v>
      </c>
      <c r="I22" s="59">
        <f t="shared" si="7"/>
        <v>1151.2284100716565</v>
      </c>
      <c r="J22" s="75">
        <f>(61.467766+0.164409+17.26546+0.346584)*2.204622</f>
        <v>174.70354858021798</v>
      </c>
      <c r="K22" s="75">
        <f>E22-L22</f>
        <v>1997.2019586518745</v>
      </c>
      <c r="L22" s="75">
        <f>1983.666+399.98</f>
        <v>2383.6459999999997</v>
      </c>
    </row>
    <row r="23" spans="1:12" ht="14.25" x14ac:dyDescent="0.2">
      <c r="A23" s="41" t="s">
        <v>68</v>
      </c>
      <c r="B23" s="75">
        <f>L22</f>
        <v>2383.6459999999997</v>
      </c>
      <c r="C23" s="59">
        <v>1944.9659999999999</v>
      </c>
      <c r="D23" s="75">
        <f>(1.713977+0+9.048481+0.0008)*2.204622</f>
        <v>23.728915378476003</v>
      </c>
      <c r="E23" s="75">
        <f>SUM(B23:D23)</f>
        <v>4352.3409153784751</v>
      </c>
      <c r="F23" s="75"/>
      <c r="G23" s="75">
        <f>K23-J23</f>
        <v>1943.066683975743</v>
      </c>
      <c r="H23" s="75">
        <v>705.13</v>
      </c>
      <c r="I23" s="59">
        <f t="shared" si="7"/>
        <v>1237.9366839757431</v>
      </c>
      <c r="J23" s="75">
        <f>(71.876295+0.073925+16.05385+0.208436)*2.204622</f>
        <v>194.47523140273202</v>
      </c>
      <c r="K23" s="75">
        <f>E23-L23</f>
        <v>2137.5419153784751</v>
      </c>
      <c r="L23" s="75">
        <f>1843.912+370.887</f>
        <v>2214.799</v>
      </c>
    </row>
    <row r="24" spans="1:12" ht="14.25" x14ac:dyDescent="0.2">
      <c r="A24" s="41" t="s">
        <v>70</v>
      </c>
      <c r="B24" s="75">
        <f>L23</f>
        <v>2214.799</v>
      </c>
      <c r="C24" s="59">
        <v>1942.097</v>
      </c>
      <c r="D24" s="75">
        <f>(2.178466+0.0007+4.448861+0.008)*2.204622</f>
        <v>14.629931116793999</v>
      </c>
      <c r="E24" s="75">
        <f>SUM(B24:D24)</f>
        <v>4171.5259311167938</v>
      </c>
      <c r="F24" s="75"/>
      <c r="G24" s="75">
        <f>K24-J24</f>
        <v>2055.1638001429478</v>
      </c>
      <c r="H24" s="75">
        <v>688.71</v>
      </c>
      <c r="I24" s="59">
        <f>G24-H24</f>
        <v>1366.4538001429478</v>
      </c>
      <c r="J24" s="75">
        <f>(41.318617+0.082871+13.182967+0.267638)*2.204622</f>
        <v>120.928130973846</v>
      </c>
      <c r="K24" s="75">
        <f>E24-L24</f>
        <v>2176.0919311167936</v>
      </c>
      <c r="L24" s="75">
        <f>1648.347+347.087</f>
        <v>1995.434</v>
      </c>
    </row>
    <row r="25" spans="1:12" ht="14.25" x14ac:dyDescent="0.2">
      <c r="A25" s="41" t="s">
        <v>3</v>
      </c>
      <c r="B25" s="75"/>
      <c r="C25" s="59">
        <f>SUM(C13:C24)</f>
        <v>23772.428000000004</v>
      </c>
      <c r="D25" s="59">
        <f>SUM(D13:D24)</f>
        <v>335.31611675625004</v>
      </c>
      <c r="E25" s="59">
        <f>B13+C25+D25</f>
        <v>25818.698116756255</v>
      </c>
      <c r="F25" s="75"/>
      <c r="G25" s="59">
        <f>SUM(G13:G24)</f>
        <v>21380.23059872978</v>
      </c>
      <c r="H25" s="59">
        <f>SUM(H13:H24)</f>
        <v>7133.6900000000005</v>
      </c>
      <c r="I25" s="59">
        <f>SUM(I13:I24)</f>
        <v>14246.540598729776</v>
      </c>
      <c r="J25" s="59">
        <f>SUM(J13:J24)</f>
        <v>2443.0335180264719</v>
      </c>
      <c r="K25" s="59">
        <f>SUM(K13:K24)</f>
        <v>23823.264116756243</v>
      </c>
      <c r="L25" s="75"/>
    </row>
    <row r="26" spans="1:12" ht="14.25" x14ac:dyDescent="0.2">
      <c r="A26" s="41"/>
      <c r="B26" s="75"/>
      <c r="C26" s="59"/>
      <c r="D26" s="59"/>
      <c r="E26" s="59"/>
      <c r="F26" s="75"/>
      <c r="G26" s="59"/>
      <c r="H26" s="59"/>
      <c r="I26" s="59"/>
      <c r="J26" s="59"/>
      <c r="K26" s="59"/>
      <c r="L26" s="75"/>
    </row>
    <row r="27" spans="1:12" ht="14.25" x14ac:dyDescent="0.2">
      <c r="A27" s="38" t="s">
        <v>163</v>
      </c>
      <c r="B27" s="75"/>
      <c r="C27" s="59"/>
      <c r="D27" s="59"/>
      <c r="E27" s="59"/>
      <c r="F27" s="75"/>
      <c r="G27" s="59"/>
      <c r="H27" s="59"/>
      <c r="I27" s="59"/>
      <c r="J27" s="59"/>
      <c r="K27" s="59"/>
      <c r="L27" s="75"/>
    </row>
    <row r="28" spans="1:12" ht="14.25" x14ac:dyDescent="0.2">
      <c r="A28" s="41" t="s">
        <v>57</v>
      </c>
      <c r="B28" s="75">
        <f>L24</f>
        <v>1995.434</v>
      </c>
      <c r="C28" s="59">
        <v>2134.5529999999999</v>
      </c>
      <c r="D28" s="75">
        <f>(1.737942+0+14.079112+0)*2.204622</f>
        <v>34.870625223588</v>
      </c>
      <c r="E28" s="75">
        <f>SUM(B28:D28)</f>
        <v>4164.857625223588</v>
      </c>
      <c r="F28" s="75"/>
      <c r="G28" s="75">
        <f>K28-J28</f>
        <v>1971.1017975407021</v>
      </c>
      <c r="H28" s="75">
        <v>698.88</v>
      </c>
      <c r="I28" s="59">
        <f t="shared" ref="I28:I35" si="9">G28-H28</f>
        <v>1272.221797540702</v>
      </c>
      <c r="J28" s="75">
        <f>(55.858963+0.092113+10.135032+0.231305)*2.204622</f>
        <v>146.20482768288602</v>
      </c>
      <c r="K28" s="75">
        <f>E28-L28</f>
        <v>2117.3066252235881</v>
      </c>
      <c r="L28" s="75">
        <f>1700.684+346.867</f>
        <v>2047.5509999999999</v>
      </c>
    </row>
    <row r="29" spans="1:12" ht="14.25" x14ac:dyDescent="0.2">
      <c r="A29" s="41" t="s">
        <v>58</v>
      </c>
      <c r="B29" s="75">
        <f>L28</f>
        <v>2047.5509999999999</v>
      </c>
      <c r="C29" s="59">
        <v>2060.5630000000001</v>
      </c>
      <c r="D29" s="75">
        <f>(0.859494+0.011057+14.770563+0.0008)*2.204622</f>
        <v>34.484507726507999</v>
      </c>
      <c r="E29" s="75">
        <f>SUM(B29:D29)</f>
        <v>4142.5985077265077</v>
      </c>
      <c r="F29" s="75"/>
      <c r="G29" s="75">
        <f>K29-J29</f>
        <v>2027.2521314197675</v>
      </c>
      <c r="H29" s="75">
        <v>703.79</v>
      </c>
      <c r="I29" s="59">
        <f t="shared" si="9"/>
        <v>1323.4621314197675</v>
      </c>
      <c r="J29" s="75">
        <f>(87.869928+0.165614+9.139504+0.380624)*2.204622</f>
        <v>215.07337630674002</v>
      </c>
      <c r="K29" s="75">
        <f>E29-L29</f>
        <v>2242.3255077265076</v>
      </c>
      <c r="L29" s="75">
        <f>1582.363+317.91</f>
        <v>1900.2730000000001</v>
      </c>
    </row>
    <row r="30" spans="1:12" ht="14.25" x14ac:dyDescent="0.2">
      <c r="A30" s="41" t="s">
        <v>59</v>
      </c>
      <c r="B30" s="75">
        <f>L29</f>
        <v>1900.2730000000001</v>
      </c>
      <c r="C30" s="59">
        <v>2135.37</v>
      </c>
      <c r="D30" s="75">
        <f>(2.278714+0.102885+17.78989+0.0008)*2.204622</f>
        <v>44.47227211975801</v>
      </c>
      <c r="E30" s="75">
        <f>SUM(B30:D30)</f>
        <v>4080.1152721197582</v>
      </c>
      <c r="F30" s="59"/>
      <c r="G30" s="75">
        <f>K30-J30</f>
        <v>1976.5384950247783</v>
      </c>
      <c r="H30" s="75">
        <v>767.76</v>
      </c>
      <c r="I30" s="59">
        <f t="shared" si="9"/>
        <v>1208.7784950247783</v>
      </c>
      <c r="J30" s="75">
        <f>(61.867102+0.216942+9.105599+0.354947)*2.204622</f>
        <v>157.72877709498002</v>
      </c>
      <c r="K30" s="75">
        <f t="shared" ref="K30:K36" si="10">E30-L30</f>
        <v>2134.2672721197582</v>
      </c>
      <c r="L30" s="75">
        <f>1601.77+344.078</f>
        <v>1945.848</v>
      </c>
    </row>
    <row r="31" spans="1:12" ht="14.25" x14ac:dyDescent="0.2">
      <c r="A31" s="41" t="s">
        <v>60</v>
      </c>
      <c r="B31" s="75">
        <f>L30</f>
        <v>1945.848</v>
      </c>
      <c r="C31" s="59">
        <v>2115.799</v>
      </c>
      <c r="D31" s="75">
        <f>(1.232832+0.000565+12.844114+0.00048)*2.204622</f>
        <v>31.036648674401999</v>
      </c>
      <c r="E31" s="75">
        <f t="shared" ref="E31:E35" si="11">SUM(B31:D31)</f>
        <v>4092.6836486744019</v>
      </c>
      <c r="F31" s="59"/>
      <c r="G31" s="75">
        <f>K31-J31</f>
        <v>1866.8960887065257</v>
      </c>
      <c r="H31" s="75">
        <v>622.80999999999995</v>
      </c>
      <c r="I31" s="59">
        <f t="shared" si="9"/>
        <v>1244.0860887065257</v>
      </c>
      <c r="J31" s="75">
        <f>(86.321768+0.169398+13.585229+0.194563)*2.204622</f>
        <v>221.05955996787603</v>
      </c>
      <c r="K31" s="75">
        <f t="shared" si="10"/>
        <v>2087.9556486744018</v>
      </c>
      <c r="L31" s="75">
        <f>1659.501+345.227</f>
        <v>2004.7280000000001</v>
      </c>
    </row>
    <row r="32" spans="1:12" ht="14.25" x14ac:dyDescent="0.2">
      <c r="A32" s="41" t="s">
        <v>61</v>
      </c>
      <c r="B32" s="75">
        <f>L31</f>
        <v>2004.7280000000001</v>
      </c>
      <c r="C32" s="59">
        <v>1899.1959999999999</v>
      </c>
      <c r="D32" s="75">
        <f>(1.036189+0+12.266298+0.0008)*2.204622</f>
        <v>29.328719192514004</v>
      </c>
      <c r="E32" s="75">
        <f t="shared" si="11"/>
        <v>3933.2527191925142</v>
      </c>
      <c r="F32" s="59"/>
      <c r="G32" s="75">
        <f>K32-J32</f>
        <v>1692.3842773339961</v>
      </c>
      <c r="H32" s="75">
        <v>559.57000000000005</v>
      </c>
      <c r="I32" s="59">
        <f t="shared" si="9"/>
        <v>1132.814277333996</v>
      </c>
      <c r="J32" s="75">
        <f>(29.230159+0.074299+12.057246+0.250165)*2.204622</f>
        <v>91.738441858518016</v>
      </c>
      <c r="K32" s="75">
        <f t="shared" si="10"/>
        <v>1784.1227191925141</v>
      </c>
      <c r="L32" s="75">
        <f>1762.965+386.165</f>
        <v>2149.13</v>
      </c>
    </row>
    <row r="33" spans="1:12" ht="14.25" x14ac:dyDescent="0.2">
      <c r="A33" s="41" t="s">
        <v>62</v>
      </c>
      <c r="B33" s="75">
        <f t="shared" ref="B33:B34" si="12">L32</f>
        <v>2149.13</v>
      </c>
      <c r="C33" s="59">
        <v>2094.4180000000001</v>
      </c>
      <c r="D33" s="75">
        <f>(0.61092+0.0008+13.177229+0.00082)*2.204622</f>
        <v>30.401228112318002</v>
      </c>
      <c r="E33" s="75">
        <f t="shared" si="11"/>
        <v>4273.9492281123185</v>
      </c>
      <c r="F33" s="75"/>
      <c r="G33" s="75">
        <f t="shared" ref="G33" si="13">K33-J33</f>
        <v>1769.1811510570665</v>
      </c>
      <c r="H33" s="75">
        <v>617.01</v>
      </c>
      <c r="I33" s="59">
        <f t="shared" si="9"/>
        <v>1152.1711510570665</v>
      </c>
      <c r="J33" s="75">
        <f>(105.920622+0.129031+16.580273+0.67424)*2.204622</f>
        <v>271.83907705525195</v>
      </c>
      <c r="K33" s="75">
        <f t="shared" si="10"/>
        <v>2041.0202281123184</v>
      </c>
      <c r="L33" s="75">
        <f>1893.918+339.011</f>
        <v>2232.9290000000001</v>
      </c>
    </row>
    <row r="34" spans="1:12" ht="14.25" x14ac:dyDescent="0.2">
      <c r="A34" s="41" t="s">
        <v>63</v>
      </c>
      <c r="B34" s="75">
        <f t="shared" si="12"/>
        <v>2232.9290000000001</v>
      </c>
      <c r="C34" s="59">
        <v>1989.1010000000001</v>
      </c>
      <c r="D34" s="75">
        <f>(0.55383+0+12.611174+0.0008)*2.204622</f>
        <v>29.025621146088</v>
      </c>
      <c r="E34" s="75">
        <f t="shared" si="11"/>
        <v>4251.0556211460889</v>
      </c>
      <c r="F34" s="75"/>
      <c r="G34" s="75">
        <f>K34-J34</f>
        <v>1845.2466056534167</v>
      </c>
      <c r="H34" s="75">
        <v>631.84</v>
      </c>
      <c r="I34" s="59">
        <f t="shared" si="9"/>
        <v>1213.4066056534166</v>
      </c>
      <c r="J34" s="75">
        <f>(54.848471+0.2357+11.759032+0.380573)*2.204622</f>
        <v>148.20301549267199</v>
      </c>
      <c r="K34" s="75">
        <f t="shared" si="10"/>
        <v>1993.4496211460887</v>
      </c>
      <c r="L34" s="75">
        <f>1893.351+364.255</f>
        <v>2257.6060000000002</v>
      </c>
    </row>
    <row r="35" spans="1:12" ht="14.25" x14ac:dyDescent="0.2">
      <c r="A35" s="41" t="s">
        <v>64</v>
      </c>
      <c r="B35" s="75">
        <f t="shared" ref="B35:B36" si="14">L34</f>
        <v>2257.6060000000002</v>
      </c>
      <c r="C35" s="59">
        <v>1915.9939999999999</v>
      </c>
      <c r="D35" s="75">
        <f>(0.55383087+0+15.169599+0)*2.204622</f>
        <v>34.664219406859139</v>
      </c>
      <c r="E35" s="75">
        <f t="shared" si="11"/>
        <v>4208.2642194068594</v>
      </c>
      <c r="F35" s="75"/>
      <c r="G35" s="75">
        <f>K35-J35</f>
        <v>1983.6632017077052</v>
      </c>
      <c r="H35" s="75">
        <v>659.05</v>
      </c>
      <c r="I35" s="59">
        <f t="shared" si="9"/>
        <v>1324.6132017077052</v>
      </c>
      <c r="J35" s="75">
        <f>(80.309787+0.081671+12.554494+0.373455)*2.204622</f>
        <v>205.73401769915404</v>
      </c>
      <c r="K35" s="75">
        <f t="shared" si="10"/>
        <v>2189.3972194068592</v>
      </c>
      <c r="L35" s="75">
        <f>1662.782+356.085</f>
        <v>2018.867</v>
      </c>
    </row>
    <row r="36" spans="1:12" ht="14.25" x14ac:dyDescent="0.2">
      <c r="A36" s="41" t="s">
        <v>65</v>
      </c>
      <c r="B36" s="75">
        <f t="shared" si="14"/>
        <v>2018.867</v>
      </c>
      <c r="C36" s="59">
        <v>1811.481</v>
      </c>
      <c r="D36" s="75">
        <f>(0.478023+0+15.44509+0.0008)*2.204622</f>
        <v>35.106208925886001</v>
      </c>
      <c r="E36" s="75">
        <f t="shared" ref="E36" si="15">SUM(B36:D36)</f>
        <v>3865.4542089258862</v>
      </c>
      <c r="F36" s="75"/>
      <c r="G36" s="75">
        <f>K36-J36</f>
        <v>1796.3307846767502</v>
      </c>
      <c r="H36" s="75" t="s">
        <v>10</v>
      </c>
      <c r="I36" s="75" t="s">
        <v>10</v>
      </c>
      <c r="J36" s="75">
        <f>(33.517763+0.113445+9.280684+0.357396)*2.204622</f>
        <v>95.392424249136013</v>
      </c>
      <c r="K36" s="75">
        <f t="shared" si="10"/>
        <v>1891.7232089258862</v>
      </c>
      <c r="L36" s="75">
        <f>1554.584+419.147</f>
        <v>1973.731</v>
      </c>
    </row>
    <row r="37" spans="1:12" ht="14.25" x14ac:dyDescent="0.2">
      <c r="A37" s="37" t="s">
        <v>164</v>
      </c>
      <c r="B37" s="136"/>
      <c r="C37" s="66">
        <f>SUM(C28:C36)</f>
        <v>18156.475000000002</v>
      </c>
      <c r="D37" s="66">
        <f>SUM(D28:D35)</f>
        <v>268.28384160203512</v>
      </c>
      <c r="E37" s="66">
        <f>B28+C37+D37</f>
        <v>20420.192841602038</v>
      </c>
      <c r="F37" s="82"/>
      <c r="G37" s="66">
        <f t="shared" ref="G37:K37" si="16">SUM(G28:G35)</f>
        <v>15132.263748443957</v>
      </c>
      <c r="H37" s="66">
        <f t="shared" si="16"/>
        <v>5260.7100000000009</v>
      </c>
      <c r="I37" s="66">
        <f t="shared" si="16"/>
        <v>9871.5537484439574</v>
      </c>
      <c r="J37" s="66">
        <f t="shared" si="16"/>
        <v>1457.5810931580781</v>
      </c>
      <c r="K37" s="66">
        <f t="shared" si="16"/>
        <v>16589.844841602033</v>
      </c>
      <c r="L37" s="82"/>
    </row>
    <row r="38" spans="1:12" ht="16.5" x14ac:dyDescent="0.2">
      <c r="A38" s="79" t="s">
        <v>126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</row>
    <row r="39" spans="1:12" ht="14.25" x14ac:dyDescent="0.2">
      <c r="A39" s="38" t="s">
        <v>125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</row>
    <row r="40" spans="1:12" ht="14.25" x14ac:dyDescent="0.2">
      <c r="A40" s="38" t="s">
        <v>26</v>
      </c>
      <c r="B40" s="71">
        <f ca="1">NOW()</f>
        <v>43691.380418287037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</row>
  </sheetData>
  <mergeCells count="3">
    <mergeCell ref="B5:L5"/>
    <mergeCell ref="G2:I2"/>
    <mergeCell ref="B2:E2"/>
  </mergeCells>
  <phoneticPr fontId="3" type="noConversion"/>
  <pageMargins left="0.75" right="0.75" top="1" bottom="1" header="0.5" footer="0.5"/>
  <pageSetup scale="67" orientation="portrait" r:id="rId1"/>
  <headerFooter alignWithMargins="0"/>
  <ignoredErrors>
    <ignoredError sqref="I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O56"/>
  <sheetViews>
    <sheetView showGridLines="0" zoomScaleNormal="100" workbookViewId="0"/>
  </sheetViews>
  <sheetFormatPr defaultRowHeight="12.75" x14ac:dyDescent="0.2"/>
  <cols>
    <col min="1" max="1" width="14.7109375" customWidth="1"/>
    <col min="2" max="2" width="11.5703125" customWidth="1"/>
    <col min="3" max="3" width="10.7109375" customWidth="1"/>
    <col min="4" max="4" width="11.7109375" customWidth="1"/>
    <col min="5" max="5" width="10.7109375" customWidth="1"/>
    <col min="6" max="6" width="10.5703125" customWidth="1"/>
    <col min="7" max="7" width="11.7109375" customWidth="1"/>
    <col min="8" max="8" width="8.7109375" customWidth="1"/>
    <col min="9" max="9" width="9.7109375" customWidth="1"/>
    <col min="10" max="11" width="7.7109375" customWidth="1"/>
    <col min="12" max="12" width="8.5703125" customWidth="1"/>
    <col min="13" max="13" width="9.5703125" customWidth="1"/>
    <col min="14" max="15" width="7.5703125" customWidth="1"/>
  </cols>
  <sheetData>
    <row r="1" spans="1:15" ht="14.25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  <c r="M1" s="38"/>
      <c r="N1" s="38"/>
      <c r="O1" s="38"/>
    </row>
    <row r="2" spans="1:15" ht="14.25" x14ac:dyDescent="0.2">
      <c r="A2" s="38"/>
      <c r="B2" s="169" t="s">
        <v>0</v>
      </c>
      <c r="C2" s="169"/>
      <c r="D2" s="169"/>
      <c r="E2" s="169"/>
      <c r="F2" s="83"/>
      <c r="G2" s="169" t="s">
        <v>24</v>
      </c>
      <c r="H2" s="169"/>
      <c r="I2" s="169"/>
      <c r="J2" s="169"/>
      <c r="K2" s="83"/>
      <c r="L2" s="38"/>
      <c r="M2" s="38"/>
      <c r="N2" s="38"/>
      <c r="O2" s="38"/>
    </row>
    <row r="3" spans="1:15" ht="14.25" x14ac:dyDescent="0.2">
      <c r="A3" s="38" t="s">
        <v>83</v>
      </c>
      <c r="B3" s="42" t="s">
        <v>36</v>
      </c>
      <c r="C3" s="42"/>
      <c r="D3" s="42"/>
      <c r="E3" s="42"/>
      <c r="F3" s="84"/>
      <c r="G3" s="42"/>
      <c r="H3" s="42"/>
      <c r="I3" s="42"/>
      <c r="J3" s="42"/>
      <c r="K3" s="40" t="s">
        <v>34</v>
      </c>
      <c r="L3" s="38"/>
      <c r="M3" s="38"/>
      <c r="N3" s="38"/>
      <c r="O3" s="38"/>
    </row>
    <row r="4" spans="1:15" ht="14.25" x14ac:dyDescent="0.2">
      <c r="A4" s="43" t="s">
        <v>85</v>
      </c>
      <c r="B4" s="45" t="s">
        <v>53</v>
      </c>
      <c r="C4" s="85" t="s">
        <v>1</v>
      </c>
      <c r="D4" s="47" t="s">
        <v>37</v>
      </c>
      <c r="E4" s="45" t="s">
        <v>94</v>
      </c>
      <c r="F4" s="46"/>
      <c r="G4" s="45" t="s">
        <v>40</v>
      </c>
      <c r="H4" s="45" t="s">
        <v>4</v>
      </c>
      <c r="I4" s="45" t="s">
        <v>41</v>
      </c>
      <c r="J4" s="45" t="s">
        <v>38</v>
      </c>
      <c r="K4" s="45" t="s">
        <v>33</v>
      </c>
      <c r="L4" s="38"/>
      <c r="M4" s="38"/>
      <c r="N4" s="38"/>
      <c r="O4" s="38"/>
    </row>
    <row r="5" spans="1:15" ht="14.25" x14ac:dyDescent="0.2">
      <c r="A5" s="38"/>
      <c r="B5" s="170" t="s">
        <v>18</v>
      </c>
      <c r="C5" s="170"/>
      <c r="D5" s="170"/>
      <c r="E5" s="170"/>
      <c r="F5" s="170"/>
      <c r="G5" s="170"/>
      <c r="H5" s="170"/>
      <c r="I5" s="170"/>
      <c r="J5" s="170"/>
      <c r="K5" s="170"/>
      <c r="L5" s="38"/>
      <c r="M5" s="38"/>
      <c r="N5" s="38"/>
      <c r="O5" s="38"/>
    </row>
    <row r="6" spans="1:15" ht="14.25" x14ac:dyDescent="0.2">
      <c r="A6" s="38"/>
      <c r="B6" s="38"/>
      <c r="C6" s="38"/>
      <c r="D6" s="38"/>
      <c r="E6" s="38"/>
      <c r="F6" s="38"/>
      <c r="G6" s="80"/>
      <c r="H6" s="86"/>
      <c r="I6" s="80"/>
      <c r="J6" s="80"/>
      <c r="K6" s="38"/>
      <c r="L6" s="38"/>
      <c r="M6" s="38"/>
      <c r="N6" s="38"/>
      <c r="O6" s="38"/>
    </row>
    <row r="7" spans="1:15" ht="16.5" x14ac:dyDescent="0.2">
      <c r="A7" s="38" t="s">
        <v>139</v>
      </c>
      <c r="B7" s="87">
        <v>400</v>
      </c>
      <c r="C7" s="87">
        <v>6422</v>
      </c>
      <c r="D7" s="88">
        <v>0</v>
      </c>
      <c r="E7" s="87">
        <f>B7+C7+D7</f>
        <v>6822</v>
      </c>
      <c r="F7" s="53"/>
      <c r="G7" s="87">
        <v>1853.576</v>
      </c>
      <c r="H7" s="89">
        <v>478.09618</v>
      </c>
      <c r="I7" s="87">
        <f>J7-G7-H7</f>
        <v>4039.32782</v>
      </c>
      <c r="J7" s="87">
        <f>E7-K7</f>
        <v>6371</v>
      </c>
      <c r="K7" s="87">
        <v>451</v>
      </c>
      <c r="L7" s="38"/>
      <c r="M7" s="38"/>
      <c r="N7" s="38"/>
      <c r="O7" s="38"/>
    </row>
    <row r="8" spans="1:15" ht="16.5" x14ac:dyDescent="0.2">
      <c r="A8" s="38" t="s">
        <v>162</v>
      </c>
      <c r="B8" s="87">
        <f>K7</f>
        <v>451</v>
      </c>
      <c r="C8" s="87">
        <v>5631</v>
      </c>
      <c r="D8" s="88">
        <v>2</v>
      </c>
      <c r="E8" s="87">
        <f>B8+C8+D8</f>
        <v>6084</v>
      </c>
      <c r="F8" s="53"/>
      <c r="G8" s="87">
        <v>1800</v>
      </c>
      <c r="H8" s="89">
        <v>405</v>
      </c>
      <c r="I8" s="87">
        <f t="shared" ref="I8:I9" si="0">J8-G8-H8</f>
        <v>3458</v>
      </c>
      <c r="J8" s="87">
        <f t="shared" ref="J8:J9" si="1">E8-K8</f>
        <v>5663</v>
      </c>
      <c r="K8" s="87">
        <v>421</v>
      </c>
      <c r="L8" s="38"/>
      <c r="M8" s="38"/>
      <c r="N8" s="38"/>
      <c r="O8" s="38"/>
    </row>
    <row r="9" spans="1:15" ht="16.5" x14ac:dyDescent="0.2">
      <c r="A9" s="37" t="s">
        <v>170</v>
      </c>
      <c r="B9" s="90">
        <f>K8</f>
        <v>421</v>
      </c>
      <c r="C9" s="90">
        <v>6969</v>
      </c>
      <c r="D9" s="91">
        <v>2</v>
      </c>
      <c r="E9" s="90">
        <f>B9+C9+D9</f>
        <v>7392</v>
      </c>
      <c r="F9" s="92"/>
      <c r="G9" s="90">
        <v>2100</v>
      </c>
      <c r="H9" s="93">
        <v>450</v>
      </c>
      <c r="I9" s="90">
        <f t="shared" si="0"/>
        <v>4297</v>
      </c>
      <c r="J9" s="90">
        <f t="shared" si="1"/>
        <v>6847</v>
      </c>
      <c r="K9" s="90">
        <v>545</v>
      </c>
      <c r="L9" s="38"/>
      <c r="M9" s="38"/>
      <c r="N9" s="38"/>
      <c r="O9" s="38"/>
    </row>
    <row r="10" spans="1:15" ht="16.5" x14ac:dyDescent="0.2">
      <c r="A10" s="79" t="s">
        <v>127</v>
      </c>
      <c r="B10" s="38"/>
      <c r="C10" s="53"/>
      <c r="D10" s="53"/>
      <c r="E10" s="53"/>
      <c r="F10" s="53"/>
      <c r="G10" s="53"/>
      <c r="H10" s="53"/>
      <c r="I10" s="53"/>
      <c r="J10" s="53"/>
      <c r="K10" s="38"/>
      <c r="L10" s="38"/>
      <c r="M10" s="38"/>
      <c r="N10" s="38"/>
      <c r="O10" s="38"/>
    </row>
    <row r="11" spans="1:15" ht="14.25" x14ac:dyDescent="0.2">
      <c r="A11" s="38" t="s">
        <v>128</v>
      </c>
      <c r="B11" s="54"/>
      <c r="C11" s="58"/>
      <c r="D11" s="38"/>
      <c r="E11" s="54"/>
      <c r="F11" s="54"/>
      <c r="G11" s="54"/>
      <c r="H11" s="54"/>
      <c r="I11" s="54"/>
      <c r="J11" s="54"/>
      <c r="K11" s="38"/>
      <c r="L11" s="38"/>
      <c r="M11" s="38"/>
      <c r="N11" s="38"/>
      <c r="O11" s="38"/>
    </row>
    <row r="12" spans="1:15" ht="14.25" x14ac:dyDescent="0.2">
      <c r="A12" s="38" t="s">
        <v>129</v>
      </c>
      <c r="B12" s="54"/>
      <c r="C12" s="58"/>
      <c r="D12" s="38"/>
      <c r="E12" s="54"/>
      <c r="F12" s="54"/>
      <c r="G12" s="54"/>
      <c r="H12" s="54"/>
      <c r="I12" s="54"/>
      <c r="J12" s="54"/>
      <c r="K12" s="38"/>
      <c r="L12" s="38"/>
      <c r="M12" s="38"/>
      <c r="N12" s="38"/>
      <c r="O12" s="38"/>
    </row>
    <row r="13" spans="1:15" ht="14.25" x14ac:dyDescent="0.2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</row>
    <row r="14" spans="1:15" ht="14.25" x14ac:dyDescent="0.2">
      <c r="A14" s="37" t="s">
        <v>12</v>
      </c>
      <c r="B14" s="37"/>
      <c r="C14" s="37"/>
      <c r="D14" s="37"/>
      <c r="E14" s="37"/>
      <c r="F14" s="37"/>
      <c r="G14" s="37"/>
      <c r="H14" s="37"/>
      <c r="I14" s="38"/>
      <c r="J14" s="37"/>
      <c r="K14" s="38"/>
      <c r="L14" s="38"/>
      <c r="M14" s="38"/>
      <c r="N14" s="38"/>
      <c r="O14" s="38"/>
    </row>
    <row r="15" spans="1:15" ht="14.25" x14ac:dyDescent="0.2">
      <c r="A15" s="38"/>
      <c r="B15" s="169" t="s">
        <v>0</v>
      </c>
      <c r="C15" s="169"/>
      <c r="D15" s="169"/>
      <c r="E15" s="169"/>
      <c r="F15" s="38"/>
      <c r="G15" s="169" t="s">
        <v>24</v>
      </c>
      <c r="H15" s="169"/>
      <c r="I15" s="169"/>
      <c r="J15" s="38"/>
      <c r="K15" s="38"/>
      <c r="L15" s="38"/>
      <c r="M15" s="38"/>
      <c r="N15" s="38"/>
      <c r="O15" s="38"/>
    </row>
    <row r="16" spans="1:15" ht="14.25" x14ac:dyDescent="0.2">
      <c r="A16" s="38" t="s">
        <v>83</v>
      </c>
      <c r="B16" s="40" t="s">
        <v>36</v>
      </c>
      <c r="C16" s="42"/>
      <c r="D16" s="42"/>
      <c r="E16" s="42"/>
      <c r="F16" s="42"/>
      <c r="G16" s="42"/>
      <c r="H16" s="42"/>
      <c r="I16" s="42"/>
      <c r="J16" s="40" t="s">
        <v>34</v>
      </c>
      <c r="K16" s="38"/>
      <c r="L16" s="38"/>
      <c r="M16" s="38"/>
      <c r="N16" s="38"/>
      <c r="O16" s="38"/>
    </row>
    <row r="17" spans="1:15" ht="14.25" x14ac:dyDescent="0.2">
      <c r="A17" s="43" t="s">
        <v>84</v>
      </c>
      <c r="B17" s="45" t="s">
        <v>33</v>
      </c>
      <c r="C17" s="85" t="s">
        <v>1</v>
      </c>
      <c r="D17" s="47" t="s">
        <v>37</v>
      </c>
      <c r="E17" s="45" t="s">
        <v>38</v>
      </c>
      <c r="F17" s="46"/>
      <c r="G17" s="94" t="s">
        <v>9</v>
      </c>
      <c r="H17" s="45" t="s">
        <v>4</v>
      </c>
      <c r="I17" s="47" t="s">
        <v>32</v>
      </c>
      <c r="J17" s="45" t="s">
        <v>33</v>
      </c>
      <c r="K17" s="38"/>
      <c r="L17" s="38"/>
      <c r="M17" s="38"/>
      <c r="N17" s="38"/>
      <c r="O17" s="38"/>
    </row>
    <row r="18" spans="1:15" ht="14.25" x14ac:dyDescent="0.2">
      <c r="A18" s="38"/>
      <c r="B18" s="170" t="s">
        <v>19</v>
      </c>
      <c r="C18" s="170"/>
      <c r="D18" s="170"/>
      <c r="E18" s="170"/>
      <c r="F18" s="170"/>
      <c r="G18" s="170"/>
      <c r="H18" s="170"/>
      <c r="I18" s="170"/>
      <c r="J18" s="170"/>
      <c r="K18" s="38"/>
      <c r="L18" s="38"/>
      <c r="M18" s="38"/>
      <c r="N18" s="38"/>
      <c r="O18" s="38"/>
    </row>
    <row r="19" spans="1:15" ht="14.25" x14ac:dyDescent="0.2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</row>
    <row r="20" spans="1:15" ht="16.5" x14ac:dyDescent="0.2">
      <c r="A20" s="38" t="s">
        <v>139</v>
      </c>
      <c r="B20" s="87">
        <v>27.736000000000001</v>
      </c>
      <c r="C20" s="89">
        <v>845</v>
      </c>
      <c r="D20" s="88">
        <v>0</v>
      </c>
      <c r="E20" s="89">
        <f t="shared" ref="E20:E22" si="2">B20+C20+D20</f>
        <v>872.73599999999999</v>
      </c>
      <c r="F20" s="38"/>
      <c r="G20" s="89">
        <f>I20-H20</f>
        <v>708.28489999999999</v>
      </c>
      <c r="H20" s="89">
        <v>119.4511</v>
      </c>
      <c r="I20" s="89">
        <f>E20-J20</f>
        <v>827.73599999999999</v>
      </c>
      <c r="J20" s="87">
        <v>45</v>
      </c>
      <c r="K20" s="38"/>
      <c r="L20" s="38"/>
      <c r="M20" s="38"/>
      <c r="N20" s="38"/>
      <c r="O20" s="38"/>
    </row>
    <row r="21" spans="1:15" ht="16.5" x14ac:dyDescent="0.2">
      <c r="A21" s="38" t="s">
        <v>162</v>
      </c>
      <c r="B21" s="87">
        <f>J20</f>
        <v>45</v>
      </c>
      <c r="C21" s="89">
        <v>810</v>
      </c>
      <c r="D21" s="88">
        <v>0</v>
      </c>
      <c r="E21" s="89">
        <f t="shared" si="2"/>
        <v>855</v>
      </c>
      <c r="F21" s="38"/>
      <c r="G21" s="89">
        <f>I21-H21</f>
        <v>710</v>
      </c>
      <c r="H21" s="89">
        <v>105</v>
      </c>
      <c r="I21" s="89">
        <f t="shared" ref="I21:I22" si="3">E21-J21</f>
        <v>815</v>
      </c>
      <c r="J21" s="87">
        <v>40</v>
      </c>
      <c r="K21" s="38"/>
      <c r="L21" s="38"/>
      <c r="M21" s="38"/>
      <c r="N21" s="38"/>
      <c r="O21" s="38"/>
    </row>
    <row r="22" spans="1:15" ht="16.5" x14ac:dyDescent="0.2">
      <c r="A22" s="37" t="s">
        <v>170</v>
      </c>
      <c r="B22" s="90">
        <f>J21</f>
        <v>40</v>
      </c>
      <c r="C22" s="93">
        <v>945</v>
      </c>
      <c r="D22" s="91">
        <v>0</v>
      </c>
      <c r="E22" s="93">
        <f t="shared" si="2"/>
        <v>985</v>
      </c>
      <c r="F22" s="92"/>
      <c r="G22" s="93">
        <f>I22-H22</f>
        <v>835</v>
      </c>
      <c r="H22" s="93">
        <v>110</v>
      </c>
      <c r="I22" s="93">
        <f t="shared" si="3"/>
        <v>945</v>
      </c>
      <c r="J22" s="90">
        <v>40</v>
      </c>
      <c r="K22" s="38"/>
      <c r="L22" s="38"/>
      <c r="M22" s="38"/>
      <c r="N22" s="38"/>
      <c r="O22" s="38"/>
    </row>
    <row r="23" spans="1:15" ht="16.5" x14ac:dyDescent="0.2">
      <c r="A23" s="79" t="s">
        <v>127</v>
      </c>
      <c r="B23" s="38"/>
      <c r="C23" s="53"/>
      <c r="D23" s="53"/>
      <c r="E23" s="53"/>
      <c r="F23" s="53"/>
      <c r="G23" s="53"/>
      <c r="H23" s="53"/>
      <c r="I23" s="38"/>
      <c r="J23" s="38"/>
      <c r="K23" s="38"/>
      <c r="L23" s="38"/>
      <c r="M23" s="38"/>
      <c r="N23" s="38"/>
      <c r="O23" s="38"/>
    </row>
    <row r="24" spans="1:15" ht="14.25" x14ac:dyDescent="0.2">
      <c r="A24" s="38" t="s">
        <v>130</v>
      </c>
      <c r="B24" s="95"/>
      <c r="C24" s="95"/>
      <c r="D24" s="95"/>
      <c r="E24" s="95"/>
      <c r="F24" s="95"/>
      <c r="G24" s="95"/>
      <c r="H24" s="95"/>
      <c r="I24" s="38"/>
      <c r="J24" s="38"/>
      <c r="K24" s="38"/>
      <c r="L24" s="38"/>
      <c r="M24" s="38"/>
      <c r="N24" s="38"/>
      <c r="O24" s="38"/>
    </row>
    <row r="25" spans="1:15" ht="14.25" x14ac:dyDescent="0.2">
      <c r="A25" s="41"/>
      <c r="B25" s="54"/>
      <c r="C25" s="54"/>
      <c r="D25" s="54"/>
      <c r="E25" s="54"/>
      <c r="F25" s="54"/>
      <c r="G25" s="54"/>
      <c r="H25" s="54"/>
      <c r="I25" s="38"/>
      <c r="J25" s="38"/>
      <c r="K25" s="38"/>
      <c r="L25" s="38"/>
      <c r="M25" s="38"/>
      <c r="N25" s="38"/>
      <c r="O25" s="38"/>
    </row>
    <row r="26" spans="1:15" ht="14.25" x14ac:dyDescent="0.2">
      <c r="A26" s="41"/>
      <c r="B26" s="54"/>
      <c r="C26" s="58"/>
      <c r="D26" s="54"/>
      <c r="E26" s="54"/>
      <c r="F26" s="54"/>
      <c r="G26" s="54"/>
      <c r="H26" s="54"/>
      <c r="I26" s="38"/>
      <c r="J26" s="38"/>
      <c r="K26" s="38"/>
      <c r="L26" s="38"/>
      <c r="M26" s="38"/>
      <c r="N26" s="38"/>
      <c r="O26" s="38"/>
    </row>
    <row r="27" spans="1:15" ht="14.25" x14ac:dyDescent="0.2">
      <c r="A27" s="37" t="s">
        <v>13</v>
      </c>
      <c r="B27" s="37"/>
      <c r="C27" s="37"/>
      <c r="D27" s="37"/>
      <c r="E27" s="37"/>
      <c r="F27" s="37"/>
      <c r="G27" s="37"/>
      <c r="H27" s="37"/>
      <c r="I27" s="38"/>
      <c r="J27" s="37"/>
      <c r="K27" s="38"/>
      <c r="L27" s="38"/>
      <c r="M27" s="38"/>
      <c r="N27" s="38"/>
      <c r="O27" s="38"/>
    </row>
    <row r="28" spans="1:15" ht="14.25" x14ac:dyDescent="0.2">
      <c r="A28" s="38"/>
      <c r="B28" s="169" t="s">
        <v>0</v>
      </c>
      <c r="C28" s="169"/>
      <c r="D28" s="169"/>
      <c r="E28" s="169"/>
      <c r="F28" s="38"/>
      <c r="G28" s="169" t="s">
        <v>24</v>
      </c>
      <c r="H28" s="169"/>
      <c r="I28" s="169"/>
      <c r="J28" s="38"/>
      <c r="K28" s="38"/>
      <c r="L28" s="38"/>
      <c r="M28" s="38"/>
      <c r="N28" s="38"/>
      <c r="O28" s="38"/>
    </row>
    <row r="29" spans="1:15" ht="14.25" x14ac:dyDescent="0.2">
      <c r="A29" s="38" t="s">
        <v>83</v>
      </c>
      <c r="B29" s="40" t="s">
        <v>36</v>
      </c>
      <c r="C29" s="42"/>
      <c r="D29" s="42"/>
      <c r="E29" s="42"/>
      <c r="F29" s="42"/>
      <c r="G29" s="42"/>
      <c r="H29" s="42"/>
      <c r="I29" s="42"/>
      <c r="J29" s="40" t="s">
        <v>34</v>
      </c>
      <c r="K29" s="38"/>
      <c r="L29" s="38"/>
      <c r="M29" s="38"/>
      <c r="N29" s="38"/>
      <c r="O29" s="38"/>
    </row>
    <row r="30" spans="1:15" ht="14.25" x14ac:dyDescent="0.2">
      <c r="A30" s="43" t="s">
        <v>84</v>
      </c>
      <c r="B30" s="45" t="s">
        <v>33</v>
      </c>
      <c r="C30" s="45" t="s">
        <v>1</v>
      </c>
      <c r="D30" s="47" t="s">
        <v>37</v>
      </c>
      <c r="E30" s="45" t="s">
        <v>38</v>
      </c>
      <c r="F30" s="46"/>
      <c r="G30" s="45" t="s">
        <v>35</v>
      </c>
      <c r="H30" s="45" t="s">
        <v>4</v>
      </c>
      <c r="I30" s="45" t="s">
        <v>32</v>
      </c>
      <c r="J30" s="45" t="s">
        <v>95</v>
      </c>
      <c r="K30" s="38"/>
      <c r="L30" s="38"/>
      <c r="M30" s="38"/>
      <c r="N30" s="38"/>
      <c r="O30" s="38"/>
    </row>
    <row r="31" spans="1:15" ht="14.25" x14ac:dyDescent="0.2">
      <c r="A31" s="38"/>
      <c r="B31" s="170" t="s">
        <v>20</v>
      </c>
      <c r="C31" s="170"/>
      <c r="D31" s="170"/>
      <c r="E31" s="170"/>
      <c r="F31" s="170"/>
      <c r="G31" s="170"/>
      <c r="H31" s="170"/>
      <c r="I31" s="170"/>
      <c r="J31" s="170"/>
      <c r="K31" s="38"/>
      <c r="L31" s="38"/>
      <c r="M31" s="38"/>
      <c r="N31" s="38"/>
      <c r="O31" s="38"/>
    </row>
    <row r="32" spans="1:15" ht="14.25" x14ac:dyDescent="0.2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</row>
    <row r="33" spans="1:15" ht="16.5" x14ac:dyDescent="0.2">
      <c r="A33" s="38" t="s">
        <v>139</v>
      </c>
      <c r="B33" s="88">
        <v>44.128999999999998</v>
      </c>
      <c r="C33" s="89">
        <v>561</v>
      </c>
      <c r="D33" s="88">
        <v>0.16077900000000001</v>
      </c>
      <c r="E33" s="96">
        <f t="shared" ref="E33:E35" si="4">B33+C33+D33</f>
        <v>605.28977900000007</v>
      </c>
      <c r="F33" s="38"/>
      <c r="G33" s="89">
        <f>I33-H33</f>
        <v>474.27177900000004</v>
      </c>
      <c r="H33" s="89">
        <v>99.018000000000001</v>
      </c>
      <c r="I33" s="89">
        <f t="shared" ref="I33:I35" si="5">E33-J33</f>
        <v>573.28977900000007</v>
      </c>
      <c r="J33" s="97">
        <v>32</v>
      </c>
      <c r="K33" s="38"/>
      <c r="L33" s="38"/>
      <c r="M33" s="38"/>
      <c r="N33" s="38"/>
      <c r="O33" s="38"/>
    </row>
    <row r="34" spans="1:15" ht="16.5" x14ac:dyDescent="0.2">
      <c r="A34" s="38" t="s">
        <v>162</v>
      </c>
      <c r="B34" s="88">
        <f>J33</f>
        <v>32</v>
      </c>
      <c r="C34" s="89">
        <v>495</v>
      </c>
      <c r="D34" s="88">
        <v>1</v>
      </c>
      <c r="E34" s="96">
        <f t="shared" si="4"/>
        <v>528</v>
      </c>
      <c r="F34" s="38"/>
      <c r="G34" s="89">
        <f t="shared" ref="G34:G35" si="6">I34-H34</f>
        <v>373</v>
      </c>
      <c r="H34" s="89">
        <v>90</v>
      </c>
      <c r="I34" s="89">
        <f t="shared" si="5"/>
        <v>463</v>
      </c>
      <c r="J34" s="97">
        <v>65</v>
      </c>
      <c r="K34" s="38"/>
      <c r="L34" s="38"/>
      <c r="M34" s="38"/>
      <c r="N34" s="38"/>
      <c r="O34" s="38"/>
    </row>
    <row r="35" spans="1:15" ht="16.5" x14ac:dyDescent="0.2">
      <c r="A35" s="37" t="s">
        <v>170</v>
      </c>
      <c r="B35" s="91">
        <f>J34</f>
        <v>65</v>
      </c>
      <c r="C35" s="93">
        <v>610</v>
      </c>
      <c r="D35" s="91">
        <v>1</v>
      </c>
      <c r="E35" s="98">
        <f t="shared" si="4"/>
        <v>676</v>
      </c>
      <c r="F35" s="92"/>
      <c r="G35" s="93">
        <f t="shared" si="6"/>
        <v>511</v>
      </c>
      <c r="H35" s="93">
        <v>125</v>
      </c>
      <c r="I35" s="93">
        <f t="shared" si="5"/>
        <v>636</v>
      </c>
      <c r="J35" s="93">
        <v>40</v>
      </c>
      <c r="K35" s="38"/>
      <c r="L35" s="38"/>
      <c r="M35" s="38"/>
      <c r="N35" s="38"/>
      <c r="O35" s="38"/>
    </row>
    <row r="36" spans="1:15" ht="16.5" x14ac:dyDescent="0.2">
      <c r="A36" s="79" t="s">
        <v>127</v>
      </c>
      <c r="B36" s="38"/>
      <c r="C36" s="53"/>
      <c r="D36" s="53"/>
      <c r="E36" s="53"/>
      <c r="F36" s="53"/>
      <c r="G36" s="53"/>
      <c r="H36" s="53"/>
      <c r="I36" s="38"/>
      <c r="J36" s="38"/>
      <c r="K36" s="38"/>
      <c r="L36" s="38"/>
      <c r="M36" s="38"/>
      <c r="N36" s="38"/>
      <c r="O36" s="38"/>
    </row>
    <row r="37" spans="1:15" ht="14.25" x14ac:dyDescent="0.2">
      <c r="A37" s="38" t="s">
        <v>131</v>
      </c>
      <c r="B37" s="54"/>
      <c r="C37" s="58"/>
      <c r="D37" s="54"/>
      <c r="E37" s="54"/>
      <c r="F37" s="54"/>
      <c r="G37" s="54"/>
      <c r="H37" s="54"/>
      <c r="I37" s="38"/>
      <c r="J37" s="38"/>
      <c r="K37" s="38"/>
      <c r="L37" s="38"/>
      <c r="M37" s="38"/>
      <c r="N37" s="38"/>
      <c r="O37" s="38"/>
    </row>
    <row r="38" spans="1:15" ht="14.25" x14ac:dyDescent="0.2">
      <c r="A38" s="41"/>
      <c r="B38" s="41"/>
      <c r="C38" s="41"/>
      <c r="D38" s="41"/>
      <c r="E38" s="41"/>
      <c r="F38" s="41"/>
      <c r="G38" s="41"/>
      <c r="H38" s="41"/>
      <c r="I38" s="38"/>
      <c r="J38" s="38"/>
      <c r="K38" s="38"/>
      <c r="L38" s="38"/>
      <c r="M38" s="38"/>
      <c r="N38" s="38"/>
      <c r="O38" s="38"/>
    </row>
    <row r="39" spans="1:15" ht="14.25" x14ac:dyDescent="0.2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</row>
    <row r="40" spans="1:15" ht="14.25" x14ac:dyDescent="0.2">
      <c r="A40" s="37" t="s">
        <v>14</v>
      </c>
      <c r="B40" s="37"/>
      <c r="C40" s="37"/>
      <c r="D40" s="37"/>
      <c r="E40" s="37"/>
      <c r="F40" s="37"/>
      <c r="G40" s="37"/>
      <c r="H40" s="37"/>
      <c r="I40" s="37"/>
      <c r="J40" s="38"/>
      <c r="K40" s="38"/>
      <c r="L40" s="38"/>
      <c r="M40" s="38"/>
      <c r="N40" s="38"/>
      <c r="O40" s="37"/>
    </row>
    <row r="41" spans="1:15" ht="14.25" x14ac:dyDescent="0.2">
      <c r="A41" s="38"/>
      <c r="B41" s="169" t="s">
        <v>27</v>
      </c>
      <c r="C41" s="169"/>
      <c r="D41" s="40" t="s">
        <v>30</v>
      </c>
      <c r="E41" s="169" t="s">
        <v>91</v>
      </c>
      <c r="F41" s="169"/>
      <c r="G41" s="169"/>
      <c r="H41" s="169"/>
      <c r="I41" s="38"/>
      <c r="J41" s="169" t="s">
        <v>24</v>
      </c>
      <c r="K41" s="169"/>
      <c r="L41" s="169"/>
      <c r="M41" s="169"/>
      <c r="N41" s="169"/>
      <c r="O41" s="38"/>
    </row>
    <row r="42" spans="1:15" ht="14.25" x14ac:dyDescent="0.2">
      <c r="A42" s="38" t="s">
        <v>83</v>
      </c>
      <c r="B42" s="40" t="s">
        <v>28</v>
      </c>
      <c r="C42" s="40" t="s">
        <v>29</v>
      </c>
      <c r="D42" s="38"/>
      <c r="E42" s="40" t="s">
        <v>36</v>
      </c>
      <c r="F42" s="40"/>
      <c r="G42" s="40"/>
      <c r="H42" s="40"/>
      <c r="I42" s="38"/>
      <c r="J42" s="40" t="s">
        <v>9</v>
      </c>
      <c r="K42" s="40"/>
      <c r="L42" s="40" t="s">
        <v>98</v>
      </c>
      <c r="M42" s="40"/>
      <c r="N42" s="40"/>
      <c r="O42" s="40" t="s">
        <v>34</v>
      </c>
    </row>
    <row r="43" spans="1:15" ht="14.25" x14ac:dyDescent="0.2">
      <c r="A43" s="43" t="s">
        <v>85</v>
      </c>
      <c r="B43" s="44"/>
      <c r="C43" s="44"/>
      <c r="D43" s="44"/>
      <c r="E43" s="45" t="s">
        <v>33</v>
      </c>
      <c r="F43" s="45" t="s">
        <v>1</v>
      </c>
      <c r="G43" s="45" t="s">
        <v>37</v>
      </c>
      <c r="H43" s="45" t="s">
        <v>38</v>
      </c>
      <c r="I43" s="45"/>
      <c r="J43" s="45" t="s">
        <v>42</v>
      </c>
      <c r="K43" s="45" t="s">
        <v>40</v>
      </c>
      <c r="L43" s="45" t="s">
        <v>5</v>
      </c>
      <c r="M43" s="47" t="s">
        <v>4</v>
      </c>
      <c r="N43" s="45" t="s">
        <v>32</v>
      </c>
      <c r="O43" s="45" t="s">
        <v>95</v>
      </c>
    </row>
    <row r="44" spans="1:15" ht="14.25" x14ac:dyDescent="0.2">
      <c r="A44" s="38"/>
      <c r="B44" s="171" t="s">
        <v>93</v>
      </c>
      <c r="C44" s="170"/>
      <c r="D44" s="99" t="s">
        <v>78</v>
      </c>
      <c r="E44" s="170" t="s">
        <v>21</v>
      </c>
      <c r="F44" s="170"/>
      <c r="G44" s="170"/>
      <c r="H44" s="170"/>
      <c r="I44" s="170"/>
      <c r="J44" s="170"/>
      <c r="K44" s="170"/>
      <c r="L44" s="170"/>
      <c r="M44" s="170"/>
      <c r="N44" s="170"/>
      <c r="O44" s="170"/>
    </row>
    <row r="45" spans="1:15" ht="14.25" x14ac:dyDescent="0.2">
      <c r="A45" s="38"/>
      <c r="B45" s="40"/>
      <c r="C45" s="40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</row>
    <row r="46" spans="1:15" ht="16.5" x14ac:dyDescent="0.2">
      <c r="A46" s="38" t="s">
        <v>139</v>
      </c>
      <c r="B46" s="87">
        <v>1871.6</v>
      </c>
      <c r="C46" s="87">
        <v>1775.6</v>
      </c>
      <c r="D46" s="87">
        <f>F46*1000/C46</f>
        <v>4007.3271006983555</v>
      </c>
      <c r="E46" s="87">
        <v>1441.5920000000001</v>
      </c>
      <c r="F46" s="87">
        <v>7115.41</v>
      </c>
      <c r="G46" s="97">
        <v>171.48</v>
      </c>
      <c r="H46" s="87">
        <f>SUM(E46:G46)</f>
        <v>8728.482</v>
      </c>
      <c r="I46" s="87"/>
      <c r="J46" s="87">
        <v>3148.9827068371601</v>
      </c>
      <c r="K46" s="87">
        <v>704.82375000000002</v>
      </c>
      <c r="L46" s="89">
        <f>N46-J46-K46-M46</f>
        <v>884.88454316283992</v>
      </c>
      <c r="M46" s="97">
        <v>1272.711</v>
      </c>
      <c r="N46" s="87">
        <f>H46-O46</f>
        <v>6011.402</v>
      </c>
      <c r="O46" s="87">
        <v>2717.08</v>
      </c>
    </row>
    <row r="47" spans="1:15" ht="16.5" x14ac:dyDescent="0.2">
      <c r="A47" s="38" t="s">
        <v>162</v>
      </c>
      <c r="B47" s="87">
        <v>1425.5</v>
      </c>
      <c r="C47" s="87">
        <v>1368.5</v>
      </c>
      <c r="D47" s="87">
        <f>F47*1000/C47</f>
        <v>3990.9389842893679</v>
      </c>
      <c r="E47" s="87">
        <f>O46</f>
        <v>2717.08</v>
      </c>
      <c r="F47" s="87">
        <v>5461.6</v>
      </c>
      <c r="G47" s="97">
        <v>115</v>
      </c>
      <c r="H47" s="87">
        <f t="shared" ref="H47:H48" si="7">SUM(E47:G47)</f>
        <v>8293.68</v>
      </c>
      <c r="I47" s="87"/>
      <c r="J47" s="87">
        <v>3098</v>
      </c>
      <c r="K47" s="87">
        <v>640</v>
      </c>
      <c r="L47" s="89">
        <f>N47-J47-K47-M47</f>
        <v>870.68000000000029</v>
      </c>
      <c r="M47" s="89">
        <v>1225</v>
      </c>
      <c r="N47" s="87">
        <f t="shared" ref="N47:N48" si="8">H47-O47</f>
        <v>5833.68</v>
      </c>
      <c r="O47" s="87">
        <v>2460</v>
      </c>
    </row>
    <row r="48" spans="1:15" ht="16.5" x14ac:dyDescent="0.2">
      <c r="A48" s="37" t="s">
        <v>170</v>
      </c>
      <c r="B48" s="90">
        <v>1364</v>
      </c>
      <c r="C48" s="90">
        <v>1323</v>
      </c>
      <c r="D48" s="90">
        <f>F48*1000/C48</f>
        <v>4008.0120937263796</v>
      </c>
      <c r="E48" s="90">
        <f>O47</f>
        <v>2460</v>
      </c>
      <c r="F48" s="90">
        <v>5302.6</v>
      </c>
      <c r="G48" s="93">
        <v>100</v>
      </c>
      <c r="H48" s="90">
        <f t="shared" si="7"/>
        <v>7862.6</v>
      </c>
      <c r="I48" s="90"/>
      <c r="J48" s="90">
        <v>3158</v>
      </c>
      <c r="K48" s="90">
        <v>663</v>
      </c>
      <c r="L48" s="93">
        <f>N48-J48-K48-M48</f>
        <v>766.60000000000036</v>
      </c>
      <c r="M48" s="93">
        <v>1275</v>
      </c>
      <c r="N48" s="90">
        <f t="shared" si="8"/>
        <v>5862.6</v>
      </c>
      <c r="O48" s="90">
        <v>2000</v>
      </c>
    </row>
    <row r="49" spans="1:15" ht="16.5" x14ac:dyDescent="0.2">
      <c r="A49" s="79" t="s">
        <v>127</v>
      </c>
      <c r="B49" s="38"/>
      <c r="C49" s="53"/>
      <c r="D49" s="53"/>
      <c r="E49" s="53"/>
      <c r="F49" s="53"/>
      <c r="G49" s="53"/>
      <c r="H49" s="53"/>
      <c r="I49" s="38"/>
      <c r="J49" s="38"/>
      <c r="K49" s="38"/>
      <c r="L49" s="38"/>
      <c r="M49" s="38"/>
      <c r="N49" s="38"/>
      <c r="O49" s="38"/>
    </row>
    <row r="50" spans="1:15" ht="14.25" x14ac:dyDescent="0.2">
      <c r="A50" s="38" t="s">
        <v>132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</row>
    <row r="51" spans="1:15" ht="14.25" x14ac:dyDescent="0.2">
      <c r="A51" s="38" t="s">
        <v>129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</row>
    <row r="52" spans="1:15" ht="14.25" x14ac:dyDescent="0.2">
      <c r="A52" s="38" t="s">
        <v>26</v>
      </c>
      <c r="B52" s="100">
        <f ca="1">NOW()</f>
        <v>43691.380418287037</v>
      </c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</row>
    <row r="53" spans="1:15" ht="15.75" x14ac:dyDescent="0.25">
      <c r="G53" s="14"/>
      <c r="H53" s="14"/>
    </row>
    <row r="54" spans="1:15" ht="15.75" x14ac:dyDescent="0.25">
      <c r="G54" s="14"/>
      <c r="H54" s="14"/>
    </row>
    <row r="55" spans="1:15" ht="15.75" x14ac:dyDescent="0.25">
      <c r="G55" s="14"/>
      <c r="H55" s="14"/>
    </row>
    <row r="56" spans="1:15" ht="15.75" x14ac:dyDescent="0.25">
      <c r="G56" s="14"/>
      <c r="H56" s="14"/>
    </row>
  </sheetData>
  <mergeCells count="14">
    <mergeCell ref="G2:J2"/>
    <mergeCell ref="G15:I15"/>
    <mergeCell ref="B15:E15"/>
    <mergeCell ref="B2:E2"/>
    <mergeCell ref="B28:E28"/>
    <mergeCell ref="G28:I28"/>
    <mergeCell ref="B5:K5"/>
    <mergeCell ref="B41:C41"/>
    <mergeCell ref="B44:C44"/>
    <mergeCell ref="B31:J31"/>
    <mergeCell ref="B18:J18"/>
    <mergeCell ref="E44:O44"/>
    <mergeCell ref="E41:H41"/>
    <mergeCell ref="J41:N41"/>
  </mergeCells>
  <phoneticPr fontId="3" type="noConversion"/>
  <pageMargins left="0.75" right="0.75" top="1" bottom="1" header="0.5" footer="0.5"/>
  <pageSetup scale="61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46"/>
  <sheetViews>
    <sheetView showGridLines="0" zoomScaleNormal="100" workbookViewId="0"/>
  </sheetViews>
  <sheetFormatPr defaultRowHeight="12.75" x14ac:dyDescent="0.2"/>
  <cols>
    <col min="1" max="3" width="11.7109375" customWidth="1"/>
    <col min="4" max="4" width="14.7109375" customWidth="1"/>
    <col min="5" max="5" width="12.5703125" customWidth="1"/>
    <col min="6" max="7" width="11.7109375" customWidth="1"/>
  </cols>
  <sheetData>
    <row r="1" spans="1:11" ht="15.6" customHeight="1" x14ac:dyDescent="0.2">
      <c r="A1" s="37" t="s">
        <v>51</v>
      </c>
      <c r="B1" s="37"/>
      <c r="C1" s="37"/>
      <c r="D1" s="37"/>
      <c r="E1" s="37"/>
      <c r="F1" s="37"/>
      <c r="G1" s="37"/>
      <c r="H1" s="1"/>
      <c r="I1" s="1"/>
      <c r="J1" s="1"/>
      <c r="K1" s="1"/>
    </row>
    <row r="2" spans="1:11" ht="15.6" customHeight="1" x14ac:dyDescent="0.2">
      <c r="A2" s="41" t="s">
        <v>15</v>
      </c>
      <c r="B2" s="80" t="s">
        <v>133</v>
      </c>
      <c r="C2" s="80" t="s">
        <v>134</v>
      </c>
      <c r="D2" s="80" t="s">
        <v>135</v>
      </c>
      <c r="E2" s="80" t="s">
        <v>136</v>
      </c>
      <c r="F2" s="80" t="s">
        <v>137</v>
      </c>
      <c r="G2" s="80" t="s">
        <v>138</v>
      </c>
      <c r="H2" s="1"/>
      <c r="I2" s="1"/>
      <c r="J2" s="1"/>
      <c r="K2" s="1"/>
    </row>
    <row r="3" spans="1:11" ht="15.6" customHeight="1" x14ac:dyDescent="0.2">
      <c r="A3" s="37" t="s">
        <v>16</v>
      </c>
      <c r="B3" s="46"/>
      <c r="C3" s="101"/>
      <c r="D3" s="101"/>
      <c r="E3" s="101"/>
      <c r="F3" s="101"/>
      <c r="G3" s="101"/>
      <c r="H3" s="1"/>
      <c r="I3" s="1"/>
      <c r="J3" s="1"/>
      <c r="K3" s="2"/>
    </row>
    <row r="4" spans="1:11" ht="14.25" x14ac:dyDescent="0.2">
      <c r="A4" s="102"/>
      <c r="B4" s="103" t="s">
        <v>76</v>
      </c>
      <c r="C4" s="103" t="s">
        <v>86</v>
      </c>
      <c r="D4" s="103" t="s">
        <v>104</v>
      </c>
      <c r="E4" s="103" t="s">
        <v>50</v>
      </c>
      <c r="F4" s="103" t="s">
        <v>75</v>
      </c>
      <c r="G4" s="103" t="s">
        <v>76</v>
      </c>
      <c r="H4" s="1"/>
      <c r="I4" s="2"/>
      <c r="J4" s="2"/>
      <c r="K4" s="2"/>
    </row>
    <row r="5" spans="1:11" ht="14.25" x14ac:dyDescent="0.2">
      <c r="A5" s="38"/>
      <c r="B5" s="38"/>
      <c r="C5" s="38"/>
      <c r="D5" s="40"/>
      <c r="E5" s="38"/>
      <c r="F5" s="38"/>
      <c r="G5" s="38"/>
      <c r="H5" s="1"/>
      <c r="I5" s="1"/>
      <c r="J5" s="1"/>
      <c r="K5" s="1"/>
    </row>
    <row r="6" spans="1:11" ht="14.25" x14ac:dyDescent="0.2">
      <c r="A6" s="38" t="s">
        <v>54</v>
      </c>
      <c r="B6" s="104">
        <v>9.59</v>
      </c>
      <c r="C6" s="104">
        <v>158</v>
      </c>
      <c r="D6" s="104">
        <v>15.1</v>
      </c>
      <c r="E6" s="104">
        <v>16.2</v>
      </c>
      <c r="F6" s="104">
        <v>21.7</v>
      </c>
      <c r="G6" s="104">
        <v>8.15</v>
      </c>
      <c r="H6" s="1"/>
      <c r="I6" s="3"/>
      <c r="J6" s="3"/>
      <c r="K6" s="3"/>
    </row>
    <row r="7" spans="1:11" ht="14.25" x14ac:dyDescent="0.2">
      <c r="A7" s="38" t="s">
        <v>55</v>
      </c>
      <c r="B7" s="104">
        <v>11.3</v>
      </c>
      <c r="C7" s="104">
        <v>161</v>
      </c>
      <c r="D7" s="104">
        <v>23.3</v>
      </c>
      <c r="E7" s="104">
        <v>19.3</v>
      </c>
      <c r="F7" s="104">
        <v>22.5</v>
      </c>
      <c r="G7" s="104">
        <v>12.2</v>
      </c>
      <c r="H7" s="1"/>
      <c r="I7" s="3"/>
      <c r="J7" s="3"/>
      <c r="K7" s="3"/>
    </row>
    <row r="8" spans="1:11" ht="14.25" x14ac:dyDescent="0.2">
      <c r="A8" s="38" t="s">
        <v>66</v>
      </c>
      <c r="B8" s="104">
        <v>12.5</v>
      </c>
      <c r="C8" s="104">
        <v>260</v>
      </c>
      <c r="D8" s="104">
        <v>29.1</v>
      </c>
      <c r="E8" s="104">
        <v>24</v>
      </c>
      <c r="F8" s="104">
        <v>31.8</v>
      </c>
      <c r="G8" s="104">
        <v>13.9</v>
      </c>
      <c r="H8" s="1"/>
      <c r="I8" s="3"/>
      <c r="J8" s="3"/>
      <c r="K8" s="3"/>
    </row>
    <row r="9" spans="1:11" ht="14.25" x14ac:dyDescent="0.2">
      <c r="A9" s="38" t="s">
        <v>90</v>
      </c>
      <c r="B9" s="104">
        <v>14.4</v>
      </c>
      <c r="C9" s="104">
        <v>252</v>
      </c>
      <c r="D9" s="104">
        <v>25.4</v>
      </c>
      <c r="E9" s="104">
        <v>26.5</v>
      </c>
      <c r="F9" s="104">
        <v>30.1</v>
      </c>
      <c r="G9" s="104">
        <v>13.8</v>
      </c>
      <c r="H9" s="1"/>
      <c r="I9" s="3"/>
      <c r="J9" s="3"/>
      <c r="K9" s="3"/>
    </row>
    <row r="10" spans="1:11" ht="14.25" x14ac:dyDescent="0.2">
      <c r="A10" s="38" t="s">
        <v>97</v>
      </c>
      <c r="B10" s="104">
        <v>13</v>
      </c>
      <c r="C10" s="104">
        <v>246</v>
      </c>
      <c r="D10" s="104">
        <v>21.4</v>
      </c>
      <c r="E10" s="104">
        <v>20.6</v>
      </c>
      <c r="F10" s="104">
        <v>24.9</v>
      </c>
      <c r="G10" s="104">
        <v>13.8</v>
      </c>
      <c r="H10" s="1"/>
      <c r="I10" s="3"/>
      <c r="J10" s="3"/>
      <c r="K10" s="3"/>
    </row>
    <row r="11" spans="1:11" ht="14.25" x14ac:dyDescent="0.2">
      <c r="A11" s="38" t="s">
        <v>100</v>
      </c>
      <c r="B11" s="104">
        <v>10.1</v>
      </c>
      <c r="C11" s="104">
        <v>194</v>
      </c>
      <c r="D11" s="104">
        <v>21.7</v>
      </c>
      <c r="E11" s="104">
        <v>16.899999999999999</v>
      </c>
      <c r="F11" s="104">
        <v>22</v>
      </c>
      <c r="G11" s="104">
        <v>11.8</v>
      </c>
      <c r="H11" s="1"/>
      <c r="I11" s="3"/>
      <c r="J11" s="3"/>
      <c r="K11" s="3"/>
    </row>
    <row r="12" spans="1:11" ht="14.25" x14ac:dyDescent="0.2">
      <c r="A12" s="38" t="s">
        <v>101</v>
      </c>
      <c r="B12" s="104">
        <v>8.9499999999999993</v>
      </c>
      <c r="C12" s="104">
        <v>227</v>
      </c>
      <c r="D12" s="104">
        <v>19.600000000000001</v>
      </c>
      <c r="E12" s="104">
        <v>15.6</v>
      </c>
      <c r="F12" s="104">
        <v>19.3</v>
      </c>
      <c r="G12" s="104">
        <v>8.9499999999999993</v>
      </c>
      <c r="H12" s="1"/>
      <c r="I12" s="3"/>
      <c r="J12" s="3"/>
      <c r="K12" s="3"/>
    </row>
    <row r="13" spans="1:11" ht="14.25" x14ac:dyDescent="0.2">
      <c r="A13" s="38" t="s">
        <v>117</v>
      </c>
      <c r="B13" s="104">
        <v>9.4700000000000006</v>
      </c>
      <c r="C13" s="104">
        <v>195</v>
      </c>
      <c r="D13" s="104">
        <v>17.399999999999999</v>
      </c>
      <c r="E13" s="104">
        <v>16.600000000000001</v>
      </c>
      <c r="F13" s="104">
        <v>19.7</v>
      </c>
      <c r="G13" s="104">
        <v>8</v>
      </c>
      <c r="H13" s="1"/>
      <c r="I13" s="3"/>
      <c r="J13" s="3"/>
      <c r="K13" s="3"/>
    </row>
    <row r="14" spans="1:11" ht="14.25" x14ac:dyDescent="0.2">
      <c r="A14" s="38" t="s">
        <v>119</v>
      </c>
      <c r="B14" s="104">
        <v>9.33</v>
      </c>
      <c r="C14" s="104">
        <v>142</v>
      </c>
      <c r="D14" s="104">
        <v>17.2</v>
      </c>
      <c r="E14" s="104">
        <v>17.5</v>
      </c>
      <c r="F14" s="104">
        <v>22.9</v>
      </c>
      <c r="G14" s="104">
        <v>9.5299999999999994</v>
      </c>
      <c r="H14" s="1"/>
      <c r="I14" s="3"/>
      <c r="J14" s="3"/>
      <c r="K14" s="3"/>
    </row>
    <row r="15" spans="1:11" ht="14.25" x14ac:dyDescent="0.2">
      <c r="A15" s="38" t="s">
        <v>163</v>
      </c>
      <c r="B15" s="104">
        <v>8.5</v>
      </c>
      <c r="C15" s="104">
        <v>152</v>
      </c>
      <c r="D15" s="104">
        <v>17.2</v>
      </c>
      <c r="E15" s="104">
        <v>15.9</v>
      </c>
      <c r="F15" s="104">
        <v>21</v>
      </c>
      <c r="G15" s="104">
        <v>9.86</v>
      </c>
      <c r="H15" s="1"/>
      <c r="I15" s="7"/>
      <c r="J15" s="3"/>
      <c r="K15" s="3"/>
    </row>
    <row r="16" spans="1:11" ht="14.25" x14ac:dyDescent="0.2">
      <c r="A16" s="38" t="s">
        <v>171</v>
      </c>
      <c r="B16" s="104">
        <v>8.4</v>
      </c>
      <c r="C16" s="104">
        <v>155</v>
      </c>
      <c r="D16" s="104">
        <v>16.75</v>
      </c>
      <c r="E16" s="104">
        <v>15.35</v>
      </c>
      <c r="F16" s="104">
        <v>21</v>
      </c>
      <c r="G16" s="104">
        <v>9</v>
      </c>
      <c r="H16" s="1"/>
      <c r="I16" s="7"/>
      <c r="J16" s="3"/>
      <c r="K16" s="3"/>
    </row>
    <row r="17" spans="1:11" ht="14.25" x14ac:dyDescent="0.2">
      <c r="A17" s="41"/>
      <c r="B17" s="106"/>
      <c r="C17" s="107"/>
      <c r="D17" s="108"/>
      <c r="E17" s="108"/>
      <c r="F17" s="105"/>
      <c r="G17" s="109"/>
      <c r="H17" s="3"/>
      <c r="I17" s="7"/>
      <c r="J17" s="3"/>
      <c r="K17" s="3"/>
    </row>
    <row r="18" spans="1:11" ht="14.25" x14ac:dyDescent="0.2">
      <c r="A18" s="65" t="s">
        <v>119</v>
      </c>
      <c r="B18" s="104"/>
      <c r="C18" s="104"/>
      <c r="D18" s="104"/>
      <c r="E18" s="104"/>
      <c r="F18" s="104"/>
      <c r="G18" s="104"/>
      <c r="H18" s="1"/>
    </row>
    <row r="19" spans="1:11" ht="14.25" x14ac:dyDescent="0.2">
      <c r="A19" s="38" t="s">
        <v>70</v>
      </c>
      <c r="B19" s="104">
        <v>9.35</v>
      </c>
      <c r="C19" s="104">
        <v>127</v>
      </c>
      <c r="D19" s="104">
        <v>17.399999999999999</v>
      </c>
      <c r="E19" s="104">
        <v>17.3</v>
      </c>
      <c r="F19" s="104">
        <v>23</v>
      </c>
      <c r="G19" s="104">
        <v>9.5500000000000007</v>
      </c>
      <c r="H19" s="1"/>
    </row>
    <row r="20" spans="1:11" ht="14.25" x14ac:dyDescent="0.2">
      <c r="A20" s="38" t="s">
        <v>57</v>
      </c>
      <c r="B20" s="104">
        <v>9.18</v>
      </c>
      <c r="C20" s="104">
        <v>141</v>
      </c>
      <c r="D20" s="104">
        <v>16.8</v>
      </c>
      <c r="E20" s="104">
        <v>16.600000000000001</v>
      </c>
      <c r="F20" s="104">
        <v>23.2</v>
      </c>
      <c r="G20" s="104">
        <v>9.23</v>
      </c>
      <c r="H20" s="1"/>
    </row>
    <row r="21" spans="1:11" ht="14.25" x14ac:dyDescent="0.2">
      <c r="A21" s="38" t="s">
        <v>58</v>
      </c>
      <c r="B21" s="104">
        <v>9.2200000000000006</v>
      </c>
      <c r="C21" s="104">
        <v>144</v>
      </c>
      <c r="D21" s="104">
        <v>16.600000000000001</v>
      </c>
      <c r="E21" s="104">
        <v>17.2</v>
      </c>
      <c r="F21" s="104">
        <v>22.7</v>
      </c>
      <c r="G21" s="104">
        <v>9.2100000000000009</v>
      </c>
      <c r="H21" s="1"/>
    </row>
    <row r="22" spans="1:11" ht="14.25" x14ac:dyDescent="0.2">
      <c r="A22" s="38" t="s">
        <v>59</v>
      </c>
      <c r="B22" s="104">
        <v>9.3000000000000007</v>
      </c>
      <c r="C22" s="104">
        <v>143</v>
      </c>
      <c r="D22" s="104">
        <v>17</v>
      </c>
      <c r="E22" s="104">
        <v>16.7</v>
      </c>
      <c r="F22" s="104">
        <v>23</v>
      </c>
      <c r="G22" s="104">
        <v>9.34</v>
      </c>
      <c r="H22" s="1"/>
    </row>
    <row r="23" spans="1:11" ht="14.25" x14ac:dyDescent="0.2">
      <c r="A23" s="38" t="s">
        <v>60</v>
      </c>
      <c r="B23" s="104">
        <v>9.3000000000000007</v>
      </c>
      <c r="C23" s="104">
        <v>139</v>
      </c>
      <c r="D23" s="104">
        <v>17.600000000000001</v>
      </c>
      <c r="E23" s="104">
        <v>17.7</v>
      </c>
      <c r="F23" s="104">
        <v>22.9</v>
      </c>
      <c r="G23" s="104">
        <v>9.39</v>
      </c>
      <c r="H23" s="1"/>
    </row>
    <row r="24" spans="1:11" ht="14.25" x14ac:dyDescent="0.2">
      <c r="A24" s="38" t="s">
        <v>61</v>
      </c>
      <c r="B24" s="104">
        <v>9.5</v>
      </c>
      <c r="C24" s="104">
        <v>156</v>
      </c>
      <c r="D24" s="104">
        <v>17.7</v>
      </c>
      <c r="E24" s="104">
        <v>18.3</v>
      </c>
      <c r="F24" s="104">
        <v>22.7</v>
      </c>
      <c r="G24" s="104">
        <v>9.81</v>
      </c>
      <c r="H24" s="1"/>
    </row>
    <row r="25" spans="1:11" ht="14.25" x14ac:dyDescent="0.2">
      <c r="A25" s="38" t="s">
        <v>62</v>
      </c>
      <c r="B25" s="104">
        <v>9.81</v>
      </c>
      <c r="C25" s="104" t="s">
        <v>10</v>
      </c>
      <c r="D25" s="104">
        <v>17.3</v>
      </c>
      <c r="E25" s="104">
        <v>18.2</v>
      </c>
      <c r="F25" s="104">
        <v>24.4</v>
      </c>
      <c r="G25" s="104">
        <v>9.76</v>
      </c>
      <c r="H25" s="1"/>
    </row>
    <row r="26" spans="1:11" ht="14.25" x14ac:dyDescent="0.2">
      <c r="A26" s="38" t="s">
        <v>63</v>
      </c>
      <c r="B26" s="104">
        <v>9.85</v>
      </c>
      <c r="C26" s="104" t="s">
        <v>10</v>
      </c>
      <c r="D26" s="104">
        <v>18</v>
      </c>
      <c r="E26" s="104">
        <v>17.5</v>
      </c>
      <c r="F26" s="104">
        <v>23.3</v>
      </c>
      <c r="G26" s="104">
        <v>9.92</v>
      </c>
      <c r="H26" s="1"/>
    </row>
    <row r="27" spans="1:11" ht="14.25" x14ac:dyDescent="0.2">
      <c r="A27" s="38" t="s">
        <v>64</v>
      </c>
      <c r="B27" s="104">
        <v>9.84</v>
      </c>
      <c r="C27" s="104" t="s">
        <v>10</v>
      </c>
      <c r="D27" s="104">
        <v>17.899999999999999</v>
      </c>
      <c r="E27" s="104">
        <v>18.5</v>
      </c>
      <c r="F27" s="104">
        <v>22.7</v>
      </c>
      <c r="G27" s="104">
        <v>10.1</v>
      </c>
      <c r="H27" s="1"/>
    </row>
    <row r="28" spans="1:11" ht="14.25" x14ac:dyDescent="0.2">
      <c r="A28" s="38" t="s">
        <v>65</v>
      </c>
      <c r="B28" s="104">
        <v>9.5500000000000007</v>
      </c>
      <c r="C28" s="104" t="s">
        <v>10</v>
      </c>
      <c r="D28" s="104">
        <v>17.7</v>
      </c>
      <c r="E28" s="104">
        <v>17.2</v>
      </c>
      <c r="F28" s="104">
        <v>22.7</v>
      </c>
      <c r="G28" s="104">
        <v>9.98</v>
      </c>
      <c r="H28" s="1"/>
    </row>
    <row r="29" spans="1:11" ht="14.25" x14ac:dyDescent="0.2">
      <c r="A29" s="38" t="s">
        <v>67</v>
      </c>
      <c r="B29" s="104">
        <v>9.08</v>
      </c>
      <c r="C29" s="104" t="s">
        <v>10</v>
      </c>
      <c r="D29" s="104">
        <v>17.399999999999999</v>
      </c>
      <c r="E29" s="104">
        <v>17.100000000000001</v>
      </c>
      <c r="F29" s="104">
        <v>22.4</v>
      </c>
      <c r="G29" s="104">
        <v>9.9600000000000009</v>
      </c>
      <c r="H29" s="1"/>
    </row>
    <row r="30" spans="1:11" ht="14.25" x14ac:dyDescent="0.2">
      <c r="A30" s="38" t="s">
        <v>68</v>
      </c>
      <c r="B30" s="104">
        <v>8.59</v>
      </c>
      <c r="C30" s="104">
        <v>134</v>
      </c>
      <c r="D30" s="104">
        <v>16.899999999999999</v>
      </c>
      <c r="E30" s="104">
        <v>15.3</v>
      </c>
      <c r="F30" s="104">
        <v>22</v>
      </c>
      <c r="G30" s="104">
        <v>10.199999999999999</v>
      </c>
      <c r="H30" s="1"/>
    </row>
    <row r="31" spans="1:11" ht="14.25" x14ac:dyDescent="0.2">
      <c r="A31" s="41"/>
      <c r="B31" s="104"/>
      <c r="C31" s="104"/>
      <c r="D31" s="104"/>
      <c r="E31" s="104"/>
      <c r="F31" s="104"/>
      <c r="G31" s="104"/>
    </row>
    <row r="32" spans="1:11" ht="14.25" x14ac:dyDescent="0.2">
      <c r="A32" s="65" t="s">
        <v>163</v>
      </c>
      <c r="B32" s="104"/>
      <c r="C32" s="104"/>
      <c r="D32" s="104"/>
      <c r="E32" s="104"/>
      <c r="F32" s="104"/>
      <c r="G32" s="104"/>
    </row>
    <row r="33" spans="1:7" ht="14.25" x14ac:dyDescent="0.2">
      <c r="A33" s="41" t="s">
        <v>70</v>
      </c>
      <c r="B33" s="104">
        <v>8.77</v>
      </c>
      <c r="C33" s="104">
        <v>141</v>
      </c>
      <c r="D33" s="104">
        <v>16.7</v>
      </c>
      <c r="E33" s="104">
        <v>15.2</v>
      </c>
      <c r="F33" s="104">
        <v>22.2</v>
      </c>
      <c r="G33" s="104">
        <v>9.7899999999999991</v>
      </c>
    </row>
    <row r="34" spans="1:7" ht="14.25" x14ac:dyDescent="0.2">
      <c r="A34" s="41" t="s">
        <v>57</v>
      </c>
      <c r="B34" s="104">
        <v>8.58</v>
      </c>
      <c r="C34" s="104">
        <v>146</v>
      </c>
      <c r="D34" s="104">
        <v>16.7</v>
      </c>
      <c r="E34" s="104">
        <v>15.6</v>
      </c>
      <c r="F34" s="104">
        <v>22.103000000000002</v>
      </c>
      <c r="G34" s="104">
        <v>9.7899999999999991</v>
      </c>
    </row>
    <row r="35" spans="1:7" ht="14.25" x14ac:dyDescent="0.2">
      <c r="A35" s="41" t="s">
        <v>58</v>
      </c>
      <c r="B35" s="104">
        <v>8.3699999999999992</v>
      </c>
      <c r="C35" s="104">
        <v>152</v>
      </c>
      <c r="D35" s="104">
        <v>17</v>
      </c>
      <c r="E35" s="104">
        <v>16</v>
      </c>
      <c r="F35" s="104">
        <v>21.2</v>
      </c>
      <c r="G35" s="104">
        <v>9.76</v>
      </c>
    </row>
    <row r="36" spans="1:7" ht="14.25" x14ac:dyDescent="0.2">
      <c r="A36" s="41" t="s">
        <v>59</v>
      </c>
      <c r="B36" s="104">
        <v>8.57</v>
      </c>
      <c r="C36" s="104">
        <v>163</v>
      </c>
      <c r="D36" s="104">
        <v>16.399999999999999</v>
      </c>
      <c r="E36" s="104">
        <v>16.3</v>
      </c>
      <c r="F36" s="104">
        <v>17.8</v>
      </c>
      <c r="G36" s="104">
        <v>9.66</v>
      </c>
    </row>
    <row r="37" spans="1:7" ht="14.25" x14ac:dyDescent="0.2">
      <c r="A37" s="41" t="s">
        <v>60</v>
      </c>
      <c r="B37" s="104">
        <v>8.6300000000000008</v>
      </c>
      <c r="C37" s="104">
        <v>165</v>
      </c>
      <c r="D37" s="104">
        <v>17.399999999999999</v>
      </c>
      <c r="E37" s="104">
        <v>16.7</v>
      </c>
      <c r="F37" s="104">
        <v>22.2</v>
      </c>
      <c r="G37" s="104">
        <v>9.75</v>
      </c>
    </row>
    <row r="38" spans="1:7" ht="14.25" x14ac:dyDescent="0.2">
      <c r="A38" s="41" t="s">
        <v>61</v>
      </c>
      <c r="B38" s="104">
        <v>8.52</v>
      </c>
      <c r="C38" s="104">
        <v>174</v>
      </c>
      <c r="D38" s="104">
        <v>18</v>
      </c>
      <c r="E38" s="104">
        <v>16.2</v>
      </c>
      <c r="F38" s="104">
        <v>21.5</v>
      </c>
      <c r="G38" s="104">
        <v>9.7899999999999991</v>
      </c>
    </row>
    <row r="39" spans="1:7" ht="14.25" x14ac:dyDescent="0.2">
      <c r="A39" s="41" t="s">
        <v>62</v>
      </c>
      <c r="B39" s="104">
        <v>8.52</v>
      </c>
      <c r="C39" s="104" t="s">
        <v>10</v>
      </c>
      <c r="D39" s="104">
        <v>17.8</v>
      </c>
      <c r="E39" s="104">
        <v>15.8</v>
      </c>
      <c r="F39" s="104">
        <v>16</v>
      </c>
      <c r="G39" s="104">
        <v>10.1</v>
      </c>
    </row>
    <row r="40" spans="1:7" ht="14.25" x14ac:dyDescent="0.2">
      <c r="A40" s="41" t="s">
        <v>63</v>
      </c>
      <c r="B40" s="104">
        <v>8.2799999999999994</v>
      </c>
      <c r="C40" s="104" t="s">
        <v>10</v>
      </c>
      <c r="D40" s="104">
        <v>17.600000000000001</v>
      </c>
      <c r="E40" s="104">
        <v>15.8</v>
      </c>
      <c r="F40" s="104">
        <v>20.5</v>
      </c>
      <c r="G40" s="104">
        <v>9.93</v>
      </c>
    </row>
    <row r="41" spans="1:7" ht="14.25" x14ac:dyDescent="0.2">
      <c r="A41" s="41" t="s">
        <v>64</v>
      </c>
      <c r="B41" s="104">
        <v>8.02</v>
      </c>
      <c r="C41" s="104" t="s">
        <v>10</v>
      </c>
      <c r="D41" s="104">
        <v>18.3</v>
      </c>
      <c r="E41" s="104">
        <v>15.2</v>
      </c>
      <c r="F41" s="104">
        <v>20.6</v>
      </c>
      <c r="G41" s="104">
        <v>9.5399999999999991</v>
      </c>
    </row>
    <row r="42" spans="1:7" ht="14.25" x14ac:dyDescent="0.2">
      <c r="A42" s="37" t="s">
        <v>65</v>
      </c>
      <c r="B42" s="110">
        <v>8.31</v>
      </c>
      <c r="C42" s="110" t="s">
        <v>10</v>
      </c>
      <c r="D42" s="110">
        <v>17.899999999999999</v>
      </c>
      <c r="E42" s="110">
        <v>14.9</v>
      </c>
      <c r="F42" s="110">
        <v>21.7</v>
      </c>
      <c r="G42" s="110">
        <v>9.07</v>
      </c>
    </row>
    <row r="43" spans="1:7" ht="16.5" x14ac:dyDescent="0.2">
      <c r="A43" s="38" t="s">
        <v>140</v>
      </c>
      <c r="B43" s="38"/>
      <c r="C43" s="38"/>
      <c r="D43" s="38"/>
      <c r="E43" s="38"/>
      <c r="F43" s="38"/>
      <c r="G43" s="38"/>
    </row>
    <row r="44" spans="1:7" ht="14.25" x14ac:dyDescent="0.2">
      <c r="A44" s="38" t="s">
        <v>56</v>
      </c>
      <c r="B44" s="111"/>
      <c r="C44" s="111" t="s">
        <v>105</v>
      </c>
      <c r="D44" s="111"/>
      <c r="E44" s="111"/>
      <c r="F44" s="111"/>
      <c r="G44" s="111"/>
    </row>
    <row r="45" spans="1:7" ht="14.25" x14ac:dyDescent="0.2">
      <c r="A45" s="38" t="s">
        <v>141</v>
      </c>
      <c r="B45" s="38"/>
      <c r="C45" s="38"/>
      <c r="D45" s="38"/>
      <c r="E45" s="38"/>
      <c r="F45" s="38"/>
      <c r="G45" s="38"/>
    </row>
    <row r="46" spans="1:7" ht="14.25" x14ac:dyDescent="0.2">
      <c r="A46" s="38" t="s">
        <v>26</v>
      </c>
      <c r="B46" s="71">
        <f ca="1">NOW()</f>
        <v>43691.380418287037</v>
      </c>
      <c r="C46" s="38"/>
      <c r="D46" s="38"/>
      <c r="E46" s="38"/>
      <c r="F46" s="38"/>
      <c r="G46" s="38"/>
    </row>
  </sheetData>
  <phoneticPr fontId="3" type="noConversion"/>
  <pageMargins left="0.75" right="0.75" top="1" bottom="1" header="0.5" footer="0.5"/>
  <pageSetup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O66"/>
  <sheetViews>
    <sheetView showGridLines="0" zoomScaleNormal="100" workbookViewId="0"/>
  </sheetViews>
  <sheetFormatPr defaultRowHeight="12.75" x14ac:dyDescent="0.2"/>
  <cols>
    <col min="1" max="2" width="11.7109375" customWidth="1"/>
    <col min="3" max="3" width="11.5703125" customWidth="1"/>
    <col min="4" max="4" width="13.7109375" customWidth="1"/>
    <col min="5" max="5" width="10.5703125" customWidth="1"/>
    <col min="6" max="7" width="10.7109375" customWidth="1"/>
    <col min="8" max="9" width="10.5703125" customWidth="1"/>
  </cols>
  <sheetData>
    <row r="1" spans="1:9" ht="14.25" x14ac:dyDescent="0.2">
      <c r="A1" s="37" t="s">
        <v>22</v>
      </c>
      <c r="B1" s="37"/>
      <c r="C1" s="37"/>
      <c r="D1" s="37"/>
      <c r="E1" s="37"/>
      <c r="F1" s="37"/>
      <c r="G1" s="37"/>
      <c r="H1" s="37"/>
      <c r="I1" s="38"/>
    </row>
    <row r="2" spans="1:9" ht="15.6" customHeight="1" x14ac:dyDescent="0.2">
      <c r="A2" s="112" t="s">
        <v>15</v>
      </c>
      <c r="B2" s="80" t="s">
        <v>44</v>
      </c>
      <c r="C2" s="80" t="s">
        <v>17</v>
      </c>
      <c r="D2" s="80" t="s">
        <v>88</v>
      </c>
      <c r="E2" s="113" t="s">
        <v>52</v>
      </c>
      <c r="F2" s="113" t="s">
        <v>45</v>
      </c>
      <c r="G2" s="80" t="s">
        <v>49</v>
      </c>
      <c r="H2" s="80" t="s">
        <v>142</v>
      </c>
      <c r="I2" s="114" t="s">
        <v>48</v>
      </c>
    </row>
    <row r="3" spans="1:9" ht="15.6" customHeight="1" x14ac:dyDescent="0.2">
      <c r="A3" s="85" t="s">
        <v>16</v>
      </c>
      <c r="B3" s="45" t="s">
        <v>143</v>
      </c>
      <c r="C3" s="45" t="s">
        <v>144</v>
      </c>
      <c r="D3" s="45" t="s">
        <v>145</v>
      </c>
      <c r="E3" s="45" t="s">
        <v>145</v>
      </c>
      <c r="F3" s="45" t="s">
        <v>146</v>
      </c>
      <c r="G3" s="45" t="s">
        <v>147</v>
      </c>
      <c r="H3" s="45"/>
      <c r="I3" s="45" t="s">
        <v>148</v>
      </c>
    </row>
    <row r="4" spans="1:9" ht="14.25" x14ac:dyDescent="0.2">
      <c r="A4" s="38"/>
      <c r="B4" s="57" t="s">
        <v>106</v>
      </c>
      <c r="C4" s="115"/>
      <c r="D4" s="115"/>
      <c r="E4" s="115"/>
      <c r="F4" s="115"/>
      <c r="G4" s="115"/>
      <c r="H4" s="115"/>
      <c r="I4" s="115"/>
    </row>
    <row r="5" spans="1:9" ht="14.25" x14ac:dyDescent="0.2">
      <c r="A5" s="38"/>
      <c r="B5" s="38"/>
      <c r="C5" s="38"/>
      <c r="D5" s="38"/>
      <c r="E5" s="38"/>
      <c r="F5" s="38"/>
      <c r="G5" s="38"/>
      <c r="H5" s="38"/>
      <c r="I5" s="38"/>
    </row>
    <row r="6" spans="1:9" ht="14.25" x14ac:dyDescent="0.2">
      <c r="A6" s="38" t="s">
        <v>54</v>
      </c>
      <c r="B6" s="104">
        <v>35.950000000000003</v>
      </c>
      <c r="C6" s="104">
        <v>40.270000000000003</v>
      </c>
      <c r="D6" s="104">
        <v>52.8</v>
      </c>
      <c r="E6" s="104">
        <v>42.88</v>
      </c>
      <c r="F6" s="104">
        <v>59.62</v>
      </c>
      <c r="G6" s="104">
        <v>39.29</v>
      </c>
      <c r="H6" s="104">
        <v>31.99</v>
      </c>
      <c r="I6" s="104">
        <v>32.26</v>
      </c>
    </row>
    <row r="7" spans="1:9" ht="14.25" x14ac:dyDescent="0.2">
      <c r="A7" s="38" t="s">
        <v>55</v>
      </c>
      <c r="B7" s="104">
        <v>53.2</v>
      </c>
      <c r="C7" s="104">
        <v>54.5</v>
      </c>
      <c r="D7" s="104">
        <v>86.12</v>
      </c>
      <c r="E7" s="104">
        <v>58.68</v>
      </c>
      <c r="F7" s="104">
        <v>77.239999999999995</v>
      </c>
      <c r="G7" s="104">
        <v>60.76</v>
      </c>
      <c r="H7" s="104">
        <v>51.52</v>
      </c>
      <c r="I7" s="104">
        <v>51.34</v>
      </c>
    </row>
    <row r="8" spans="1:9" ht="14.25" x14ac:dyDescent="0.2">
      <c r="A8" s="38" t="s">
        <v>66</v>
      </c>
      <c r="B8" s="104">
        <v>51.9</v>
      </c>
      <c r="C8" s="104">
        <v>53.22</v>
      </c>
      <c r="D8" s="104">
        <v>83.2</v>
      </c>
      <c r="E8" s="104">
        <v>57.19</v>
      </c>
      <c r="F8" s="104">
        <v>100.15</v>
      </c>
      <c r="G8" s="104">
        <v>56.09</v>
      </c>
      <c r="H8" s="104">
        <v>48.11</v>
      </c>
      <c r="I8" s="104">
        <v>50.33</v>
      </c>
    </row>
    <row r="9" spans="1:9" ht="14.25" x14ac:dyDescent="0.2">
      <c r="A9" s="38" t="s">
        <v>90</v>
      </c>
      <c r="B9" s="104">
        <v>47.13</v>
      </c>
      <c r="C9" s="104">
        <v>48.6</v>
      </c>
      <c r="D9" s="104">
        <v>65.87</v>
      </c>
      <c r="E9" s="104">
        <v>56.17</v>
      </c>
      <c r="F9" s="104">
        <v>91.83</v>
      </c>
      <c r="G9" s="104">
        <v>46.66</v>
      </c>
      <c r="H9" s="104">
        <v>51.8</v>
      </c>
      <c r="I9" s="104">
        <v>43.24</v>
      </c>
    </row>
    <row r="10" spans="1:9" ht="14.25" x14ac:dyDescent="0.2">
      <c r="A10" s="38" t="s">
        <v>97</v>
      </c>
      <c r="B10" s="104">
        <v>38.229999999999997</v>
      </c>
      <c r="C10" s="104">
        <v>60.66</v>
      </c>
      <c r="D10" s="104">
        <v>59.12</v>
      </c>
      <c r="E10" s="104">
        <v>43.7</v>
      </c>
      <c r="F10" s="104">
        <v>68.23</v>
      </c>
      <c r="G10" s="104">
        <v>39.43</v>
      </c>
      <c r="H10" s="104">
        <v>43.93</v>
      </c>
      <c r="I10" s="104">
        <v>39.76</v>
      </c>
    </row>
    <row r="11" spans="1:9" ht="14.25" x14ac:dyDescent="0.2">
      <c r="A11" s="38" t="s">
        <v>100</v>
      </c>
      <c r="B11" s="104">
        <v>31.6</v>
      </c>
      <c r="C11" s="104">
        <v>45.74</v>
      </c>
      <c r="D11" s="104">
        <v>66.72</v>
      </c>
      <c r="E11" s="104">
        <v>37.81</v>
      </c>
      <c r="F11" s="104">
        <v>57.96</v>
      </c>
      <c r="G11" s="104">
        <v>37.479999999999997</v>
      </c>
      <c r="H11" s="104">
        <v>33.43</v>
      </c>
      <c r="I11" s="104">
        <v>31.36</v>
      </c>
    </row>
    <row r="12" spans="1:9" ht="14.25" x14ac:dyDescent="0.2">
      <c r="A12" s="38" t="s">
        <v>101</v>
      </c>
      <c r="B12" s="104">
        <v>29.86</v>
      </c>
      <c r="C12" s="104">
        <v>45.87</v>
      </c>
      <c r="D12" s="104">
        <v>57.81</v>
      </c>
      <c r="E12" s="104">
        <v>35.270000000000003</v>
      </c>
      <c r="F12" s="104">
        <v>58.26</v>
      </c>
      <c r="G12" s="104">
        <v>39.25</v>
      </c>
      <c r="H12" s="104">
        <v>32.229999999999997</v>
      </c>
      <c r="I12" s="104">
        <v>30.07</v>
      </c>
    </row>
    <row r="13" spans="1:9" ht="14.25" x14ac:dyDescent="0.2">
      <c r="A13" s="38" t="s">
        <v>117</v>
      </c>
      <c r="B13" s="104">
        <v>32.549999999999997</v>
      </c>
      <c r="C13" s="104">
        <v>40.92</v>
      </c>
      <c r="D13" s="104">
        <v>53.54</v>
      </c>
      <c r="E13" s="104">
        <v>38.729999999999997</v>
      </c>
      <c r="F13" s="104">
        <v>66.73</v>
      </c>
      <c r="G13" s="104">
        <v>37.43</v>
      </c>
      <c r="H13" s="104">
        <v>33.07</v>
      </c>
      <c r="I13" s="104">
        <v>34.75</v>
      </c>
    </row>
    <row r="14" spans="1:9" ht="14.25" x14ac:dyDescent="0.2">
      <c r="A14" s="38" t="s">
        <v>119</v>
      </c>
      <c r="B14" s="104">
        <v>30.04</v>
      </c>
      <c r="C14" s="104">
        <v>31.87</v>
      </c>
      <c r="D14" s="104">
        <v>54.57</v>
      </c>
      <c r="E14" s="104">
        <v>38.270000000000003</v>
      </c>
      <c r="F14" s="104">
        <v>66.72</v>
      </c>
      <c r="G14" s="104">
        <v>30.35</v>
      </c>
      <c r="H14" s="104">
        <v>34.159999999999997</v>
      </c>
      <c r="I14" s="104">
        <v>31.21</v>
      </c>
    </row>
    <row r="15" spans="1:9" ht="16.5" x14ac:dyDescent="0.2">
      <c r="A15" s="38" t="s">
        <v>161</v>
      </c>
      <c r="B15" s="104">
        <v>28</v>
      </c>
      <c r="C15" s="104">
        <v>36.5</v>
      </c>
      <c r="D15" s="104">
        <v>53</v>
      </c>
      <c r="E15" s="104">
        <v>36</v>
      </c>
      <c r="F15" s="104">
        <v>64.72</v>
      </c>
      <c r="G15" s="104">
        <v>26.75</v>
      </c>
      <c r="H15" s="104">
        <v>31.5</v>
      </c>
      <c r="I15" s="104">
        <v>33.25</v>
      </c>
    </row>
    <row r="16" spans="1:9" ht="16.5" x14ac:dyDescent="0.2">
      <c r="A16" s="38" t="s">
        <v>169</v>
      </c>
      <c r="B16" s="104">
        <v>29.5</v>
      </c>
      <c r="C16" s="104">
        <v>34</v>
      </c>
      <c r="D16" s="104">
        <v>54.5</v>
      </c>
      <c r="E16" s="104">
        <v>36.5</v>
      </c>
      <c r="F16" s="104">
        <v>66.5</v>
      </c>
      <c r="G16" s="104">
        <v>28.5</v>
      </c>
      <c r="H16" s="104">
        <v>33.5</v>
      </c>
      <c r="I16" s="104">
        <v>34.5</v>
      </c>
    </row>
    <row r="17" spans="1:15" ht="14.25" x14ac:dyDescent="0.2">
      <c r="A17" s="38"/>
      <c r="B17" s="54"/>
      <c r="C17" s="107"/>
      <c r="D17" s="116"/>
      <c r="E17" s="116"/>
      <c r="F17" s="116"/>
      <c r="G17" s="116"/>
      <c r="H17" s="38"/>
      <c r="I17" s="38"/>
    </row>
    <row r="18" spans="1:15" ht="14.25" x14ac:dyDescent="0.2">
      <c r="A18" s="38" t="s">
        <v>119</v>
      </c>
      <c r="B18" s="104"/>
      <c r="C18" s="104"/>
      <c r="D18" s="104"/>
      <c r="E18" s="104"/>
      <c r="F18" s="104"/>
      <c r="G18" s="104"/>
      <c r="H18" s="104"/>
      <c r="I18" s="104"/>
    </row>
    <row r="19" spans="1:15" ht="14.25" x14ac:dyDescent="0.2">
      <c r="A19" s="38" t="s">
        <v>57</v>
      </c>
      <c r="B19" s="104">
        <v>32.35</v>
      </c>
      <c r="C19" s="104">
        <v>37.06</v>
      </c>
      <c r="D19" s="104">
        <v>56</v>
      </c>
      <c r="E19" s="104">
        <v>39.06</v>
      </c>
      <c r="F19" s="104">
        <v>65.44</v>
      </c>
      <c r="G19" s="104">
        <v>34.96</v>
      </c>
      <c r="H19" s="104">
        <v>36</v>
      </c>
      <c r="I19" s="104">
        <v>32.06</v>
      </c>
      <c r="K19" s="7"/>
      <c r="L19" s="7"/>
      <c r="M19" s="7"/>
      <c r="N19" s="7"/>
      <c r="O19" s="7"/>
    </row>
    <row r="20" spans="1:15" ht="14.25" x14ac:dyDescent="0.2">
      <c r="A20" s="38" t="s">
        <v>58</v>
      </c>
      <c r="B20" s="104">
        <v>33.43</v>
      </c>
      <c r="C20" s="104">
        <v>37</v>
      </c>
      <c r="D20" s="104">
        <v>55.5</v>
      </c>
      <c r="E20" s="104">
        <v>39.69</v>
      </c>
      <c r="F20" s="104">
        <v>65</v>
      </c>
      <c r="G20" s="104">
        <v>34.46</v>
      </c>
      <c r="H20" s="104">
        <v>38.17</v>
      </c>
      <c r="I20" s="104">
        <v>33.44</v>
      </c>
      <c r="K20" s="7"/>
      <c r="L20" s="7"/>
      <c r="M20" s="7"/>
      <c r="N20" s="7"/>
      <c r="O20" s="7"/>
    </row>
    <row r="21" spans="1:15" ht="14.25" x14ac:dyDescent="0.2">
      <c r="A21" s="38" t="s">
        <v>59</v>
      </c>
      <c r="B21" s="104">
        <v>32.270000000000003</v>
      </c>
      <c r="C21" s="104">
        <v>34.25</v>
      </c>
      <c r="D21" s="104">
        <v>54.8</v>
      </c>
      <c r="E21" s="104">
        <v>38.65</v>
      </c>
      <c r="F21" s="104">
        <v>65.2</v>
      </c>
      <c r="G21" s="104">
        <v>33.96</v>
      </c>
      <c r="H21" s="104">
        <v>37</v>
      </c>
      <c r="I21" s="104">
        <v>31.63</v>
      </c>
    </row>
    <row r="22" spans="1:15" ht="14.25" x14ac:dyDescent="0.2">
      <c r="A22" s="38" t="s">
        <v>60</v>
      </c>
      <c r="B22" s="104">
        <v>31.61</v>
      </c>
      <c r="C22" s="104">
        <v>32.75</v>
      </c>
      <c r="D22" s="104">
        <v>55.5</v>
      </c>
      <c r="E22" s="104">
        <v>38.31</v>
      </c>
      <c r="F22" s="104">
        <v>66.13</v>
      </c>
      <c r="G22" s="104">
        <v>30.68</v>
      </c>
      <c r="H22" s="104">
        <v>32.08</v>
      </c>
      <c r="I22" s="104" t="s">
        <v>10</v>
      </c>
    </row>
    <row r="23" spans="1:15" ht="14.25" x14ac:dyDescent="0.2">
      <c r="A23" s="38" t="s">
        <v>61</v>
      </c>
      <c r="B23" s="104">
        <v>30.63</v>
      </c>
      <c r="C23" s="104">
        <v>31.44</v>
      </c>
      <c r="D23" s="104">
        <v>55</v>
      </c>
      <c r="E23" s="104">
        <v>37.44</v>
      </c>
      <c r="F23" s="104">
        <v>66.63</v>
      </c>
      <c r="G23" s="104">
        <v>29.72</v>
      </c>
      <c r="H23" s="104">
        <v>32.200000000000003</v>
      </c>
      <c r="I23" s="104">
        <v>31</v>
      </c>
    </row>
    <row r="24" spans="1:15" ht="14.25" x14ac:dyDescent="0.2">
      <c r="A24" s="38" t="s">
        <v>62</v>
      </c>
      <c r="B24" s="104">
        <v>30.28</v>
      </c>
      <c r="C24" s="104">
        <v>31.35</v>
      </c>
      <c r="D24" s="104">
        <v>54</v>
      </c>
      <c r="E24" s="104">
        <v>37.1</v>
      </c>
      <c r="F24" s="104">
        <v>67</v>
      </c>
      <c r="G24" s="104">
        <v>29.66</v>
      </c>
      <c r="H24" s="104" t="s">
        <v>10</v>
      </c>
      <c r="I24" s="104" t="s">
        <v>10</v>
      </c>
    </row>
    <row r="25" spans="1:15" ht="14.25" x14ac:dyDescent="0.2">
      <c r="A25" s="38" t="s">
        <v>63</v>
      </c>
      <c r="B25" s="104">
        <v>29.7</v>
      </c>
      <c r="C25" s="104">
        <v>31.19</v>
      </c>
      <c r="D25" s="104">
        <v>54</v>
      </c>
      <c r="E25" s="104">
        <v>37.31</v>
      </c>
      <c r="F25" s="104">
        <v>66.88</v>
      </c>
      <c r="G25" s="104">
        <v>29.5</v>
      </c>
      <c r="H25" s="104" t="s">
        <v>10</v>
      </c>
      <c r="I25" s="104">
        <v>29.5</v>
      </c>
    </row>
    <row r="26" spans="1:15" ht="14.25" x14ac:dyDescent="0.2">
      <c r="A26" s="38" t="s">
        <v>64</v>
      </c>
      <c r="B26" s="104">
        <v>29.4</v>
      </c>
      <c r="C26" s="104">
        <v>31.25</v>
      </c>
      <c r="D26" s="104">
        <v>54</v>
      </c>
      <c r="E26" s="104">
        <v>38.25</v>
      </c>
      <c r="F26" s="104">
        <v>66.5</v>
      </c>
      <c r="G26" s="104">
        <v>29.65</v>
      </c>
      <c r="H26" s="104" t="s">
        <v>10</v>
      </c>
      <c r="I26" s="104">
        <v>29</v>
      </c>
    </row>
    <row r="27" spans="1:15" ht="14.25" x14ac:dyDescent="0.2">
      <c r="A27" s="38" t="s">
        <v>65</v>
      </c>
      <c r="B27" s="104">
        <v>28.3</v>
      </c>
      <c r="C27" s="104">
        <v>29.9</v>
      </c>
      <c r="D27" s="104">
        <v>54</v>
      </c>
      <c r="E27" s="104">
        <v>37.75</v>
      </c>
      <c r="F27" s="104">
        <v>67.7</v>
      </c>
      <c r="G27" s="104">
        <v>29.54</v>
      </c>
      <c r="H27" s="104">
        <v>32.5</v>
      </c>
      <c r="I27" s="104">
        <v>30</v>
      </c>
    </row>
    <row r="28" spans="1:15" ht="14.25" x14ac:dyDescent="0.2">
      <c r="A28" s="38" t="s">
        <v>67</v>
      </c>
      <c r="B28" s="104">
        <v>27.21</v>
      </c>
      <c r="C28" s="104">
        <v>28.75</v>
      </c>
      <c r="D28" s="104">
        <v>54</v>
      </c>
      <c r="E28" s="104">
        <v>38.69</v>
      </c>
      <c r="F28" s="104">
        <v>68</v>
      </c>
      <c r="G28" s="104">
        <v>28.76</v>
      </c>
      <c r="H28" s="104" t="s">
        <v>10</v>
      </c>
      <c r="I28" s="104">
        <v>32.47</v>
      </c>
    </row>
    <row r="29" spans="1:15" ht="14.25" x14ac:dyDescent="0.2">
      <c r="A29" s="38" t="s">
        <v>68</v>
      </c>
      <c r="B29" s="104">
        <v>27.6</v>
      </c>
      <c r="C29" s="104">
        <v>28.6</v>
      </c>
      <c r="D29" s="104">
        <v>54</v>
      </c>
      <c r="E29" s="104">
        <v>38.75</v>
      </c>
      <c r="F29" s="104">
        <v>68</v>
      </c>
      <c r="G29" s="104">
        <v>26.8</v>
      </c>
      <c r="H29" s="104">
        <v>32.380000000000003</v>
      </c>
      <c r="I29" s="104">
        <v>32</v>
      </c>
    </row>
    <row r="30" spans="1:15" ht="14.25" x14ac:dyDescent="0.2">
      <c r="A30" s="38" t="s">
        <v>70</v>
      </c>
      <c r="B30" s="104">
        <v>27.73</v>
      </c>
      <c r="C30" s="104">
        <v>28.88</v>
      </c>
      <c r="D30" s="104">
        <v>54</v>
      </c>
      <c r="E30" s="104">
        <v>38.19</v>
      </c>
      <c r="F30" s="104">
        <v>67.63</v>
      </c>
      <c r="G30" s="104">
        <v>26.46</v>
      </c>
      <c r="H30" s="104">
        <v>32.93</v>
      </c>
      <c r="I30" s="104">
        <v>31</v>
      </c>
    </row>
    <row r="31" spans="1:15" ht="14.25" x14ac:dyDescent="0.2">
      <c r="A31" s="41"/>
      <c r="B31" s="104"/>
      <c r="C31" s="104"/>
      <c r="D31" s="104"/>
      <c r="E31" s="104"/>
      <c r="F31" s="104"/>
      <c r="G31" s="104"/>
      <c r="H31" s="104"/>
      <c r="I31" s="104"/>
    </row>
    <row r="32" spans="1:15" ht="14.25" x14ac:dyDescent="0.2">
      <c r="A32" s="38" t="s">
        <v>163</v>
      </c>
      <c r="B32" s="104"/>
      <c r="C32" s="104"/>
      <c r="D32" s="104"/>
      <c r="E32" s="104"/>
      <c r="F32" s="104"/>
      <c r="G32" s="104"/>
      <c r="H32" s="104"/>
      <c r="I32" s="104"/>
    </row>
    <row r="33" spans="1:9" ht="14.25" x14ac:dyDescent="0.2">
      <c r="A33" s="41" t="s">
        <v>57</v>
      </c>
      <c r="B33" s="104">
        <v>28.89</v>
      </c>
      <c r="C33" s="104">
        <v>30.56</v>
      </c>
      <c r="D33" s="104">
        <v>54</v>
      </c>
      <c r="E33" s="104">
        <v>38.94</v>
      </c>
      <c r="F33" s="104">
        <v>66.63</v>
      </c>
      <c r="G33" s="104">
        <v>27.18</v>
      </c>
      <c r="H33" s="104">
        <v>33</v>
      </c>
      <c r="I33" s="104">
        <v>31.29</v>
      </c>
    </row>
    <row r="34" spans="1:9" ht="14.25" x14ac:dyDescent="0.2">
      <c r="A34" s="41" t="s">
        <v>58</v>
      </c>
      <c r="B34" s="104">
        <v>27.492999999999999</v>
      </c>
      <c r="C34" s="104">
        <v>31.45</v>
      </c>
      <c r="D34" s="104">
        <v>52.8</v>
      </c>
      <c r="E34" s="104">
        <v>37.450000000000003</v>
      </c>
      <c r="F34" s="104">
        <v>64.8</v>
      </c>
      <c r="G34" s="104">
        <v>26.37</v>
      </c>
      <c r="H34" s="104">
        <v>34.33</v>
      </c>
      <c r="I34" s="104">
        <v>35</v>
      </c>
    </row>
    <row r="35" spans="1:9" ht="14.25" x14ac:dyDescent="0.2">
      <c r="A35" s="41" t="s">
        <v>59</v>
      </c>
      <c r="B35" s="104">
        <v>28.14</v>
      </c>
      <c r="C35" s="104">
        <v>32.06</v>
      </c>
      <c r="D35" s="104">
        <v>53.5</v>
      </c>
      <c r="E35" s="104">
        <v>36.75</v>
      </c>
      <c r="F35" s="104">
        <v>62.25</v>
      </c>
      <c r="G35" s="104">
        <v>26.46</v>
      </c>
      <c r="H35" s="104">
        <v>31</v>
      </c>
      <c r="I35" s="104">
        <v>32.5</v>
      </c>
    </row>
    <row r="36" spans="1:9" ht="14.25" x14ac:dyDescent="0.2">
      <c r="A36" s="41" t="s">
        <v>60</v>
      </c>
      <c r="B36" s="104">
        <v>28.44</v>
      </c>
      <c r="C36" s="104">
        <v>33.94</v>
      </c>
      <c r="D36" s="104">
        <v>53.5</v>
      </c>
      <c r="E36" s="104">
        <v>37.130000000000003</v>
      </c>
      <c r="F36" s="104">
        <v>61.88</v>
      </c>
      <c r="G36" s="104">
        <v>26.21</v>
      </c>
      <c r="H36" s="104" t="s">
        <v>10</v>
      </c>
      <c r="I36" s="104">
        <v>33.130000000000003</v>
      </c>
    </row>
    <row r="37" spans="1:9" ht="14.25" x14ac:dyDescent="0.2">
      <c r="A37" s="41" t="s">
        <v>61</v>
      </c>
      <c r="B37" s="104">
        <v>29.58</v>
      </c>
      <c r="C37" s="104">
        <v>36.44</v>
      </c>
      <c r="D37" s="104">
        <v>53</v>
      </c>
      <c r="E37" s="104">
        <v>37.75</v>
      </c>
      <c r="F37" s="104">
        <v>61.13</v>
      </c>
      <c r="G37" s="104">
        <v>25.65</v>
      </c>
      <c r="H37" s="104" t="s">
        <v>10</v>
      </c>
      <c r="I37" s="104">
        <v>33</v>
      </c>
    </row>
    <row r="38" spans="1:9" ht="14.25" x14ac:dyDescent="0.2">
      <c r="A38" s="41" t="s">
        <v>62</v>
      </c>
      <c r="B38" s="104">
        <v>28.62</v>
      </c>
      <c r="C38" s="104">
        <v>35.700000000000003</v>
      </c>
      <c r="D38" s="104">
        <v>53.2</v>
      </c>
      <c r="E38" s="104">
        <v>36.15</v>
      </c>
      <c r="F38" s="104">
        <v>61</v>
      </c>
      <c r="G38" s="104">
        <v>26.72</v>
      </c>
      <c r="H38" s="104" t="s">
        <v>10</v>
      </c>
      <c r="I38" s="104">
        <v>32.15</v>
      </c>
    </row>
    <row r="39" spans="1:9" ht="14.25" x14ac:dyDescent="0.2">
      <c r="A39" s="41" t="s">
        <v>63</v>
      </c>
      <c r="B39" s="104">
        <v>27.86</v>
      </c>
      <c r="C39" s="104">
        <v>37.130000000000003</v>
      </c>
      <c r="D39" s="104">
        <v>54</v>
      </c>
      <c r="E39" s="104">
        <v>35.44</v>
      </c>
      <c r="F39" s="104">
        <v>65.25</v>
      </c>
      <c r="G39" s="104">
        <v>27.94</v>
      </c>
      <c r="H39" s="104" t="s">
        <v>10</v>
      </c>
      <c r="I39" s="104">
        <v>31.86</v>
      </c>
    </row>
    <row r="40" spans="1:9" ht="14.25" x14ac:dyDescent="0.2">
      <c r="A40" s="41" t="s">
        <v>64</v>
      </c>
      <c r="B40" s="104">
        <v>26.93</v>
      </c>
      <c r="C40" s="104">
        <v>35.65</v>
      </c>
      <c r="D40" s="104">
        <v>53.4</v>
      </c>
      <c r="E40" s="104">
        <v>34.1</v>
      </c>
      <c r="F40" s="104">
        <v>66</v>
      </c>
      <c r="G40" s="104">
        <v>27.76</v>
      </c>
      <c r="H40" s="104" t="s">
        <v>10</v>
      </c>
      <c r="I40" s="104">
        <v>33.700000000000003</v>
      </c>
    </row>
    <row r="41" spans="1:9" ht="14.25" x14ac:dyDescent="0.2">
      <c r="A41" s="41" t="s">
        <v>65</v>
      </c>
      <c r="B41" s="104">
        <v>28.24</v>
      </c>
      <c r="C41" s="104">
        <v>36.69</v>
      </c>
      <c r="D41" s="104">
        <v>51</v>
      </c>
      <c r="E41" s="104">
        <v>34.630000000000003</v>
      </c>
      <c r="F41" s="104">
        <v>66</v>
      </c>
      <c r="G41" s="104">
        <v>27.38</v>
      </c>
      <c r="H41" s="104" t="s">
        <v>10</v>
      </c>
      <c r="I41" s="104" t="s">
        <v>10</v>
      </c>
    </row>
    <row r="42" spans="1:9" ht="14.25" x14ac:dyDescent="0.2">
      <c r="A42" s="37" t="s">
        <v>67</v>
      </c>
      <c r="B42" s="110">
        <v>27.68</v>
      </c>
      <c r="C42" s="110">
        <v>37.5</v>
      </c>
      <c r="D42" s="110">
        <v>52.5</v>
      </c>
      <c r="E42" s="110">
        <v>34.56</v>
      </c>
      <c r="F42" s="110">
        <v>66.13</v>
      </c>
      <c r="G42" s="110">
        <v>26.75</v>
      </c>
      <c r="H42" s="110" t="s">
        <v>10</v>
      </c>
      <c r="I42" s="110">
        <v>35</v>
      </c>
    </row>
    <row r="43" spans="1:9" ht="16.5" x14ac:dyDescent="0.2">
      <c r="A43" s="79" t="s">
        <v>158</v>
      </c>
      <c r="B43" s="117"/>
      <c r="C43" s="117"/>
      <c r="D43" s="117"/>
      <c r="E43" s="117"/>
      <c r="F43" s="117"/>
      <c r="G43" s="117"/>
      <c r="H43" s="117"/>
      <c r="I43" s="117"/>
    </row>
    <row r="44" spans="1:9" ht="16.5" x14ac:dyDescent="0.2">
      <c r="A44" s="38" t="s">
        <v>159</v>
      </c>
      <c r="B44" s="117"/>
      <c r="C44" s="117"/>
      <c r="D44" s="117"/>
      <c r="E44" s="117"/>
      <c r="F44" s="117"/>
      <c r="G44" s="117"/>
      <c r="H44" s="117"/>
      <c r="I44" s="117"/>
    </row>
    <row r="45" spans="1:9" ht="14.25" x14ac:dyDescent="0.2">
      <c r="A45" s="38" t="s">
        <v>149</v>
      </c>
      <c r="B45" s="38"/>
      <c r="C45" s="38"/>
      <c r="D45" s="38"/>
      <c r="E45" s="38"/>
      <c r="F45" s="117"/>
      <c r="G45" s="38"/>
      <c r="H45" s="38"/>
      <c r="I45" s="38"/>
    </row>
    <row r="46" spans="1:9" ht="14.25" x14ac:dyDescent="0.2">
      <c r="A46" s="38" t="s">
        <v>26</v>
      </c>
      <c r="B46" s="71">
        <f ca="1">NOW()</f>
        <v>43691.380418287037</v>
      </c>
      <c r="C46" s="38"/>
      <c r="D46" s="38"/>
      <c r="E46" s="38"/>
      <c r="F46" s="38"/>
      <c r="G46" s="38"/>
      <c r="H46" s="38"/>
      <c r="I46" s="38"/>
    </row>
    <row r="47" spans="1:9" ht="15.75" x14ac:dyDescent="0.25">
      <c r="C47" s="14"/>
      <c r="G47" s="14"/>
      <c r="H47" s="14"/>
      <c r="I47" s="14"/>
    </row>
    <row r="48" spans="1:9" ht="15.75" x14ac:dyDescent="0.25">
      <c r="C48" s="14"/>
      <c r="G48" s="14"/>
      <c r="H48" s="14"/>
      <c r="I48" s="14"/>
    </row>
    <row r="49" spans="3:9" ht="15.75" x14ac:dyDescent="0.25">
      <c r="C49" s="14"/>
      <c r="G49" s="14"/>
      <c r="H49" s="14"/>
      <c r="I49" s="14"/>
    </row>
    <row r="50" spans="3:9" ht="15.75" x14ac:dyDescent="0.25">
      <c r="C50" s="14"/>
      <c r="G50" s="14"/>
      <c r="H50" s="14"/>
      <c r="I50" s="14"/>
    </row>
    <row r="51" spans="3:9" ht="15.75" x14ac:dyDescent="0.25">
      <c r="C51" s="14"/>
      <c r="G51" s="14"/>
      <c r="H51" s="14"/>
      <c r="I51" s="14"/>
    </row>
    <row r="52" spans="3:9" ht="15.75" x14ac:dyDescent="0.25">
      <c r="C52" s="14"/>
      <c r="G52" s="14"/>
      <c r="H52" s="14"/>
      <c r="I52" s="14"/>
    </row>
    <row r="53" spans="3:9" ht="15.75" x14ac:dyDescent="0.25">
      <c r="C53" s="14"/>
      <c r="G53" s="14"/>
      <c r="H53" s="14"/>
      <c r="I53" s="14"/>
    </row>
    <row r="54" spans="3:9" ht="15.75" x14ac:dyDescent="0.25">
      <c r="C54" s="14"/>
      <c r="G54" s="14"/>
      <c r="H54" s="14"/>
      <c r="I54" s="14"/>
    </row>
    <row r="55" spans="3:9" ht="15.75" x14ac:dyDescent="0.25">
      <c r="C55" s="14"/>
      <c r="G55" s="14"/>
      <c r="H55" s="14"/>
      <c r="I55" s="14"/>
    </row>
    <row r="56" spans="3:9" ht="15.75" x14ac:dyDescent="0.25">
      <c r="C56" s="14"/>
      <c r="G56" s="14"/>
      <c r="H56" s="14"/>
      <c r="I56" s="14"/>
    </row>
    <row r="57" spans="3:9" ht="15.75" x14ac:dyDescent="0.25">
      <c r="C57" s="14"/>
      <c r="G57" s="14"/>
      <c r="H57" s="14"/>
      <c r="I57" s="14"/>
    </row>
    <row r="58" spans="3:9" ht="15.75" x14ac:dyDescent="0.25">
      <c r="C58" s="14"/>
      <c r="G58" s="14"/>
      <c r="H58" s="14"/>
      <c r="I58" s="14"/>
    </row>
    <row r="59" spans="3:9" ht="15.75" x14ac:dyDescent="0.25">
      <c r="C59" s="14"/>
      <c r="G59" s="14"/>
      <c r="H59" s="14"/>
      <c r="I59" s="14"/>
    </row>
    <row r="60" spans="3:9" ht="15.75" x14ac:dyDescent="0.25">
      <c r="C60" s="14"/>
      <c r="G60" s="14"/>
      <c r="H60" s="14"/>
      <c r="I60" s="14"/>
    </row>
    <row r="61" spans="3:9" ht="15.75" x14ac:dyDescent="0.25">
      <c r="C61" s="14"/>
      <c r="G61" s="14"/>
      <c r="H61" s="14"/>
      <c r="I61" s="14"/>
    </row>
    <row r="62" spans="3:9" ht="15.75" x14ac:dyDescent="0.25">
      <c r="C62" s="14"/>
      <c r="G62" s="14"/>
      <c r="H62" s="14"/>
      <c r="I62" s="14"/>
    </row>
    <row r="63" spans="3:9" ht="15.75" x14ac:dyDescent="0.25">
      <c r="C63" s="14"/>
      <c r="H63" s="14"/>
      <c r="I63" s="14"/>
    </row>
    <row r="64" spans="3:9" ht="15.75" x14ac:dyDescent="0.25">
      <c r="C64" s="14"/>
      <c r="H64" s="14"/>
      <c r="I64" s="14"/>
    </row>
    <row r="65" spans="3:9" ht="15.75" x14ac:dyDescent="0.25">
      <c r="C65" s="14"/>
      <c r="F65" s="16"/>
      <c r="H65" s="14"/>
      <c r="I65" s="14"/>
    </row>
    <row r="66" spans="3:9" ht="15.75" x14ac:dyDescent="0.25">
      <c r="F66" s="16"/>
      <c r="H66" s="14"/>
      <c r="I66" s="14"/>
    </row>
  </sheetData>
  <phoneticPr fontId="3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58"/>
  <sheetViews>
    <sheetView showGridLines="0" zoomScaleNormal="100" workbookViewId="0"/>
  </sheetViews>
  <sheetFormatPr defaultRowHeight="12.75" x14ac:dyDescent="0.2"/>
  <cols>
    <col min="1" max="1" width="11.7109375" customWidth="1"/>
    <col min="2" max="7" width="13.7109375" customWidth="1"/>
  </cols>
  <sheetData>
    <row r="1" spans="1:8" ht="14.25" x14ac:dyDescent="0.2">
      <c r="A1" s="37" t="s">
        <v>43</v>
      </c>
      <c r="B1" s="37"/>
      <c r="C1" s="37"/>
      <c r="D1" s="37"/>
      <c r="E1" s="37"/>
      <c r="F1" s="37"/>
      <c r="G1" s="37"/>
    </row>
    <row r="2" spans="1:8" ht="15.6" customHeight="1" x14ac:dyDescent="0.2">
      <c r="A2" s="41" t="s">
        <v>15</v>
      </c>
      <c r="B2" s="80" t="s">
        <v>44</v>
      </c>
      <c r="C2" s="118" t="s">
        <v>17</v>
      </c>
      <c r="D2" s="118" t="s">
        <v>88</v>
      </c>
      <c r="E2" s="118" t="s">
        <v>45</v>
      </c>
      <c r="F2" s="80" t="s">
        <v>46</v>
      </c>
      <c r="G2" s="40" t="s">
        <v>47</v>
      </c>
    </row>
    <row r="3" spans="1:8" ht="15.6" customHeight="1" x14ac:dyDescent="0.2">
      <c r="A3" s="37" t="s">
        <v>16</v>
      </c>
      <c r="B3" s="45" t="s">
        <v>150</v>
      </c>
      <c r="C3" s="45" t="s">
        <v>151</v>
      </c>
      <c r="D3" s="45" t="s">
        <v>152</v>
      </c>
      <c r="E3" s="45" t="s">
        <v>153</v>
      </c>
      <c r="F3" s="45" t="s">
        <v>154</v>
      </c>
      <c r="G3" s="45" t="s">
        <v>155</v>
      </c>
    </row>
    <row r="4" spans="1:8" ht="14.25" x14ac:dyDescent="0.2">
      <c r="A4" s="38"/>
      <c r="B4" s="57" t="s">
        <v>107</v>
      </c>
      <c r="C4" s="115"/>
      <c r="D4" s="115"/>
      <c r="E4" s="115"/>
      <c r="F4" s="115"/>
      <c r="G4" s="115"/>
    </row>
    <row r="5" spans="1:8" ht="14.25" x14ac:dyDescent="0.2">
      <c r="A5" s="38"/>
      <c r="B5" s="38"/>
      <c r="C5" s="38"/>
      <c r="D5" s="38"/>
      <c r="E5" s="38"/>
      <c r="F5" s="38"/>
      <c r="G5" s="38"/>
    </row>
    <row r="6" spans="1:8" ht="14.25" x14ac:dyDescent="0.2">
      <c r="A6" s="38" t="s">
        <v>54</v>
      </c>
      <c r="B6" s="104">
        <v>311.27</v>
      </c>
      <c r="C6" s="104">
        <v>220.9</v>
      </c>
      <c r="D6" s="104">
        <v>151.04</v>
      </c>
      <c r="E6" s="119" t="s">
        <v>10</v>
      </c>
      <c r="F6" s="104">
        <v>224.92</v>
      </c>
      <c r="G6" s="104">
        <v>209.23</v>
      </c>
      <c r="H6" s="16"/>
    </row>
    <row r="7" spans="1:8" ht="14.25" x14ac:dyDescent="0.2">
      <c r="A7" s="38" t="s">
        <v>55</v>
      </c>
      <c r="B7" s="104">
        <v>345.52</v>
      </c>
      <c r="C7" s="104">
        <v>273.83999999999997</v>
      </c>
      <c r="D7" s="104">
        <v>219.72</v>
      </c>
      <c r="E7" s="119" t="s">
        <v>10</v>
      </c>
      <c r="F7" s="104">
        <v>263.63</v>
      </c>
      <c r="G7" s="104">
        <v>240.65</v>
      </c>
      <c r="H7" s="16"/>
    </row>
    <row r="8" spans="1:8" ht="14.25" x14ac:dyDescent="0.2">
      <c r="A8" s="38" t="s">
        <v>66</v>
      </c>
      <c r="B8" s="104">
        <v>393.53</v>
      </c>
      <c r="C8" s="104">
        <v>275.13</v>
      </c>
      <c r="D8" s="104">
        <v>246.75</v>
      </c>
      <c r="E8" s="119" t="s">
        <v>10</v>
      </c>
      <c r="F8" s="104">
        <v>307.58999999999997</v>
      </c>
      <c r="G8" s="104">
        <v>265.68</v>
      </c>
      <c r="H8" s="16"/>
    </row>
    <row r="9" spans="1:8" ht="14.25" x14ac:dyDescent="0.2">
      <c r="A9" s="38" t="s">
        <v>90</v>
      </c>
      <c r="B9" s="104">
        <v>468.11</v>
      </c>
      <c r="C9" s="104">
        <v>331.52</v>
      </c>
      <c r="D9" s="104">
        <v>241.57</v>
      </c>
      <c r="E9" s="119" t="s">
        <v>10</v>
      </c>
      <c r="F9" s="104">
        <v>354.22</v>
      </c>
      <c r="G9" s="104">
        <v>329.31</v>
      </c>
      <c r="H9" s="16"/>
    </row>
    <row r="10" spans="1:8" ht="14.25" x14ac:dyDescent="0.2">
      <c r="A10" s="38" t="s">
        <v>97</v>
      </c>
      <c r="B10" s="104">
        <v>489.94</v>
      </c>
      <c r="C10" s="104">
        <v>377.71</v>
      </c>
      <c r="D10" s="104">
        <v>238.87</v>
      </c>
      <c r="E10" s="119" t="s">
        <v>10</v>
      </c>
      <c r="F10" s="104">
        <v>359.7</v>
      </c>
      <c r="G10" s="104">
        <v>337.23</v>
      </c>
      <c r="H10" s="16"/>
    </row>
    <row r="11" spans="1:8" ht="14.25" x14ac:dyDescent="0.2">
      <c r="A11" s="38" t="s">
        <v>100</v>
      </c>
      <c r="B11" s="104">
        <v>368.49</v>
      </c>
      <c r="C11" s="104">
        <v>304.27</v>
      </c>
      <c r="D11" s="104">
        <v>209.97</v>
      </c>
      <c r="E11" s="119" t="s">
        <v>10</v>
      </c>
      <c r="F11" s="104">
        <v>301.2</v>
      </c>
      <c r="G11" s="104">
        <v>256.58</v>
      </c>
      <c r="H11" s="16"/>
    </row>
    <row r="12" spans="1:8" ht="14.25" x14ac:dyDescent="0.2">
      <c r="A12" s="38" t="s">
        <v>101</v>
      </c>
      <c r="B12" s="104">
        <v>324.56</v>
      </c>
      <c r="C12" s="104">
        <v>261.19</v>
      </c>
      <c r="D12" s="104">
        <v>153.16999999999999</v>
      </c>
      <c r="E12" s="119" t="s">
        <v>10</v>
      </c>
      <c r="F12" s="104">
        <v>262.2</v>
      </c>
      <c r="G12" s="104">
        <v>260.23</v>
      </c>
    </row>
    <row r="13" spans="1:8" ht="14.25" x14ac:dyDescent="0.2">
      <c r="A13" s="38" t="s">
        <v>117</v>
      </c>
      <c r="B13" s="104">
        <v>316.88</v>
      </c>
      <c r="C13" s="104">
        <v>208.61</v>
      </c>
      <c r="D13" s="104">
        <v>145.1</v>
      </c>
      <c r="E13" s="119" t="s">
        <v>10</v>
      </c>
      <c r="F13" s="104">
        <v>267.94</v>
      </c>
      <c r="G13" s="104">
        <v>282.49</v>
      </c>
    </row>
    <row r="14" spans="1:8" ht="14.25" x14ac:dyDescent="0.2">
      <c r="A14" s="38" t="s">
        <v>119</v>
      </c>
      <c r="B14" s="104">
        <v>345.02</v>
      </c>
      <c r="C14" s="104">
        <v>260.88</v>
      </c>
      <c r="D14" s="104">
        <v>173.53</v>
      </c>
      <c r="E14" s="119" t="s">
        <v>10</v>
      </c>
      <c r="F14" s="104">
        <v>291.14999999999998</v>
      </c>
      <c r="G14" s="104">
        <v>239.15</v>
      </c>
    </row>
    <row r="15" spans="1:8" ht="16.5" x14ac:dyDescent="0.2">
      <c r="A15" s="38" t="s">
        <v>161</v>
      </c>
      <c r="B15" s="104">
        <v>310</v>
      </c>
      <c r="C15" s="104">
        <v>230</v>
      </c>
      <c r="D15" s="128">
        <v>165</v>
      </c>
      <c r="E15" s="119" t="s">
        <v>10</v>
      </c>
      <c r="F15" s="104">
        <v>275</v>
      </c>
      <c r="G15" s="104">
        <v>225</v>
      </c>
    </row>
    <row r="16" spans="1:8" ht="16.5" x14ac:dyDescent="0.2">
      <c r="A16" s="38" t="s">
        <v>169</v>
      </c>
      <c r="B16" s="104">
        <v>300</v>
      </c>
      <c r="C16" s="104">
        <v>230</v>
      </c>
      <c r="D16" s="128">
        <v>165</v>
      </c>
      <c r="E16" s="119" t="s">
        <v>10</v>
      </c>
      <c r="F16" s="104">
        <v>250</v>
      </c>
      <c r="G16" s="104">
        <v>215</v>
      </c>
    </row>
    <row r="17" spans="1:13" ht="14.25" x14ac:dyDescent="0.2">
      <c r="A17" s="120"/>
      <c r="B17" s="104"/>
      <c r="C17" s="104"/>
      <c r="D17" s="104"/>
      <c r="E17" s="119"/>
      <c r="F17" s="104"/>
      <c r="G17" s="104"/>
      <c r="H17" s="13"/>
    </row>
    <row r="18" spans="1:13" ht="14.25" x14ac:dyDescent="0.2">
      <c r="A18" s="38" t="s">
        <v>119</v>
      </c>
      <c r="B18" s="104"/>
      <c r="C18" s="104"/>
      <c r="D18" s="104"/>
      <c r="E18" s="119"/>
      <c r="F18" s="104"/>
      <c r="G18" s="104"/>
      <c r="H18" s="13"/>
    </row>
    <row r="19" spans="1:13" ht="14.25" x14ac:dyDescent="0.2">
      <c r="A19" s="38" t="s">
        <v>57</v>
      </c>
      <c r="B19" s="104">
        <v>315.23</v>
      </c>
      <c r="C19" s="104">
        <v>229</v>
      </c>
      <c r="D19" s="104">
        <v>153</v>
      </c>
      <c r="E19" s="119" t="s">
        <v>10</v>
      </c>
      <c r="F19" s="104">
        <v>257.73</v>
      </c>
      <c r="G19" s="104">
        <v>214</v>
      </c>
      <c r="H19" s="13"/>
      <c r="I19" s="7"/>
      <c r="J19" s="7"/>
      <c r="K19" s="7"/>
      <c r="L19" s="7"/>
      <c r="M19" s="7"/>
    </row>
    <row r="20" spans="1:13" ht="14.25" x14ac:dyDescent="0.2">
      <c r="A20" s="38" t="s">
        <v>58</v>
      </c>
      <c r="B20" s="104">
        <v>313.52</v>
      </c>
      <c r="C20" s="104">
        <v>228.75</v>
      </c>
      <c r="D20" s="104">
        <v>165</v>
      </c>
      <c r="E20" s="119" t="s">
        <v>10</v>
      </c>
      <c r="F20" s="104">
        <v>255.74</v>
      </c>
      <c r="G20" s="104">
        <v>205</v>
      </c>
      <c r="H20" s="13"/>
      <c r="I20" s="7"/>
      <c r="J20" s="7"/>
      <c r="K20" s="7"/>
      <c r="L20" s="7"/>
      <c r="M20" s="7"/>
    </row>
    <row r="21" spans="1:13" ht="14.25" x14ac:dyDescent="0.2">
      <c r="A21" s="38" t="s">
        <v>59</v>
      </c>
      <c r="B21" s="104">
        <v>319.22000000000003</v>
      </c>
      <c r="C21" s="104">
        <v>232.5</v>
      </c>
      <c r="D21" s="104">
        <v>185</v>
      </c>
      <c r="E21" s="119" t="s">
        <v>10</v>
      </c>
      <c r="F21" s="104">
        <v>266.52999999999997</v>
      </c>
      <c r="G21" s="104">
        <v>209.17</v>
      </c>
      <c r="H21" s="13"/>
    </row>
    <row r="22" spans="1:13" ht="14.25" x14ac:dyDescent="0.2">
      <c r="A22" s="38" t="s">
        <v>60</v>
      </c>
      <c r="B22" s="104">
        <v>322.60000000000002</v>
      </c>
      <c r="C22" s="104">
        <v>259</v>
      </c>
      <c r="D22" s="104">
        <v>178</v>
      </c>
      <c r="E22" s="119" t="s">
        <v>10</v>
      </c>
      <c r="F22" s="104">
        <v>270.2</v>
      </c>
      <c r="G22" s="104">
        <v>215.5</v>
      </c>
      <c r="H22" s="13"/>
    </row>
    <row r="23" spans="1:13" ht="14.25" x14ac:dyDescent="0.2">
      <c r="A23" s="38" t="s">
        <v>61</v>
      </c>
      <c r="B23" s="104">
        <v>362.85</v>
      </c>
      <c r="C23" s="104">
        <v>303.13</v>
      </c>
      <c r="D23" s="104">
        <v>185.63</v>
      </c>
      <c r="E23" s="119" t="s">
        <v>10</v>
      </c>
      <c r="F23" s="104">
        <v>315.95</v>
      </c>
      <c r="G23" s="104">
        <v>233.13</v>
      </c>
      <c r="H23" s="13"/>
    </row>
    <row r="24" spans="1:13" ht="14.25" x14ac:dyDescent="0.2">
      <c r="A24" s="38" t="s">
        <v>62</v>
      </c>
      <c r="B24" s="104">
        <v>379.85</v>
      </c>
      <c r="C24" s="104">
        <v>323.13</v>
      </c>
      <c r="D24" s="104">
        <v>187.5</v>
      </c>
      <c r="E24" s="119" t="s">
        <v>10</v>
      </c>
      <c r="F24" s="104">
        <v>334.58</v>
      </c>
      <c r="G24" s="104">
        <v>237.5</v>
      </c>
      <c r="H24" s="13"/>
    </row>
    <row r="25" spans="1:13" ht="14.25" x14ac:dyDescent="0.2">
      <c r="A25" s="38" t="s">
        <v>63</v>
      </c>
      <c r="B25" s="104">
        <v>385.84</v>
      </c>
      <c r="C25" s="104">
        <v>263.13</v>
      </c>
      <c r="D25" s="104">
        <v>191.88</v>
      </c>
      <c r="E25" s="119" t="s">
        <v>10</v>
      </c>
      <c r="F25" s="104">
        <v>332.16</v>
      </c>
      <c r="G25" s="104">
        <v>238.13</v>
      </c>
      <c r="H25" s="13"/>
    </row>
    <row r="26" spans="1:13" ht="14.25" x14ac:dyDescent="0.2">
      <c r="A26" s="38" t="s">
        <v>64</v>
      </c>
      <c r="B26" s="104">
        <v>393.55</v>
      </c>
      <c r="C26" s="104">
        <v>262.5</v>
      </c>
      <c r="D26" s="104">
        <v>201.5</v>
      </c>
      <c r="E26" s="119" t="s">
        <v>10</v>
      </c>
      <c r="F26" s="104">
        <v>336.93</v>
      </c>
      <c r="G26" s="104">
        <v>267.5</v>
      </c>
      <c r="H26" s="13"/>
    </row>
    <row r="27" spans="1:13" ht="14.25" x14ac:dyDescent="0.2">
      <c r="A27" s="38" t="s">
        <v>65</v>
      </c>
      <c r="B27" s="104">
        <v>355.71</v>
      </c>
      <c r="C27" s="104">
        <v>257.5</v>
      </c>
      <c r="D27" s="104">
        <v>175.63</v>
      </c>
      <c r="E27" s="119" t="s">
        <v>10</v>
      </c>
      <c r="F27" s="104">
        <v>302.75</v>
      </c>
      <c r="G27" s="104">
        <v>271.25</v>
      </c>
      <c r="H27" s="13"/>
    </row>
    <row r="28" spans="1:13" ht="14.25" x14ac:dyDescent="0.2">
      <c r="A28" s="38" t="s">
        <v>67</v>
      </c>
      <c r="B28" s="104">
        <v>341.08</v>
      </c>
      <c r="C28" s="104">
        <v>253.13</v>
      </c>
      <c r="D28" s="104">
        <v>155.5</v>
      </c>
      <c r="E28" s="119" t="s">
        <v>10</v>
      </c>
      <c r="F28" s="104">
        <v>279.83999999999997</v>
      </c>
      <c r="G28" s="104">
        <v>278</v>
      </c>
      <c r="H28" s="13"/>
    </row>
    <row r="29" spans="1:13" ht="14.25" x14ac:dyDescent="0.2">
      <c r="A29" s="38" t="s">
        <v>68</v>
      </c>
      <c r="B29" s="104">
        <v>332.5</v>
      </c>
      <c r="C29" s="104">
        <v>260</v>
      </c>
      <c r="D29" s="104">
        <v>153.13</v>
      </c>
      <c r="E29" s="119" t="s">
        <v>10</v>
      </c>
      <c r="F29" s="104">
        <v>274.55</v>
      </c>
      <c r="G29" s="104">
        <v>265.63</v>
      </c>
      <c r="H29" s="13"/>
    </row>
    <row r="30" spans="1:13" ht="14.25" x14ac:dyDescent="0.2">
      <c r="A30" s="38" t="s">
        <v>70</v>
      </c>
      <c r="B30" s="104">
        <v>318.32</v>
      </c>
      <c r="C30" s="104">
        <v>258.75</v>
      </c>
      <c r="D30" s="104">
        <v>150.63</v>
      </c>
      <c r="E30" s="119" t="s">
        <v>10</v>
      </c>
      <c r="F30" s="104">
        <v>266.86</v>
      </c>
      <c r="G30" s="104">
        <v>235</v>
      </c>
      <c r="H30" s="13"/>
    </row>
    <row r="31" spans="1:13" ht="14.25" x14ac:dyDescent="0.2">
      <c r="A31" s="120"/>
      <c r="B31" s="104"/>
      <c r="C31" s="104"/>
      <c r="D31" s="104"/>
      <c r="E31" s="119"/>
      <c r="F31" s="104"/>
      <c r="G31" s="104"/>
      <c r="I31" s="6"/>
      <c r="J31" s="6"/>
      <c r="K31" s="6"/>
      <c r="L31" s="6"/>
      <c r="M31" s="6"/>
    </row>
    <row r="32" spans="1:13" ht="14.25" x14ac:dyDescent="0.2">
      <c r="A32" s="38" t="s">
        <v>163</v>
      </c>
      <c r="B32" s="104"/>
      <c r="C32" s="104"/>
      <c r="D32" s="104"/>
      <c r="E32" s="119"/>
      <c r="F32" s="104"/>
      <c r="G32" s="104"/>
      <c r="I32" s="6"/>
      <c r="J32" s="6"/>
      <c r="K32" s="6"/>
      <c r="L32" s="6"/>
      <c r="M32" s="6"/>
    </row>
    <row r="33" spans="1:13" ht="14.25" x14ac:dyDescent="0.2">
      <c r="A33" s="120" t="s">
        <v>57</v>
      </c>
      <c r="B33" s="104">
        <v>319.14999999999998</v>
      </c>
      <c r="C33" s="104">
        <v>249</v>
      </c>
      <c r="D33" s="104">
        <v>164</v>
      </c>
      <c r="E33" s="119" t="s">
        <v>10</v>
      </c>
      <c r="F33" s="104">
        <v>279.39999999999998</v>
      </c>
      <c r="G33" s="104">
        <v>196.5</v>
      </c>
      <c r="I33" s="6"/>
      <c r="J33" s="6"/>
      <c r="K33" s="6"/>
      <c r="L33" s="6"/>
      <c r="M33" s="6"/>
    </row>
    <row r="34" spans="1:13" ht="14.25" x14ac:dyDescent="0.2">
      <c r="A34" s="120" t="s">
        <v>58</v>
      </c>
      <c r="B34" s="104">
        <v>310.61500000000001</v>
      </c>
      <c r="C34" s="104">
        <v>240</v>
      </c>
      <c r="D34" s="104">
        <v>171.25</v>
      </c>
      <c r="E34" s="119" t="s">
        <v>10</v>
      </c>
      <c r="F34" s="104">
        <v>279.16250000000002</v>
      </c>
      <c r="G34" s="104">
        <v>209.38</v>
      </c>
      <c r="I34" s="6"/>
      <c r="J34" s="6"/>
      <c r="K34" s="6"/>
      <c r="L34" s="6"/>
      <c r="M34" s="6"/>
    </row>
    <row r="35" spans="1:13" ht="14.25" x14ac:dyDescent="0.2">
      <c r="A35" s="38" t="s">
        <v>59</v>
      </c>
      <c r="B35" s="104">
        <v>311.7</v>
      </c>
      <c r="C35" s="104">
        <v>243.75</v>
      </c>
      <c r="D35" s="104">
        <v>187.5</v>
      </c>
      <c r="E35" s="119" t="s">
        <v>10</v>
      </c>
      <c r="F35" s="104">
        <v>291.42</v>
      </c>
      <c r="G35" s="104">
        <v>225.83</v>
      </c>
      <c r="I35" s="6"/>
      <c r="J35" s="6"/>
      <c r="K35" s="6"/>
      <c r="L35" s="6"/>
      <c r="M35" s="6"/>
    </row>
    <row r="36" spans="1:13" ht="14.25" x14ac:dyDescent="0.2">
      <c r="A36" s="38" t="s">
        <v>60</v>
      </c>
      <c r="B36" s="104">
        <v>314.92</v>
      </c>
      <c r="C36" s="104">
        <v>247.5</v>
      </c>
      <c r="D36" s="104">
        <v>190.5</v>
      </c>
      <c r="E36" s="119" t="s">
        <v>10</v>
      </c>
      <c r="F36" s="104" t="s">
        <v>10</v>
      </c>
      <c r="G36" s="104">
        <v>219</v>
      </c>
      <c r="I36" s="6"/>
      <c r="J36" s="6"/>
      <c r="K36" s="6"/>
      <c r="L36" s="6"/>
      <c r="M36" s="6"/>
    </row>
    <row r="37" spans="1:13" ht="14.25" x14ac:dyDescent="0.2">
      <c r="A37" s="38" t="s">
        <v>61</v>
      </c>
      <c r="B37" s="104">
        <v>306.83</v>
      </c>
      <c r="C37" s="104">
        <v>235</v>
      </c>
      <c r="D37" s="104">
        <v>187.5</v>
      </c>
      <c r="E37" s="119" t="s">
        <v>10</v>
      </c>
      <c r="F37" s="104" t="s">
        <v>10</v>
      </c>
      <c r="G37" s="104">
        <v>225</v>
      </c>
      <c r="I37" s="6"/>
      <c r="J37" s="6"/>
      <c r="K37" s="6"/>
      <c r="L37" s="6"/>
      <c r="M37" s="6"/>
    </row>
    <row r="38" spans="1:13" ht="14.25" x14ac:dyDescent="0.2">
      <c r="A38" s="38" t="s">
        <v>62</v>
      </c>
      <c r="B38" s="104">
        <v>306.38</v>
      </c>
      <c r="C38" s="104">
        <v>226.25</v>
      </c>
      <c r="D38" s="104">
        <v>189.38</v>
      </c>
      <c r="E38" s="119" t="s">
        <v>10</v>
      </c>
      <c r="F38" s="104" t="s">
        <v>10</v>
      </c>
      <c r="G38" s="104">
        <v>235.63</v>
      </c>
      <c r="I38" s="6"/>
      <c r="J38" s="6"/>
      <c r="K38" s="6"/>
      <c r="L38" s="6"/>
      <c r="M38" s="6"/>
    </row>
    <row r="39" spans="1:13" ht="14.25" x14ac:dyDescent="0.2">
      <c r="A39" s="38" t="s">
        <v>63</v>
      </c>
      <c r="B39" s="104">
        <v>304.26</v>
      </c>
      <c r="C39" s="104">
        <v>216.5</v>
      </c>
      <c r="D39" s="104">
        <v>166.5</v>
      </c>
      <c r="E39" s="119" t="s">
        <v>10</v>
      </c>
      <c r="F39" s="104" t="s">
        <v>10</v>
      </c>
      <c r="G39" s="104">
        <v>241.5</v>
      </c>
      <c r="I39" s="6"/>
      <c r="J39" s="6"/>
      <c r="K39" s="6"/>
      <c r="L39" s="6"/>
      <c r="M39" s="6"/>
    </row>
    <row r="40" spans="1:13" ht="14.25" x14ac:dyDescent="0.2">
      <c r="A40" s="38" t="s">
        <v>64</v>
      </c>
      <c r="B40" s="104">
        <v>297.52</v>
      </c>
      <c r="C40" s="104">
        <v>215</v>
      </c>
      <c r="D40" s="104">
        <v>141.25</v>
      </c>
      <c r="E40" s="119" t="s">
        <v>10</v>
      </c>
      <c r="F40" s="104">
        <v>259.55</v>
      </c>
      <c r="G40" s="104">
        <v>233.75</v>
      </c>
      <c r="I40" s="6"/>
      <c r="J40" s="6"/>
      <c r="K40" s="6"/>
      <c r="L40" s="6"/>
      <c r="M40" s="6"/>
    </row>
    <row r="41" spans="1:13" ht="14.25" x14ac:dyDescent="0.2">
      <c r="A41" s="38" t="s">
        <v>65</v>
      </c>
      <c r="B41" s="104">
        <v>324.75</v>
      </c>
      <c r="C41" s="104">
        <v>215.63</v>
      </c>
      <c r="D41" s="104">
        <v>143.13</v>
      </c>
      <c r="E41" s="119" t="s">
        <v>10</v>
      </c>
      <c r="F41" s="104">
        <v>278.76</v>
      </c>
      <c r="G41" s="104">
        <v>228.88</v>
      </c>
      <c r="I41" s="6"/>
      <c r="J41" s="6"/>
      <c r="K41" s="6"/>
      <c r="L41" s="6"/>
      <c r="M41" s="6"/>
    </row>
    <row r="42" spans="1:13" ht="14.25" x14ac:dyDescent="0.2">
      <c r="A42" s="121" t="s">
        <v>67</v>
      </c>
      <c r="B42" s="110">
        <v>310.77</v>
      </c>
      <c r="C42" s="110">
        <v>218</v>
      </c>
      <c r="D42" s="110">
        <v>142</v>
      </c>
      <c r="E42" s="122" t="s">
        <v>10</v>
      </c>
      <c r="F42" s="110">
        <v>265.45</v>
      </c>
      <c r="G42" s="110">
        <v>232.5</v>
      </c>
      <c r="I42" s="6"/>
      <c r="J42" s="6"/>
      <c r="K42" s="6"/>
      <c r="L42" s="6"/>
      <c r="M42" s="6"/>
    </row>
    <row r="43" spans="1:13" ht="16.5" x14ac:dyDescent="0.2">
      <c r="A43" s="79" t="s">
        <v>160</v>
      </c>
      <c r="B43" s="123"/>
      <c r="C43" s="123"/>
      <c r="D43" s="123"/>
      <c r="E43" s="123"/>
      <c r="F43" s="123"/>
      <c r="G43" s="123"/>
      <c r="I43" s="11"/>
      <c r="J43" s="6"/>
      <c r="K43" s="6"/>
      <c r="L43" s="6"/>
      <c r="M43" s="6"/>
    </row>
    <row r="44" spans="1:13" ht="16.5" x14ac:dyDescent="0.2">
      <c r="A44" s="79" t="s">
        <v>156</v>
      </c>
      <c r="B44" s="124"/>
      <c r="C44" s="124"/>
      <c r="D44" s="124"/>
      <c r="E44" s="124"/>
      <c r="F44" s="124"/>
      <c r="G44" s="124"/>
      <c r="I44" s="11"/>
      <c r="J44" s="6"/>
      <c r="K44" s="6"/>
      <c r="L44" s="6"/>
      <c r="M44" s="6"/>
    </row>
    <row r="45" spans="1:13" ht="14.25" x14ac:dyDescent="0.2">
      <c r="A45" s="38" t="s">
        <v>89</v>
      </c>
      <c r="B45" s="124"/>
      <c r="C45" s="124"/>
      <c r="D45" s="124"/>
      <c r="E45" s="124"/>
      <c r="F45" s="124"/>
      <c r="G45" s="124"/>
      <c r="H45" s="1"/>
      <c r="I45" s="11"/>
      <c r="J45" s="6"/>
      <c r="K45" s="6"/>
      <c r="L45" s="6"/>
      <c r="M45" s="6"/>
    </row>
    <row r="46" spans="1:13" ht="14.25" x14ac:dyDescent="0.2">
      <c r="A46" s="38" t="s">
        <v>157</v>
      </c>
      <c r="B46" s="38"/>
      <c r="C46" s="38"/>
      <c r="D46" s="38"/>
      <c r="E46" s="38"/>
      <c r="F46" s="38"/>
      <c r="G46" s="38"/>
      <c r="I46" s="11"/>
      <c r="J46" s="6"/>
      <c r="K46" s="6"/>
      <c r="L46" s="6"/>
      <c r="M46" s="6"/>
    </row>
    <row r="47" spans="1:13" ht="14.25" x14ac:dyDescent="0.2">
      <c r="A47" s="38" t="s">
        <v>26</v>
      </c>
      <c r="B47" s="71">
        <f ca="1">NOW()</f>
        <v>43691.380418287037</v>
      </c>
      <c r="C47" s="38"/>
      <c r="D47" s="38"/>
      <c r="E47" s="38"/>
      <c r="F47" s="38"/>
      <c r="G47" s="38"/>
      <c r="I47" s="12"/>
      <c r="J47" s="8"/>
      <c r="K47" s="8"/>
      <c r="L47" s="8"/>
      <c r="M47" s="8"/>
    </row>
    <row r="48" spans="1:13" ht="15.75" x14ac:dyDescent="0.25">
      <c r="F48" s="14"/>
      <c r="I48" s="12"/>
      <c r="J48" s="8"/>
      <c r="K48" s="8"/>
      <c r="L48" s="8"/>
      <c r="M48" s="8"/>
    </row>
    <row r="49" spans="9:13" x14ac:dyDescent="0.2">
      <c r="I49" s="11"/>
      <c r="J49" s="11"/>
      <c r="K49" s="6"/>
      <c r="L49" s="6"/>
      <c r="M49" s="6"/>
    </row>
    <row r="50" spans="9:13" x14ac:dyDescent="0.2">
      <c r="I50" s="11"/>
      <c r="J50" s="11"/>
      <c r="K50" s="6"/>
      <c r="L50" s="6"/>
      <c r="M50" s="6"/>
    </row>
    <row r="51" spans="9:13" x14ac:dyDescent="0.2">
      <c r="I51" s="11"/>
      <c r="J51" s="11"/>
      <c r="K51" s="6"/>
      <c r="L51" s="6"/>
      <c r="M51" s="6"/>
    </row>
    <row r="52" spans="9:13" x14ac:dyDescent="0.2">
      <c r="I52" s="11"/>
      <c r="J52" s="11"/>
      <c r="K52" s="6"/>
      <c r="L52" s="6"/>
      <c r="M52" s="6"/>
    </row>
    <row r="53" spans="9:13" x14ac:dyDescent="0.2">
      <c r="I53" s="11"/>
      <c r="J53" s="11"/>
      <c r="K53" s="6"/>
      <c r="L53" s="6"/>
      <c r="M53" s="6"/>
    </row>
    <row r="54" spans="9:13" x14ac:dyDescent="0.2">
      <c r="I54" s="11"/>
      <c r="J54" s="11"/>
      <c r="K54" s="6"/>
      <c r="L54" s="6"/>
      <c r="M54" s="6"/>
    </row>
    <row r="56" spans="9:13" x14ac:dyDescent="0.2">
      <c r="I56" s="9"/>
      <c r="J56" s="9"/>
      <c r="K56" s="9"/>
      <c r="L56" s="9"/>
      <c r="M56" s="9"/>
    </row>
    <row r="57" spans="9:13" x14ac:dyDescent="0.2">
      <c r="I57" s="9"/>
      <c r="J57" s="9"/>
      <c r="K57" s="9"/>
      <c r="L57" s="9"/>
      <c r="M57" s="9"/>
    </row>
    <row r="58" spans="9:13" x14ac:dyDescent="0.2">
      <c r="J58" s="9"/>
    </row>
  </sheetData>
  <phoneticPr fontId="3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218"/>
  <sheetViews>
    <sheetView workbookViewId="0">
      <selection activeCell="C17" sqref="C17"/>
    </sheetView>
  </sheetViews>
  <sheetFormatPr defaultRowHeight="12.75" x14ac:dyDescent="0.2"/>
  <cols>
    <col min="1" max="1" width="17" style="1" customWidth="1"/>
    <col min="2" max="3" width="10.7109375" style="1" customWidth="1"/>
    <col min="4" max="4" width="10.7109375" style="16" bestFit="1" customWidth="1"/>
    <col min="6" max="6" width="10.7109375" style="16" bestFit="1" customWidth="1"/>
  </cols>
  <sheetData>
    <row r="1" spans="1:12" x14ac:dyDescent="0.2">
      <c r="A1" s="146" t="s">
        <v>181</v>
      </c>
      <c r="B1" s="146" t="s">
        <v>1</v>
      </c>
      <c r="C1" s="146" t="s">
        <v>183</v>
      </c>
      <c r="D1" s="146"/>
      <c r="E1" s="146"/>
      <c r="F1" s="129"/>
      <c r="I1" s="10"/>
      <c r="J1" s="20"/>
    </row>
    <row r="2" spans="1:12" ht="14.25" x14ac:dyDescent="0.2">
      <c r="A2" s="146"/>
      <c r="B2" s="146"/>
      <c r="C2" s="146"/>
      <c r="D2" s="146"/>
      <c r="E2" s="146"/>
      <c r="F2" s="38"/>
    </row>
    <row r="3" spans="1:12" x14ac:dyDescent="0.2">
      <c r="A3" s="146"/>
      <c r="B3" s="165" t="s">
        <v>182</v>
      </c>
      <c r="C3" s="146" t="s">
        <v>184</v>
      </c>
      <c r="D3" s="146"/>
      <c r="E3" s="146"/>
      <c r="F3"/>
    </row>
    <row r="4" spans="1:12" ht="14.25" x14ac:dyDescent="0.2">
      <c r="A4" s="38" t="s">
        <v>185</v>
      </c>
      <c r="B4" s="168">
        <v>2967.0070000000001</v>
      </c>
      <c r="C4" s="160">
        <v>29.458224999999999</v>
      </c>
      <c r="E4" s="160"/>
      <c r="F4" s="139"/>
      <c r="I4" s="141"/>
      <c r="J4" s="142"/>
    </row>
    <row r="5" spans="1:12" ht="14.25" x14ac:dyDescent="0.2">
      <c r="A5" s="38" t="s">
        <v>54</v>
      </c>
      <c r="B5" s="168">
        <v>3360.931</v>
      </c>
      <c r="C5" s="160">
        <v>32.163204</v>
      </c>
      <c r="D5" s="160"/>
      <c r="E5" s="160"/>
      <c r="F5" s="139"/>
      <c r="I5" s="141"/>
      <c r="J5" s="142"/>
    </row>
    <row r="6" spans="1:12" ht="14.25" x14ac:dyDescent="0.2">
      <c r="A6" s="38" t="s">
        <v>55</v>
      </c>
      <c r="B6" s="168">
        <v>3331.306</v>
      </c>
      <c r="C6" s="160">
        <v>37.571277000000002</v>
      </c>
      <c r="D6" s="160"/>
      <c r="E6" s="160"/>
      <c r="F6" s="139"/>
      <c r="I6" s="141"/>
      <c r="J6" s="142"/>
    </row>
    <row r="7" spans="1:12" ht="14.25" x14ac:dyDescent="0.2">
      <c r="A7" s="38" t="s">
        <v>66</v>
      </c>
      <c r="B7" s="168">
        <v>3097.1790000000001</v>
      </c>
      <c r="C7" s="160">
        <v>38.542177000000002</v>
      </c>
      <c r="D7" s="160"/>
      <c r="E7" s="160"/>
      <c r="F7" s="139"/>
      <c r="I7" s="141"/>
      <c r="J7" s="142"/>
    </row>
    <row r="8" spans="1:12" ht="14.25" x14ac:dyDescent="0.2">
      <c r="A8" s="38" t="s">
        <v>90</v>
      </c>
      <c r="B8" s="168">
        <v>3042.0439999999999</v>
      </c>
      <c r="C8" s="160">
        <v>43.723143999999998</v>
      </c>
      <c r="D8" s="160"/>
      <c r="E8" s="160"/>
      <c r="F8" s="139"/>
      <c r="I8" s="141"/>
      <c r="J8" s="142"/>
    </row>
    <row r="9" spans="1:12" ht="14.25" x14ac:dyDescent="0.2">
      <c r="A9" s="38" t="s">
        <v>97</v>
      </c>
      <c r="B9" s="168">
        <v>3357.0039999999999</v>
      </c>
      <c r="C9" s="160">
        <v>43.582901</v>
      </c>
      <c r="D9" s="160"/>
      <c r="E9" s="160"/>
      <c r="F9" s="139"/>
      <c r="H9" s="142"/>
      <c r="I9" s="141"/>
      <c r="J9" s="142"/>
    </row>
    <row r="10" spans="1:12" ht="14.25" x14ac:dyDescent="0.2">
      <c r="A10" s="38" t="s">
        <v>100</v>
      </c>
      <c r="B10" s="168">
        <v>3928.07</v>
      </c>
      <c r="C10" s="160">
        <v>39.474860999999997</v>
      </c>
      <c r="D10" s="160"/>
      <c r="E10" s="160"/>
      <c r="F10" s="139"/>
      <c r="H10" s="142"/>
      <c r="I10" s="141"/>
      <c r="J10" s="142"/>
    </row>
    <row r="11" spans="1:12" ht="14.25" x14ac:dyDescent="0.2">
      <c r="A11" s="38" t="s">
        <v>101</v>
      </c>
      <c r="B11" s="168">
        <v>3926.779</v>
      </c>
      <c r="C11" s="160">
        <v>35.192057999999996</v>
      </c>
      <c r="D11" s="160"/>
      <c r="E11" s="160"/>
      <c r="F11" s="139"/>
      <c r="H11" s="142"/>
      <c r="I11" s="141"/>
    </row>
    <row r="12" spans="1:12" ht="14.25" x14ac:dyDescent="0.2">
      <c r="A12" s="38" t="s">
        <v>117</v>
      </c>
      <c r="B12" s="168">
        <v>4296.4960000000001</v>
      </c>
      <c r="C12" s="160">
        <v>40.694572999999998</v>
      </c>
      <c r="D12" s="160"/>
      <c r="E12" s="160"/>
      <c r="F12" s="139"/>
      <c r="H12" s="142"/>
      <c r="I12" s="141"/>
    </row>
    <row r="13" spans="1:12" ht="14.25" x14ac:dyDescent="0.2">
      <c r="A13" s="38" t="s">
        <v>119</v>
      </c>
      <c r="B13" s="168">
        <v>4411.6329999999998</v>
      </c>
      <c r="C13" s="160">
        <v>41.30874</v>
      </c>
      <c r="D13" s="160"/>
      <c r="E13" s="160"/>
      <c r="F13" s="139"/>
      <c r="H13" s="142"/>
      <c r="I13" s="141"/>
    </row>
    <row r="14" spans="1:12" ht="14.25" x14ac:dyDescent="0.2">
      <c r="A14" s="38" t="s">
        <v>163</v>
      </c>
      <c r="B14" s="168">
        <v>4543.8829999999998</v>
      </c>
      <c r="C14" s="160">
        <v>39.133978000000006</v>
      </c>
      <c r="D14" s="160"/>
      <c r="E14" s="160"/>
      <c r="F14" s="139"/>
      <c r="H14" s="142"/>
      <c r="I14" s="141"/>
    </row>
    <row r="15" spans="1:12" ht="14.25" x14ac:dyDescent="0.2">
      <c r="A15" s="38" t="s">
        <v>171</v>
      </c>
      <c r="B15" s="168">
        <v>3680.2170000000001</v>
      </c>
      <c r="C15" s="160">
        <v>30.913822800000002</v>
      </c>
      <c r="D15" s="160"/>
      <c r="E15" s="160"/>
      <c r="F15" s="142"/>
      <c r="H15" s="142"/>
    </row>
    <row r="16" spans="1:12" x14ac:dyDescent="0.2">
      <c r="A16" s="146"/>
      <c r="B16" s="147"/>
      <c r="C16" s="138"/>
      <c r="D16" s="142"/>
      <c r="E16" s="140"/>
      <c r="F16" s="142"/>
      <c r="J16" s="139"/>
      <c r="K16" s="139"/>
      <c r="L16" s="139"/>
    </row>
    <row r="17" spans="1:11" x14ac:dyDescent="0.2">
      <c r="A17" s="146"/>
      <c r="B17" s="147"/>
      <c r="C17" s="138"/>
      <c r="D17" s="142"/>
      <c r="E17" s="140"/>
      <c r="F17" s="142"/>
      <c r="J17" s="13"/>
      <c r="K17" s="13"/>
    </row>
    <row r="18" spans="1:11" x14ac:dyDescent="0.2">
      <c r="A18" s="146"/>
      <c r="B18" s="147"/>
      <c r="C18" s="138"/>
      <c r="D18" s="142"/>
      <c r="E18" s="140"/>
      <c r="F18" s="142"/>
      <c r="H18" s="141"/>
      <c r="I18" s="141"/>
      <c r="J18" s="13"/>
      <c r="K18" s="13"/>
    </row>
    <row r="19" spans="1:11" x14ac:dyDescent="0.2">
      <c r="A19" s="146"/>
      <c r="B19" s="147"/>
      <c r="C19" s="138"/>
      <c r="D19" s="142"/>
      <c r="E19" s="140"/>
      <c r="F19" s="142"/>
      <c r="H19" s="9"/>
      <c r="I19" s="141"/>
      <c r="J19" s="13"/>
      <c r="K19" s="13"/>
    </row>
    <row r="20" spans="1:11" x14ac:dyDescent="0.2">
      <c r="A20" s="146"/>
      <c r="B20" s="147"/>
      <c r="C20" s="138"/>
      <c r="D20" s="142"/>
      <c r="E20" s="140"/>
      <c r="F20" s="142"/>
      <c r="H20" s="9"/>
      <c r="I20" s="141"/>
      <c r="J20" s="13"/>
      <c r="K20" s="13"/>
    </row>
    <row r="21" spans="1:11" x14ac:dyDescent="0.2">
      <c r="A21" s="146"/>
      <c r="B21" s="147"/>
      <c r="C21" s="138"/>
      <c r="D21" s="142"/>
      <c r="E21" s="140"/>
      <c r="F21" s="142"/>
      <c r="H21" s="9"/>
      <c r="I21" s="141"/>
      <c r="J21" s="13"/>
      <c r="K21" s="13"/>
    </row>
    <row r="22" spans="1:11" x14ac:dyDescent="0.2">
      <c r="A22" s="146"/>
      <c r="B22" s="147"/>
      <c r="C22" s="138"/>
      <c r="D22" s="142"/>
      <c r="E22" s="140"/>
      <c r="F22" s="142"/>
      <c r="H22" s="9"/>
      <c r="I22" s="141"/>
      <c r="J22" s="13"/>
      <c r="K22" s="13"/>
    </row>
    <row r="23" spans="1:11" x14ac:dyDescent="0.2">
      <c r="A23" s="146"/>
      <c r="B23" s="147"/>
      <c r="C23" s="138"/>
      <c r="D23" s="9"/>
      <c r="E23" s="140"/>
      <c r="F23" s="9"/>
      <c r="H23" s="9"/>
      <c r="I23" s="141"/>
      <c r="J23" s="13"/>
      <c r="K23" s="13"/>
    </row>
    <row r="24" spans="1:11" x14ac:dyDescent="0.2">
      <c r="A24" s="146"/>
      <c r="B24" s="147"/>
      <c r="C24" s="138"/>
      <c r="D24" s="9"/>
      <c r="E24" s="140"/>
      <c r="F24" s="9"/>
      <c r="H24" s="9"/>
      <c r="I24" s="141"/>
      <c r="J24" s="13"/>
      <c r="K24" s="13"/>
    </row>
    <row r="25" spans="1:11" x14ac:dyDescent="0.2">
      <c r="A25" s="146"/>
      <c r="B25" s="147"/>
      <c r="C25" s="138"/>
      <c r="D25" s="9"/>
      <c r="E25" s="140"/>
      <c r="F25" s="9"/>
      <c r="H25" s="9"/>
      <c r="I25" s="141"/>
      <c r="J25" s="13"/>
      <c r="K25" s="13"/>
    </row>
    <row r="26" spans="1:11" x14ac:dyDescent="0.2">
      <c r="A26" s="146"/>
      <c r="B26" s="147"/>
      <c r="C26" s="138"/>
      <c r="D26" s="9"/>
      <c r="E26" s="140"/>
      <c r="F26" s="9"/>
      <c r="H26" s="9"/>
      <c r="I26" s="141"/>
      <c r="J26" s="13"/>
      <c r="K26" s="13"/>
    </row>
    <row r="27" spans="1:11" x14ac:dyDescent="0.2">
      <c r="A27" s="146"/>
      <c r="B27" s="147"/>
      <c r="C27" s="138"/>
      <c r="D27" s="9"/>
      <c r="E27" s="140"/>
      <c r="F27" s="9"/>
      <c r="H27" s="9"/>
      <c r="I27" s="141"/>
      <c r="J27" s="13"/>
      <c r="K27" s="13"/>
    </row>
    <row r="28" spans="1:11" x14ac:dyDescent="0.2">
      <c r="A28" s="146"/>
      <c r="B28" s="147"/>
      <c r="C28" s="138"/>
      <c r="D28" s="9"/>
      <c r="E28" s="140"/>
      <c r="F28" s="9"/>
      <c r="H28" s="9"/>
      <c r="I28" s="141"/>
      <c r="J28" s="13"/>
      <c r="K28" s="13"/>
    </row>
    <row r="29" spans="1:11" x14ac:dyDescent="0.2">
      <c r="A29" s="146"/>
      <c r="B29" s="147"/>
      <c r="C29" s="138"/>
      <c r="D29" s="9"/>
      <c r="E29" s="140"/>
      <c r="F29" s="9"/>
      <c r="H29" s="9"/>
      <c r="I29" s="141"/>
    </row>
    <row r="30" spans="1:11" x14ac:dyDescent="0.2">
      <c r="A30" s="146"/>
      <c r="B30" s="147"/>
      <c r="C30" s="19"/>
      <c r="D30" s="9"/>
      <c r="E30" s="9"/>
      <c r="F30" s="9"/>
      <c r="H30" s="9"/>
      <c r="I30" s="141"/>
    </row>
    <row r="31" spans="1:11" x14ac:dyDescent="0.2">
      <c r="A31" s="146"/>
      <c r="B31" s="147"/>
      <c r="C31" s="19"/>
      <c r="D31" s="9"/>
      <c r="E31" s="141"/>
      <c r="F31" s="141"/>
      <c r="H31" s="141"/>
      <c r="I31" s="141"/>
    </row>
    <row r="32" spans="1:11" x14ac:dyDescent="0.2">
      <c r="A32" s="146"/>
      <c r="B32" s="147"/>
      <c r="C32" s="19"/>
      <c r="D32" s="141"/>
      <c r="E32" s="141"/>
      <c r="F32" s="141"/>
      <c r="H32" s="141"/>
      <c r="I32" s="141"/>
    </row>
    <row r="33" spans="1:9" x14ac:dyDescent="0.2">
      <c r="A33" s="146"/>
      <c r="B33" s="147"/>
      <c r="C33" s="19"/>
      <c r="D33" s="141"/>
      <c r="E33" s="141"/>
      <c r="F33" s="141"/>
      <c r="H33" s="141"/>
      <c r="I33" s="141"/>
    </row>
    <row r="34" spans="1:9" x14ac:dyDescent="0.2">
      <c r="A34" s="146"/>
      <c r="B34" s="147"/>
      <c r="C34" s="19"/>
      <c r="D34" s="19"/>
      <c r="E34" s="13"/>
      <c r="F34" s="13"/>
      <c r="H34" s="13"/>
    </row>
    <row r="35" spans="1:9" x14ac:dyDescent="0.2">
      <c r="A35" s="146"/>
      <c r="B35" s="147"/>
      <c r="C35" s="19"/>
      <c r="D35" s="19"/>
      <c r="E35" s="13"/>
      <c r="F35" s="13"/>
      <c r="H35" s="13"/>
    </row>
    <row r="36" spans="1:9" x14ac:dyDescent="0.2">
      <c r="A36" s="146"/>
      <c r="B36" s="147"/>
      <c r="C36" s="19"/>
      <c r="D36" s="19"/>
      <c r="E36" s="13"/>
      <c r="F36" s="13"/>
      <c r="H36" s="13"/>
    </row>
    <row r="37" spans="1:9" x14ac:dyDescent="0.2">
      <c r="A37" s="146"/>
      <c r="B37" s="147"/>
      <c r="C37" s="19"/>
      <c r="D37" s="19"/>
      <c r="E37" s="13"/>
      <c r="F37" s="13"/>
      <c r="H37" s="13"/>
    </row>
    <row r="38" spans="1:9" x14ac:dyDescent="0.2">
      <c r="A38" s="146"/>
      <c r="B38" s="147"/>
      <c r="C38" s="19"/>
      <c r="D38" s="19"/>
      <c r="E38" s="13"/>
      <c r="F38" s="13"/>
      <c r="H38" s="13"/>
    </row>
    <row r="39" spans="1:9" x14ac:dyDescent="0.2">
      <c r="A39" s="146"/>
      <c r="B39" s="147"/>
      <c r="C39" s="19"/>
      <c r="D39" s="19"/>
      <c r="E39" s="13"/>
      <c r="F39" s="13"/>
      <c r="H39" s="13"/>
    </row>
    <row r="40" spans="1:9" x14ac:dyDescent="0.2">
      <c r="A40" s="146"/>
      <c r="B40" s="147"/>
      <c r="C40" s="19"/>
      <c r="D40" s="19"/>
      <c r="E40" s="13"/>
      <c r="F40" s="13"/>
      <c r="H40" s="13"/>
    </row>
    <row r="41" spans="1:9" x14ac:dyDescent="0.2">
      <c r="A41" s="146"/>
      <c r="B41" s="147"/>
      <c r="C41" s="19"/>
      <c r="D41" s="19"/>
      <c r="E41" s="13"/>
      <c r="F41" s="13"/>
      <c r="H41" s="13"/>
    </row>
    <row r="42" spans="1:9" x14ac:dyDescent="0.2">
      <c r="A42" s="146"/>
      <c r="B42" s="147"/>
      <c r="C42" s="19"/>
      <c r="D42" s="19"/>
      <c r="E42" s="13"/>
      <c r="F42" s="13"/>
      <c r="H42" s="13"/>
    </row>
    <row r="43" spans="1:9" x14ac:dyDescent="0.2">
      <c r="A43" s="146"/>
      <c r="B43" s="147"/>
      <c r="C43" s="19"/>
      <c r="D43" s="19"/>
      <c r="E43" s="13"/>
      <c r="F43" s="13"/>
      <c r="H43" s="13"/>
    </row>
    <row r="44" spans="1:9" x14ac:dyDescent="0.2">
      <c r="A44" s="126"/>
      <c r="B44" s="126"/>
      <c r="C44" s="126"/>
      <c r="D44" s="125"/>
      <c r="F44" s="125"/>
    </row>
    <row r="45" spans="1:9" x14ac:dyDescent="0.2">
      <c r="A45" s="126"/>
      <c r="B45" s="126"/>
      <c r="C45" s="126"/>
      <c r="D45" s="125"/>
      <c r="F45" s="125"/>
    </row>
    <row r="46" spans="1:9" x14ac:dyDescent="0.2">
      <c r="A46" s="126"/>
      <c r="B46" s="126"/>
      <c r="C46" s="126"/>
      <c r="D46" s="125"/>
      <c r="F46" s="125"/>
    </row>
    <row r="47" spans="1:9" x14ac:dyDescent="0.2">
      <c r="A47" s="126"/>
      <c r="B47" s="126"/>
      <c r="C47" s="126"/>
      <c r="D47" s="125"/>
      <c r="F47" s="125"/>
    </row>
    <row r="48" spans="1:9" x14ac:dyDescent="0.2">
      <c r="A48" s="126"/>
      <c r="B48" s="126"/>
      <c r="C48" s="126"/>
      <c r="D48" s="125"/>
      <c r="F48" s="125"/>
    </row>
    <row r="49" spans="1:6" x14ac:dyDescent="0.2">
      <c r="A49" s="126"/>
      <c r="B49" s="126"/>
      <c r="C49" s="126"/>
      <c r="D49" s="125"/>
      <c r="F49" s="125"/>
    </row>
    <row r="50" spans="1:6" x14ac:dyDescent="0.2">
      <c r="A50" s="126"/>
      <c r="B50" s="126"/>
      <c r="C50" s="126"/>
      <c r="D50" s="125"/>
      <c r="F50" s="125"/>
    </row>
    <row r="51" spans="1:6" x14ac:dyDescent="0.2">
      <c r="A51" s="126"/>
      <c r="B51" s="126"/>
      <c r="C51" s="126"/>
      <c r="D51" s="125"/>
      <c r="F51" s="125"/>
    </row>
    <row r="52" spans="1:6" x14ac:dyDescent="0.2">
      <c r="A52" s="126"/>
      <c r="B52" s="126"/>
      <c r="C52" s="126"/>
      <c r="D52" s="125"/>
      <c r="F52" s="125"/>
    </row>
    <row r="53" spans="1:6" x14ac:dyDescent="0.2">
      <c r="A53" s="126"/>
      <c r="B53" s="126"/>
      <c r="C53" s="126"/>
      <c r="D53" s="125"/>
      <c r="F53" s="125"/>
    </row>
    <row r="54" spans="1:6" x14ac:dyDescent="0.2">
      <c r="A54" s="126"/>
      <c r="B54" s="126"/>
      <c r="C54" s="126"/>
      <c r="D54" s="125"/>
      <c r="F54" s="125"/>
    </row>
    <row r="55" spans="1:6" x14ac:dyDescent="0.2">
      <c r="A55" s="126"/>
      <c r="B55" s="126"/>
      <c r="C55" s="126"/>
      <c r="D55" s="125"/>
      <c r="F55" s="125"/>
    </row>
    <row r="56" spans="1:6" x14ac:dyDescent="0.2">
      <c r="A56" s="126"/>
      <c r="B56" s="126"/>
      <c r="C56" s="126"/>
      <c r="D56" s="125"/>
      <c r="F56" s="125"/>
    </row>
    <row r="57" spans="1:6" x14ac:dyDescent="0.2">
      <c r="A57" s="126"/>
      <c r="B57" s="126"/>
      <c r="C57" s="126"/>
      <c r="D57" s="125"/>
      <c r="F57" s="125"/>
    </row>
    <row r="58" spans="1:6" x14ac:dyDescent="0.2">
      <c r="A58" s="126"/>
      <c r="B58" s="126"/>
      <c r="C58" s="126"/>
      <c r="D58" s="125"/>
      <c r="F58" s="125"/>
    </row>
    <row r="59" spans="1:6" x14ac:dyDescent="0.2">
      <c r="A59" s="126"/>
      <c r="B59" s="126"/>
      <c r="C59" s="126"/>
      <c r="D59" s="125"/>
      <c r="F59" s="125"/>
    </row>
    <row r="60" spans="1:6" x14ac:dyDescent="0.2">
      <c r="A60" s="126"/>
      <c r="B60" s="126"/>
      <c r="C60" s="126"/>
      <c r="D60" s="125"/>
      <c r="F60" s="125"/>
    </row>
    <row r="61" spans="1:6" x14ac:dyDescent="0.2">
      <c r="A61" s="126"/>
      <c r="B61" s="126"/>
      <c r="C61" s="126"/>
      <c r="D61" s="125"/>
      <c r="F61" s="125"/>
    </row>
    <row r="62" spans="1:6" x14ac:dyDescent="0.2">
      <c r="A62" s="126"/>
      <c r="B62" s="126"/>
      <c r="C62" s="126"/>
      <c r="D62" s="125"/>
      <c r="F62" s="125"/>
    </row>
    <row r="63" spans="1:6" x14ac:dyDescent="0.2">
      <c r="A63" s="126"/>
      <c r="B63" s="126"/>
      <c r="C63" s="126"/>
      <c r="D63" s="125"/>
      <c r="F63" s="125"/>
    </row>
    <row r="64" spans="1:6" x14ac:dyDescent="0.2">
      <c r="A64" s="126"/>
      <c r="B64" s="126"/>
      <c r="C64" s="126"/>
      <c r="D64" s="125"/>
      <c r="F64" s="125"/>
    </row>
    <row r="65" spans="1:6" x14ac:dyDescent="0.2">
      <c r="A65" s="126"/>
      <c r="B65" s="126"/>
      <c r="C65" s="126"/>
      <c r="D65" s="125"/>
      <c r="F65" s="125"/>
    </row>
    <row r="66" spans="1:6" x14ac:dyDescent="0.2">
      <c r="A66" s="126"/>
      <c r="B66" s="126"/>
      <c r="C66" s="126"/>
      <c r="D66" s="125"/>
      <c r="F66" s="125"/>
    </row>
    <row r="67" spans="1:6" x14ac:dyDescent="0.2">
      <c r="A67" s="126"/>
      <c r="B67" s="126"/>
      <c r="C67" s="126"/>
      <c r="D67" s="125"/>
      <c r="F67" s="125"/>
    </row>
    <row r="68" spans="1:6" x14ac:dyDescent="0.2">
      <c r="A68" s="126"/>
      <c r="B68" s="126"/>
      <c r="C68" s="126"/>
      <c r="D68" s="125"/>
      <c r="F68" s="125"/>
    </row>
    <row r="69" spans="1:6" x14ac:dyDescent="0.2">
      <c r="A69" s="126"/>
      <c r="B69" s="126"/>
      <c r="C69" s="126"/>
      <c r="D69" s="125"/>
      <c r="F69" s="125"/>
    </row>
    <row r="70" spans="1:6" x14ac:dyDescent="0.2">
      <c r="A70" s="126"/>
      <c r="B70" s="126"/>
      <c r="C70" s="126"/>
      <c r="D70" s="125"/>
      <c r="F70" s="125"/>
    </row>
    <row r="71" spans="1:6" x14ac:dyDescent="0.2">
      <c r="A71" s="126"/>
      <c r="B71" s="126"/>
      <c r="C71" s="126"/>
      <c r="D71" s="125"/>
      <c r="F71" s="125"/>
    </row>
    <row r="72" spans="1:6" x14ac:dyDescent="0.2">
      <c r="A72" s="126"/>
      <c r="B72" s="126"/>
      <c r="C72" s="126"/>
      <c r="D72" s="125"/>
      <c r="F72" s="125"/>
    </row>
    <row r="73" spans="1:6" x14ac:dyDescent="0.2">
      <c r="A73" s="126"/>
      <c r="B73" s="126"/>
      <c r="C73" s="126"/>
      <c r="D73" s="125"/>
      <c r="F73" s="125"/>
    </row>
    <row r="74" spans="1:6" x14ac:dyDescent="0.2">
      <c r="A74" s="126"/>
      <c r="B74" s="126"/>
      <c r="C74" s="126"/>
      <c r="D74" s="125"/>
      <c r="F74" s="125"/>
    </row>
    <row r="75" spans="1:6" x14ac:dyDescent="0.2">
      <c r="A75" s="126"/>
      <c r="B75" s="126"/>
      <c r="C75" s="126"/>
      <c r="D75" s="125"/>
      <c r="F75" s="125"/>
    </row>
    <row r="76" spans="1:6" x14ac:dyDescent="0.2">
      <c r="A76" s="126"/>
      <c r="B76" s="126"/>
      <c r="C76" s="126"/>
      <c r="D76" s="125"/>
      <c r="F76" s="125"/>
    </row>
    <row r="77" spans="1:6" x14ac:dyDescent="0.2">
      <c r="A77" s="126"/>
      <c r="B77" s="126"/>
      <c r="C77" s="126"/>
      <c r="D77" s="125"/>
      <c r="F77" s="125"/>
    </row>
    <row r="78" spans="1:6" x14ac:dyDescent="0.2">
      <c r="A78" s="126"/>
      <c r="B78" s="126"/>
      <c r="C78" s="126"/>
      <c r="D78" s="125"/>
      <c r="F78" s="125"/>
    </row>
    <row r="79" spans="1:6" x14ac:dyDescent="0.2">
      <c r="A79" s="126"/>
      <c r="B79" s="126"/>
      <c r="C79" s="126"/>
      <c r="D79" s="125"/>
      <c r="F79" s="125"/>
    </row>
    <row r="80" spans="1:6" x14ac:dyDescent="0.2">
      <c r="A80" s="126"/>
      <c r="B80" s="126"/>
      <c r="C80" s="126"/>
      <c r="D80" s="125"/>
      <c r="F80" s="125"/>
    </row>
    <row r="81" spans="1:6" x14ac:dyDescent="0.2">
      <c r="A81" s="126"/>
      <c r="B81" s="126"/>
      <c r="C81" s="126"/>
      <c r="D81" s="125"/>
      <c r="F81" s="125"/>
    </row>
    <row r="82" spans="1:6" x14ac:dyDescent="0.2">
      <c r="A82" s="126"/>
      <c r="B82" s="126"/>
      <c r="C82" s="126"/>
      <c r="D82" s="125"/>
      <c r="F82" s="125"/>
    </row>
    <row r="83" spans="1:6" x14ac:dyDescent="0.2">
      <c r="A83" s="126"/>
      <c r="B83" s="126"/>
      <c r="C83" s="126"/>
      <c r="D83" s="125"/>
      <c r="F83" s="125"/>
    </row>
    <row r="84" spans="1:6" x14ac:dyDescent="0.2">
      <c r="A84" s="126"/>
      <c r="B84" s="126"/>
      <c r="C84" s="126"/>
      <c r="D84" s="125"/>
      <c r="F84" s="125"/>
    </row>
    <row r="85" spans="1:6" x14ac:dyDescent="0.2">
      <c r="A85" s="126"/>
      <c r="B85" s="126"/>
      <c r="C85" s="126"/>
      <c r="D85" s="125"/>
      <c r="F85" s="125"/>
    </row>
    <row r="86" spans="1:6" x14ac:dyDescent="0.2">
      <c r="A86" s="126"/>
      <c r="B86" s="126"/>
      <c r="C86" s="126"/>
      <c r="D86" s="125"/>
      <c r="F86" s="125"/>
    </row>
    <row r="87" spans="1:6" x14ac:dyDescent="0.2">
      <c r="A87" s="126"/>
      <c r="B87" s="126"/>
      <c r="C87" s="126"/>
      <c r="D87" s="125"/>
      <c r="F87" s="125"/>
    </row>
    <row r="88" spans="1:6" x14ac:dyDescent="0.2">
      <c r="A88" s="126"/>
      <c r="B88" s="126"/>
      <c r="C88" s="126"/>
      <c r="D88" s="125"/>
      <c r="F88" s="125"/>
    </row>
    <row r="89" spans="1:6" x14ac:dyDescent="0.2">
      <c r="A89" s="126"/>
      <c r="B89" s="126"/>
      <c r="C89" s="126"/>
      <c r="D89" s="125"/>
      <c r="F89" s="125"/>
    </row>
    <row r="90" spans="1:6" x14ac:dyDescent="0.2">
      <c r="A90" s="126"/>
      <c r="B90" s="126"/>
      <c r="C90" s="126"/>
      <c r="D90" s="125"/>
      <c r="F90" s="125"/>
    </row>
    <row r="91" spans="1:6" x14ac:dyDescent="0.2">
      <c r="A91" s="126"/>
      <c r="B91" s="126"/>
      <c r="C91" s="126"/>
      <c r="D91" s="125"/>
      <c r="F91" s="125"/>
    </row>
    <row r="92" spans="1:6" x14ac:dyDescent="0.2">
      <c r="A92" s="126"/>
      <c r="B92" s="126"/>
      <c r="C92" s="126"/>
      <c r="D92" s="125"/>
      <c r="F92" s="125"/>
    </row>
    <row r="93" spans="1:6" x14ac:dyDescent="0.2">
      <c r="A93" s="126"/>
      <c r="B93" s="126"/>
      <c r="C93" s="126"/>
      <c r="D93" s="125"/>
      <c r="F93" s="125"/>
    </row>
    <row r="94" spans="1:6" x14ac:dyDescent="0.2">
      <c r="A94" s="126"/>
      <c r="B94" s="126"/>
      <c r="C94" s="126"/>
      <c r="D94" s="125"/>
      <c r="F94" s="125"/>
    </row>
    <row r="95" spans="1:6" x14ac:dyDescent="0.2">
      <c r="A95" s="126"/>
      <c r="B95" s="126"/>
      <c r="C95" s="126"/>
      <c r="D95" s="125"/>
      <c r="F95" s="125"/>
    </row>
    <row r="96" spans="1:6" x14ac:dyDescent="0.2">
      <c r="A96" s="126"/>
      <c r="B96" s="126"/>
      <c r="C96" s="126"/>
      <c r="D96" s="125"/>
      <c r="F96" s="125"/>
    </row>
    <row r="97" spans="1:6" x14ac:dyDescent="0.2">
      <c r="A97" s="126"/>
      <c r="B97" s="126"/>
      <c r="C97" s="126"/>
      <c r="D97" s="125"/>
      <c r="F97" s="125"/>
    </row>
    <row r="98" spans="1:6" x14ac:dyDescent="0.2">
      <c r="A98" s="126"/>
      <c r="B98" s="126"/>
      <c r="C98" s="126"/>
      <c r="D98" s="125"/>
      <c r="F98" s="125"/>
    </row>
    <row r="99" spans="1:6" x14ac:dyDescent="0.2">
      <c r="A99" s="126"/>
      <c r="B99" s="126"/>
      <c r="C99" s="126"/>
      <c r="D99" s="125"/>
      <c r="F99" s="125"/>
    </row>
    <row r="100" spans="1:6" x14ac:dyDescent="0.2">
      <c r="A100" s="126"/>
      <c r="B100" s="126"/>
      <c r="C100" s="126"/>
      <c r="D100" s="125"/>
      <c r="F100" s="125"/>
    </row>
    <row r="101" spans="1:6" x14ac:dyDescent="0.2">
      <c r="A101" s="126"/>
      <c r="B101" s="126"/>
      <c r="C101" s="126"/>
      <c r="D101" s="125"/>
      <c r="F101" s="125"/>
    </row>
    <row r="102" spans="1:6" x14ac:dyDescent="0.2">
      <c r="A102" s="126"/>
      <c r="B102" s="126"/>
      <c r="C102" s="126"/>
      <c r="D102" s="125"/>
      <c r="F102" s="125"/>
    </row>
    <row r="103" spans="1:6" x14ac:dyDescent="0.2">
      <c r="A103" s="126"/>
      <c r="B103" s="126"/>
      <c r="C103" s="126"/>
      <c r="D103" s="125"/>
      <c r="F103" s="125"/>
    </row>
    <row r="104" spans="1:6" x14ac:dyDescent="0.2">
      <c r="A104" s="126"/>
      <c r="B104" s="126"/>
      <c r="C104" s="126"/>
      <c r="D104" s="125"/>
      <c r="F104" s="125"/>
    </row>
    <row r="105" spans="1:6" x14ac:dyDescent="0.2">
      <c r="A105" s="126"/>
      <c r="B105" s="126"/>
      <c r="C105" s="126"/>
      <c r="D105" s="125"/>
      <c r="F105" s="125"/>
    </row>
    <row r="106" spans="1:6" x14ac:dyDescent="0.2">
      <c r="A106" s="126"/>
      <c r="B106" s="126"/>
      <c r="C106" s="126"/>
      <c r="D106" s="125"/>
      <c r="F106" s="125"/>
    </row>
    <row r="107" spans="1:6" x14ac:dyDescent="0.2">
      <c r="A107" s="126"/>
      <c r="B107" s="126"/>
      <c r="C107" s="126"/>
      <c r="D107" s="125"/>
      <c r="F107" s="125"/>
    </row>
    <row r="108" spans="1:6" x14ac:dyDescent="0.2">
      <c r="A108" s="126"/>
      <c r="B108" s="126"/>
      <c r="C108" s="126"/>
      <c r="D108" s="125"/>
      <c r="F108" s="125"/>
    </row>
    <row r="109" spans="1:6" x14ac:dyDescent="0.2">
      <c r="A109" s="126"/>
      <c r="B109" s="126"/>
      <c r="C109" s="126"/>
      <c r="D109" s="125"/>
      <c r="F109" s="125"/>
    </row>
    <row r="110" spans="1:6" x14ac:dyDescent="0.2">
      <c r="A110" s="126"/>
      <c r="B110" s="126"/>
      <c r="C110" s="126"/>
      <c r="D110" s="125"/>
      <c r="F110" s="125"/>
    </row>
    <row r="111" spans="1:6" x14ac:dyDescent="0.2">
      <c r="A111" s="126"/>
      <c r="B111" s="126"/>
      <c r="C111" s="126"/>
      <c r="D111" s="125"/>
      <c r="F111" s="125"/>
    </row>
    <row r="112" spans="1:6" x14ac:dyDescent="0.2">
      <c r="A112" s="126"/>
      <c r="B112" s="126"/>
      <c r="C112" s="126"/>
      <c r="D112" s="125"/>
      <c r="F112" s="125"/>
    </row>
    <row r="113" spans="1:6" x14ac:dyDescent="0.2">
      <c r="A113" s="126"/>
      <c r="B113" s="126"/>
      <c r="C113" s="126"/>
      <c r="D113" s="125"/>
      <c r="F113" s="125"/>
    </row>
    <row r="114" spans="1:6" x14ac:dyDescent="0.2">
      <c r="A114" s="126"/>
      <c r="B114" s="126"/>
      <c r="C114" s="126"/>
      <c r="D114" s="125"/>
      <c r="F114" s="125"/>
    </row>
    <row r="115" spans="1:6" x14ac:dyDescent="0.2">
      <c r="A115" s="126"/>
      <c r="B115" s="126"/>
      <c r="C115" s="126"/>
      <c r="D115" s="125"/>
      <c r="F115" s="125"/>
    </row>
    <row r="116" spans="1:6" x14ac:dyDescent="0.2">
      <c r="A116" s="126"/>
      <c r="B116" s="126"/>
      <c r="C116" s="126"/>
      <c r="D116" s="125"/>
      <c r="F116" s="125"/>
    </row>
    <row r="117" spans="1:6" x14ac:dyDescent="0.2">
      <c r="A117" s="126"/>
      <c r="B117" s="126"/>
      <c r="C117" s="126"/>
      <c r="D117" s="125"/>
      <c r="F117" s="125"/>
    </row>
    <row r="118" spans="1:6" x14ac:dyDescent="0.2">
      <c r="A118" s="126"/>
      <c r="B118" s="126"/>
      <c r="C118" s="126"/>
      <c r="D118" s="125"/>
      <c r="F118" s="125"/>
    </row>
    <row r="119" spans="1:6" x14ac:dyDescent="0.2">
      <c r="A119" s="126"/>
      <c r="B119" s="126"/>
      <c r="C119" s="126"/>
      <c r="D119" s="125"/>
      <c r="F119" s="125"/>
    </row>
    <row r="120" spans="1:6" x14ac:dyDescent="0.2">
      <c r="A120" s="126"/>
      <c r="B120" s="126"/>
      <c r="C120" s="126"/>
      <c r="D120" s="125"/>
      <c r="F120" s="125"/>
    </row>
    <row r="121" spans="1:6" x14ac:dyDescent="0.2">
      <c r="A121" s="126"/>
      <c r="B121" s="126"/>
      <c r="C121" s="126"/>
      <c r="D121" s="125"/>
      <c r="F121" s="125"/>
    </row>
    <row r="122" spans="1:6" x14ac:dyDescent="0.2">
      <c r="A122" s="126"/>
      <c r="B122" s="126"/>
      <c r="C122" s="126"/>
      <c r="D122" s="125"/>
      <c r="F122" s="125"/>
    </row>
    <row r="123" spans="1:6" x14ac:dyDescent="0.2">
      <c r="A123" s="126"/>
      <c r="B123" s="126"/>
      <c r="C123" s="126"/>
      <c r="D123" s="125"/>
      <c r="F123" s="125"/>
    </row>
    <row r="124" spans="1:6" x14ac:dyDescent="0.2">
      <c r="A124" s="126"/>
      <c r="B124" s="126"/>
      <c r="C124" s="126"/>
      <c r="D124" s="125"/>
      <c r="F124" s="125"/>
    </row>
    <row r="125" spans="1:6" x14ac:dyDescent="0.2">
      <c r="A125" s="126"/>
      <c r="B125" s="126"/>
      <c r="C125" s="126"/>
      <c r="D125" s="125"/>
      <c r="F125" s="125"/>
    </row>
    <row r="126" spans="1:6" x14ac:dyDescent="0.2">
      <c r="A126" s="126"/>
      <c r="B126" s="126"/>
      <c r="C126" s="126"/>
      <c r="D126" s="125"/>
      <c r="F126" s="125"/>
    </row>
    <row r="127" spans="1:6" x14ac:dyDescent="0.2">
      <c r="A127" s="126"/>
      <c r="B127" s="126"/>
      <c r="C127" s="126"/>
      <c r="D127" s="125"/>
      <c r="F127" s="125"/>
    </row>
    <row r="128" spans="1:6" x14ac:dyDescent="0.2">
      <c r="A128" s="126"/>
      <c r="B128" s="126"/>
      <c r="C128" s="126"/>
      <c r="D128" s="125"/>
      <c r="F128" s="125"/>
    </row>
    <row r="129" spans="1:6" x14ac:dyDescent="0.2">
      <c r="A129" s="126"/>
      <c r="B129" s="126"/>
      <c r="C129" s="126"/>
      <c r="D129" s="125"/>
      <c r="F129" s="125"/>
    </row>
    <row r="130" spans="1:6" x14ac:dyDescent="0.2">
      <c r="A130" s="126"/>
      <c r="B130" s="126"/>
      <c r="C130" s="126"/>
      <c r="D130" s="125"/>
      <c r="F130" s="125"/>
    </row>
    <row r="131" spans="1:6" x14ac:dyDescent="0.2">
      <c r="A131" s="126"/>
      <c r="B131" s="126"/>
      <c r="C131" s="126"/>
      <c r="D131" s="125"/>
    </row>
    <row r="132" spans="1:6" x14ac:dyDescent="0.2">
      <c r="A132" s="126"/>
      <c r="B132" s="126"/>
      <c r="C132" s="126"/>
      <c r="D132" s="125"/>
      <c r="F132" s="125"/>
    </row>
    <row r="133" spans="1:6" x14ac:dyDescent="0.2">
      <c r="A133" s="126"/>
      <c r="B133" s="126"/>
      <c r="C133" s="126"/>
      <c r="D133" s="125"/>
      <c r="F133" s="125"/>
    </row>
    <row r="134" spans="1:6" x14ac:dyDescent="0.2">
      <c r="A134" s="126"/>
      <c r="B134" s="126"/>
      <c r="C134" s="126"/>
      <c r="D134" s="125"/>
      <c r="F134" s="125"/>
    </row>
    <row r="135" spans="1:6" x14ac:dyDescent="0.2">
      <c r="A135" s="126"/>
      <c r="B135" s="126"/>
      <c r="C135" s="126"/>
      <c r="D135" s="125"/>
      <c r="F135" s="125"/>
    </row>
    <row r="136" spans="1:6" x14ac:dyDescent="0.2">
      <c r="A136" s="126"/>
      <c r="B136" s="126"/>
      <c r="C136" s="126"/>
      <c r="D136" s="125"/>
      <c r="F136" s="125"/>
    </row>
    <row r="137" spans="1:6" x14ac:dyDescent="0.2">
      <c r="A137" s="126"/>
      <c r="B137" s="126"/>
      <c r="C137" s="126"/>
      <c r="D137" s="125"/>
      <c r="F137" s="125"/>
    </row>
    <row r="138" spans="1:6" x14ac:dyDescent="0.2">
      <c r="A138" s="126"/>
      <c r="B138" s="126"/>
      <c r="C138" s="126"/>
      <c r="D138" s="125"/>
      <c r="F138" s="125"/>
    </row>
    <row r="139" spans="1:6" x14ac:dyDescent="0.2">
      <c r="A139" s="126"/>
      <c r="B139" s="126"/>
      <c r="C139" s="126"/>
      <c r="D139" s="125"/>
      <c r="F139" s="125"/>
    </row>
    <row r="140" spans="1:6" x14ac:dyDescent="0.2">
      <c r="A140" s="126"/>
      <c r="B140" s="126"/>
      <c r="C140" s="126"/>
      <c r="D140" s="125"/>
      <c r="F140" s="125"/>
    </row>
    <row r="141" spans="1:6" x14ac:dyDescent="0.2">
      <c r="A141" s="126"/>
      <c r="B141" s="126"/>
      <c r="C141" s="126"/>
      <c r="D141" s="125"/>
      <c r="F141" s="125"/>
    </row>
    <row r="142" spans="1:6" x14ac:dyDescent="0.2">
      <c r="A142" s="126"/>
      <c r="B142" s="126"/>
      <c r="C142" s="126"/>
      <c r="D142" s="125"/>
      <c r="F142" s="125"/>
    </row>
    <row r="143" spans="1:6" x14ac:dyDescent="0.2">
      <c r="A143" s="126"/>
      <c r="B143" s="126"/>
      <c r="C143" s="126"/>
      <c r="D143" s="125"/>
      <c r="F143" s="125"/>
    </row>
    <row r="144" spans="1:6" x14ac:dyDescent="0.2">
      <c r="A144" s="126"/>
      <c r="B144" s="126"/>
      <c r="C144" s="126"/>
      <c r="D144" s="125"/>
      <c r="F144" s="125"/>
    </row>
    <row r="145" spans="1:6" x14ac:dyDescent="0.2">
      <c r="A145" s="126"/>
      <c r="B145" s="126"/>
      <c r="C145" s="126"/>
      <c r="D145" s="125"/>
      <c r="F145" s="125"/>
    </row>
    <row r="146" spans="1:6" x14ac:dyDescent="0.2">
      <c r="A146" s="126"/>
      <c r="B146" s="126"/>
      <c r="C146" s="126"/>
      <c r="D146" s="125"/>
      <c r="F146" s="125"/>
    </row>
    <row r="147" spans="1:6" x14ac:dyDescent="0.2">
      <c r="A147" s="126"/>
      <c r="B147" s="126"/>
      <c r="C147" s="126"/>
      <c r="D147" s="125"/>
      <c r="F147" s="125"/>
    </row>
    <row r="148" spans="1:6" x14ac:dyDescent="0.2">
      <c r="A148" s="126"/>
      <c r="B148" s="126"/>
      <c r="C148" s="126"/>
      <c r="D148" s="125"/>
      <c r="F148" s="125"/>
    </row>
    <row r="149" spans="1:6" x14ac:dyDescent="0.2">
      <c r="A149" s="126"/>
      <c r="B149" s="126"/>
      <c r="C149" s="126"/>
      <c r="D149" s="125"/>
      <c r="F149" s="125"/>
    </row>
    <row r="150" spans="1:6" x14ac:dyDescent="0.2">
      <c r="A150" s="126"/>
      <c r="B150" s="126"/>
      <c r="C150" s="126"/>
      <c r="D150" s="125"/>
      <c r="F150" s="125"/>
    </row>
    <row r="151" spans="1:6" x14ac:dyDescent="0.2">
      <c r="A151" s="126"/>
      <c r="B151" s="126"/>
      <c r="C151" s="126"/>
      <c r="D151" s="125"/>
      <c r="F151" s="125"/>
    </row>
    <row r="152" spans="1:6" x14ac:dyDescent="0.2">
      <c r="A152" s="126"/>
      <c r="B152" s="126"/>
      <c r="C152" s="126"/>
      <c r="D152" s="125"/>
      <c r="F152" s="125"/>
    </row>
    <row r="153" spans="1:6" x14ac:dyDescent="0.2">
      <c r="A153" s="126"/>
      <c r="B153" s="126"/>
      <c r="C153" s="126"/>
      <c r="D153" s="125"/>
      <c r="F153" s="125"/>
    </row>
    <row r="154" spans="1:6" x14ac:dyDescent="0.2">
      <c r="A154" s="126"/>
      <c r="B154" s="126"/>
      <c r="C154" s="126"/>
      <c r="D154" s="125"/>
      <c r="F154" s="125"/>
    </row>
    <row r="155" spans="1:6" x14ac:dyDescent="0.2">
      <c r="A155" s="126"/>
      <c r="B155" s="126"/>
      <c r="C155" s="126"/>
      <c r="D155" s="125"/>
      <c r="F155" s="125"/>
    </row>
    <row r="156" spans="1:6" x14ac:dyDescent="0.2">
      <c r="A156" s="126"/>
      <c r="B156" s="126"/>
      <c r="C156" s="126"/>
      <c r="D156" s="125"/>
      <c r="F156" s="125"/>
    </row>
    <row r="157" spans="1:6" x14ac:dyDescent="0.2">
      <c r="A157" s="126"/>
      <c r="B157" s="126"/>
      <c r="C157" s="126"/>
      <c r="D157" s="125"/>
      <c r="F157" s="125"/>
    </row>
    <row r="158" spans="1:6" x14ac:dyDescent="0.2">
      <c r="A158" s="126"/>
      <c r="B158" s="126"/>
      <c r="C158" s="126"/>
      <c r="D158" s="125"/>
    </row>
    <row r="159" spans="1:6" x14ac:dyDescent="0.2">
      <c r="A159" s="126"/>
      <c r="B159" s="126"/>
      <c r="C159" s="126"/>
      <c r="D159" s="125"/>
      <c r="F159" s="125"/>
    </row>
    <row r="160" spans="1:6" x14ac:dyDescent="0.2">
      <c r="A160" s="126"/>
      <c r="B160" s="126"/>
      <c r="C160" s="126"/>
      <c r="D160" s="125"/>
      <c r="F160" s="125"/>
    </row>
    <row r="161" spans="1:6" x14ac:dyDescent="0.2">
      <c r="A161" s="126"/>
      <c r="B161" s="126"/>
      <c r="C161" s="126"/>
      <c r="D161" s="125"/>
      <c r="F161" s="125"/>
    </row>
    <row r="162" spans="1:6" x14ac:dyDescent="0.2">
      <c r="A162" s="126"/>
      <c r="B162" s="126"/>
      <c r="C162" s="126"/>
      <c r="D162" s="125"/>
      <c r="F162" s="125"/>
    </row>
    <row r="163" spans="1:6" x14ac:dyDescent="0.2">
      <c r="A163" s="126"/>
      <c r="B163" s="126"/>
      <c r="C163" s="126"/>
      <c r="D163" s="125"/>
      <c r="F163" s="125"/>
    </row>
    <row r="164" spans="1:6" x14ac:dyDescent="0.2">
      <c r="A164" s="126"/>
      <c r="B164" s="126"/>
      <c r="C164" s="126"/>
      <c r="D164" s="125"/>
      <c r="F164" s="125"/>
    </row>
    <row r="165" spans="1:6" x14ac:dyDescent="0.2">
      <c r="A165" s="126"/>
      <c r="B165" s="126"/>
      <c r="C165" s="126"/>
      <c r="D165" s="125"/>
      <c r="F165" s="125"/>
    </row>
    <row r="166" spans="1:6" x14ac:dyDescent="0.2">
      <c r="A166" s="126"/>
      <c r="B166" s="126"/>
      <c r="C166" s="126"/>
      <c r="D166" s="125"/>
      <c r="F166" s="125"/>
    </row>
    <row r="167" spans="1:6" x14ac:dyDescent="0.2">
      <c r="A167" s="126"/>
      <c r="B167" s="126"/>
      <c r="C167" s="126"/>
      <c r="D167" s="125"/>
      <c r="F167" s="125"/>
    </row>
    <row r="168" spans="1:6" x14ac:dyDescent="0.2">
      <c r="A168" s="126"/>
      <c r="B168" s="126"/>
      <c r="C168" s="126"/>
      <c r="D168" s="125"/>
    </row>
    <row r="169" spans="1:6" x14ac:dyDescent="0.2">
      <c r="A169" s="126"/>
      <c r="B169" s="126"/>
      <c r="C169" s="126"/>
      <c r="D169" s="125"/>
      <c r="F169" s="125"/>
    </row>
    <row r="170" spans="1:6" x14ac:dyDescent="0.2">
      <c r="A170" s="126"/>
      <c r="B170" s="126"/>
      <c r="C170" s="126"/>
      <c r="D170" s="125"/>
      <c r="F170" s="125"/>
    </row>
    <row r="171" spans="1:6" x14ac:dyDescent="0.2">
      <c r="A171" s="126"/>
      <c r="B171" s="126"/>
      <c r="C171" s="126"/>
      <c r="D171" s="125"/>
      <c r="F171" s="125"/>
    </row>
    <row r="172" spans="1:6" x14ac:dyDescent="0.2">
      <c r="A172" s="126"/>
      <c r="B172" s="126"/>
      <c r="C172" s="126"/>
      <c r="D172" s="125"/>
      <c r="F172" s="125"/>
    </row>
    <row r="173" spans="1:6" x14ac:dyDescent="0.2">
      <c r="A173" s="126"/>
      <c r="B173" s="126"/>
      <c r="C173" s="126"/>
      <c r="D173" s="125"/>
      <c r="F173" s="125"/>
    </row>
    <row r="174" spans="1:6" x14ac:dyDescent="0.2">
      <c r="A174" s="126"/>
      <c r="B174" s="126"/>
      <c r="C174" s="126"/>
      <c r="D174" s="125"/>
      <c r="F174" s="125"/>
    </row>
    <row r="175" spans="1:6" x14ac:dyDescent="0.2">
      <c r="A175" s="126"/>
      <c r="B175" s="126"/>
      <c r="C175" s="126"/>
      <c r="D175" s="125"/>
      <c r="F175" s="125"/>
    </row>
    <row r="176" spans="1:6" x14ac:dyDescent="0.2">
      <c r="A176" s="126"/>
      <c r="B176" s="126"/>
      <c r="C176" s="126"/>
      <c r="D176" s="125"/>
      <c r="F176" s="125"/>
    </row>
    <row r="177" spans="1:6" x14ac:dyDescent="0.2">
      <c r="A177" s="126"/>
      <c r="B177" s="126"/>
      <c r="C177" s="126"/>
      <c r="D177" s="125"/>
      <c r="F177" s="125"/>
    </row>
    <row r="178" spans="1:6" x14ac:dyDescent="0.2">
      <c r="A178" s="126"/>
      <c r="B178" s="126"/>
      <c r="C178" s="126"/>
      <c r="D178" s="125"/>
      <c r="F178" s="125"/>
    </row>
    <row r="179" spans="1:6" x14ac:dyDescent="0.2">
      <c r="A179" s="126"/>
      <c r="B179" s="126"/>
      <c r="C179" s="126"/>
      <c r="D179" s="125"/>
      <c r="F179" s="125"/>
    </row>
    <row r="180" spans="1:6" x14ac:dyDescent="0.2">
      <c r="A180" s="126"/>
      <c r="B180" s="126"/>
      <c r="C180" s="126"/>
      <c r="D180" s="125"/>
      <c r="F180" s="125"/>
    </row>
    <row r="181" spans="1:6" x14ac:dyDescent="0.2">
      <c r="A181" s="126"/>
      <c r="B181" s="126"/>
      <c r="C181" s="126"/>
      <c r="D181" s="125"/>
      <c r="F181" s="125"/>
    </row>
    <row r="182" spans="1:6" x14ac:dyDescent="0.2">
      <c r="A182" s="126"/>
      <c r="B182" s="126"/>
      <c r="C182" s="126"/>
      <c r="D182" s="125"/>
      <c r="F182" s="125"/>
    </row>
    <row r="183" spans="1:6" x14ac:dyDescent="0.2">
      <c r="A183" s="126"/>
      <c r="B183" s="126"/>
      <c r="C183" s="126"/>
      <c r="D183" s="125"/>
      <c r="F183" s="125"/>
    </row>
    <row r="184" spans="1:6" x14ac:dyDescent="0.2">
      <c r="A184" s="126"/>
      <c r="B184" s="126"/>
      <c r="C184" s="126"/>
      <c r="D184" s="125"/>
      <c r="F184" s="125"/>
    </row>
    <row r="185" spans="1:6" x14ac:dyDescent="0.2">
      <c r="A185" s="126"/>
      <c r="B185" s="126"/>
      <c r="C185" s="126"/>
      <c r="D185" s="125"/>
      <c r="F185" s="125"/>
    </row>
    <row r="186" spans="1:6" x14ac:dyDescent="0.2">
      <c r="A186" s="126"/>
      <c r="B186" s="126"/>
      <c r="C186" s="126"/>
      <c r="D186" s="125"/>
      <c r="F186" s="125"/>
    </row>
    <row r="187" spans="1:6" x14ac:dyDescent="0.2">
      <c r="A187" s="126"/>
      <c r="B187" s="126"/>
      <c r="C187" s="126"/>
      <c r="D187" s="125"/>
      <c r="F187" s="125"/>
    </row>
    <row r="188" spans="1:6" x14ac:dyDescent="0.2">
      <c r="A188" s="126"/>
      <c r="B188" s="126"/>
      <c r="C188" s="126"/>
      <c r="D188" s="125"/>
      <c r="F188" s="125"/>
    </row>
    <row r="189" spans="1:6" x14ac:dyDescent="0.2">
      <c r="A189" s="126"/>
      <c r="B189" s="126"/>
      <c r="C189" s="126"/>
      <c r="D189" s="125"/>
      <c r="F189" s="125"/>
    </row>
    <row r="190" spans="1:6" x14ac:dyDescent="0.2">
      <c r="A190" s="126"/>
      <c r="B190" s="126"/>
      <c r="C190" s="126"/>
      <c r="D190" s="125"/>
      <c r="F190" s="125"/>
    </row>
    <row r="191" spans="1:6" x14ac:dyDescent="0.2">
      <c r="A191" s="126"/>
      <c r="B191" s="126"/>
      <c r="C191" s="126"/>
      <c r="D191" s="125"/>
      <c r="F191" s="125"/>
    </row>
    <row r="192" spans="1:6" x14ac:dyDescent="0.2">
      <c r="A192" s="126"/>
      <c r="B192" s="126"/>
      <c r="C192" s="126"/>
      <c r="D192" s="125"/>
      <c r="F192" s="125"/>
    </row>
    <row r="193" spans="1:6" x14ac:dyDescent="0.2">
      <c r="A193" s="126"/>
      <c r="B193" s="126"/>
      <c r="C193" s="126"/>
      <c r="D193" s="125"/>
      <c r="F193" s="125"/>
    </row>
    <row r="194" spans="1:6" x14ac:dyDescent="0.2">
      <c r="A194" s="126"/>
      <c r="B194" s="126"/>
      <c r="C194" s="126"/>
      <c r="D194" s="125"/>
      <c r="F194" s="125"/>
    </row>
    <row r="195" spans="1:6" x14ac:dyDescent="0.2">
      <c r="A195" s="126"/>
      <c r="B195" s="126"/>
      <c r="C195" s="126"/>
      <c r="D195" s="125"/>
      <c r="F195" s="125"/>
    </row>
    <row r="196" spans="1:6" x14ac:dyDescent="0.2">
      <c r="A196" s="126"/>
      <c r="B196" s="126"/>
      <c r="C196" s="126"/>
      <c r="D196" s="125"/>
      <c r="F196" s="125"/>
    </row>
    <row r="197" spans="1:6" x14ac:dyDescent="0.2">
      <c r="A197" s="126"/>
      <c r="B197" s="126"/>
      <c r="C197" s="126"/>
      <c r="D197" s="125"/>
      <c r="F197" s="125"/>
    </row>
    <row r="198" spans="1:6" x14ac:dyDescent="0.2">
      <c r="A198" s="126"/>
      <c r="B198" s="126"/>
      <c r="C198" s="126"/>
      <c r="D198" s="125"/>
      <c r="F198" s="125"/>
    </row>
    <row r="199" spans="1:6" x14ac:dyDescent="0.2">
      <c r="A199" s="126"/>
      <c r="B199" s="126"/>
      <c r="C199" s="126"/>
      <c r="D199" s="125"/>
      <c r="F199" s="125"/>
    </row>
    <row r="200" spans="1:6" x14ac:dyDescent="0.2">
      <c r="A200" s="126"/>
      <c r="B200" s="126"/>
      <c r="C200" s="126"/>
      <c r="D200" s="125"/>
      <c r="F200" s="125"/>
    </row>
    <row r="201" spans="1:6" x14ac:dyDescent="0.2">
      <c r="A201" s="126"/>
      <c r="B201" s="126"/>
      <c r="C201" s="126"/>
      <c r="D201" s="125"/>
      <c r="F201" s="125"/>
    </row>
    <row r="202" spans="1:6" x14ac:dyDescent="0.2">
      <c r="A202" s="126"/>
      <c r="B202" s="126"/>
      <c r="C202" s="126"/>
      <c r="D202" s="125"/>
      <c r="F202" s="125"/>
    </row>
    <row r="203" spans="1:6" x14ac:dyDescent="0.2">
      <c r="A203" s="126"/>
      <c r="B203" s="126"/>
      <c r="C203" s="126"/>
      <c r="D203" s="125"/>
      <c r="F203" s="125"/>
    </row>
    <row r="204" spans="1:6" x14ac:dyDescent="0.2">
      <c r="A204" s="126"/>
      <c r="B204" s="126"/>
      <c r="C204" s="126"/>
      <c r="D204" s="125"/>
      <c r="F204" s="125"/>
    </row>
    <row r="205" spans="1:6" x14ac:dyDescent="0.2">
      <c r="A205" s="126"/>
      <c r="B205" s="126"/>
      <c r="C205" s="126"/>
      <c r="D205" s="125"/>
      <c r="F205" s="125"/>
    </row>
    <row r="206" spans="1:6" x14ac:dyDescent="0.2">
      <c r="A206" s="126"/>
      <c r="B206" s="126"/>
      <c r="C206" s="126"/>
      <c r="D206" s="125"/>
      <c r="F206" s="125"/>
    </row>
    <row r="207" spans="1:6" x14ac:dyDescent="0.2">
      <c r="A207" s="126"/>
      <c r="B207" s="126"/>
      <c r="C207" s="126"/>
      <c r="D207" s="125"/>
      <c r="F207" s="125"/>
    </row>
    <row r="208" spans="1:6" x14ac:dyDescent="0.2">
      <c r="A208" s="126"/>
      <c r="B208" s="126"/>
      <c r="C208" s="126"/>
      <c r="D208" s="125"/>
      <c r="F208" s="125"/>
    </row>
    <row r="209" spans="1:6" x14ac:dyDescent="0.2">
      <c r="A209" s="126"/>
      <c r="B209" s="126"/>
      <c r="C209" s="126"/>
      <c r="D209" s="125"/>
      <c r="F209" s="125"/>
    </row>
    <row r="210" spans="1:6" x14ac:dyDescent="0.2">
      <c r="A210" s="126"/>
      <c r="B210" s="126"/>
      <c r="C210" s="126"/>
      <c r="D210" s="125"/>
      <c r="F210" s="125"/>
    </row>
    <row r="211" spans="1:6" x14ac:dyDescent="0.2">
      <c r="A211" s="126"/>
      <c r="B211" s="126"/>
      <c r="C211" s="126"/>
      <c r="D211" s="125"/>
      <c r="F211" s="125"/>
    </row>
    <row r="212" spans="1:6" x14ac:dyDescent="0.2">
      <c r="A212" s="126"/>
      <c r="B212" s="126"/>
      <c r="C212" s="126"/>
      <c r="D212" s="125"/>
      <c r="F212" s="125"/>
    </row>
    <row r="213" spans="1:6" x14ac:dyDescent="0.2">
      <c r="A213" s="127"/>
      <c r="B213" s="126"/>
      <c r="C213" s="126"/>
      <c r="F213" s="125"/>
    </row>
    <row r="214" spans="1:6" x14ac:dyDescent="0.2">
      <c r="A214" s="127"/>
      <c r="B214" s="126"/>
      <c r="C214" s="126"/>
      <c r="F214" s="125"/>
    </row>
    <row r="215" spans="1:6" x14ac:dyDescent="0.2">
      <c r="A215" s="127"/>
      <c r="B215" s="126"/>
      <c r="C215" s="126"/>
    </row>
    <row r="216" spans="1:6" x14ac:dyDescent="0.2">
      <c r="A216" s="127"/>
      <c r="B216" s="126"/>
      <c r="C216" s="126"/>
    </row>
    <row r="217" spans="1:6" x14ac:dyDescent="0.2">
      <c r="A217" s="127"/>
      <c r="B217" s="126"/>
      <c r="C217" s="126"/>
    </row>
    <row r="218" spans="1:6" x14ac:dyDescent="0.2">
      <c r="A218" s="127"/>
      <c r="B218" s="126"/>
      <c r="C218" s="126"/>
    </row>
  </sheetData>
  <sortState ref="A4:B25">
    <sortCondition descending="1" ref="A4:A25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Cover</vt:lpstr>
      <vt:lpstr>Oil Crops Chart Gallery Fig 1</vt:lpstr>
      <vt:lpstr>Oil Crops Chart Gallery Fig 2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USDA-Economic Research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Mark S. Ash</dc:creator>
  <cp:keywords>soybeans, cottonseed, sunflower, peanuts, canola, supply, disappearance, price, OCS-19h, August 2019</cp:keywords>
  <dc:description>mash@ers.usda.gov</dc:description>
  <cp:lastModifiedBy>Windows User</cp:lastModifiedBy>
  <cp:lastPrinted>2014-11-10T20:35:48Z</cp:lastPrinted>
  <dcterms:created xsi:type="dcterms:W3CDTF">2001-11-13T16:22:15Z</dcterms:created>
  <dcterms:modified xsi:type="dcterms:W3CDTF">2019-08-14T13:07:57Z</dcterms:modified>
  <cp:category>Oilseeds</cp:category>
</cp:coreProperties>
</file>