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5200" windowHeight="11985" tabRatio="633" firstSheet="1" activeTab="1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1'!$A$1:$N$43</definedName>
    <definedName name="_xlnm.Print_Area" localSheetId="7">'Table 10'!$A$1:$G$42</definedName>
    <definedName name="_xlnm.Print_Area" localSheetId="2">'Table 2'!$A$1:$J$34</definedName>
    <definedName name="_xlnm.Print_Area" localSheetId="3">'Table 3'!$A$1:$M$50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H6" i="2" l="1"/>
  <c r="D6" i="2"/>
  <c r="C6" i="2"/>
  <c r="J6" i="2"/>
  <c r="B8" i="3"/>
  <c r="B9" i="3"/>
  <c r="B7" i="9" l="1"/>
  <c r="H7" i="9"/>
  <c r="D7" i="9"/>
  <c r="C7" i="9"/>
  <c r="L7" i="9"/>
  <c r="G40" i="1"/>
  <c r="G39" i="1"/>
  <c r="L39" i="1"/>
  <c r="H31" i="2"/>
  <c r="D31" i="2"/>
  <c r="J33" i="9"/>
  <c r="D33" i="9"/>
  <c r="K46" i="3" l="1"/>
  <c r="H46" i="3"/>
  <c r="N46" i="3" s="1"/>
  <c r="L46" i="3" s="1"/>
  <c r="E33" i="3"/>
  <c r="I33" i="3" s="1"/>
  <c r="G33" i="3" s="1"/>
  <c r="E21" i="3"/>
  <c r="I21" i="3" s="1"/>
  <c r="G21" i="3" s="1"/>
  <c r="I20" i="3"/>
  <c r="G20" i="3"/>
  <c r="E20" i="3"/>
  <c r="E8" i="3"/>
  <c r="J8" i="3" s="1"/>
  <c r="I8" i="3" s="1"/>
  <c r="L33" i="9"/>
  <c r="B9" i="9"/>
  <c r="E9" i="9" s="1"/>
  <c r="K9" i="9" s="1"/>
  <c r="G9" i="9" s="1"/>
  <c r="I9" i="9" s="1"/>
  <c r="D8" i="1"/>
  <c r="E8" i="1"/>
  <c r="H8" i="1" s="1"/>
  <c r="M8" i="1" s="1"/>
  <c r="K8" i="1" s="1"/>
  <c r="E8" i="2"/>
  <c r="I8" i="2" s="1"/>
  <c r="G8" i="2" s="1"/>
  <c r="B8" i="2"/>
  <c r="J31" i="2"/>
  <c r="C31" i="2"/>
  <c r="J39" i="1"/>
  <c r="H30" i="2" l="1"/>
  <c r="D30" i="2"/>
  <c r="H34" i="9"/>
  <c r="C34" i="9"/>
  <c r="J32" i="9"/>
  <c r="D32" i="9"/>
  <c r="L37" i="1"/>
  <c r="G37" i="1"/>
  <c r="L16" i="9" l="1"/>
  <c r="L31" i="9" l="1"/>
  <c r="L32" i="9"/>
  <c r="B33" i="9" s="1"/>
  <c r="E33" i="9" s="1"/>
  <c r="K33" i="9" s="1"/>
  <c r="J30" i="2"/>
  <c r="B31" i="2" s="1"/>
  <c r="E31" i="2" s="1"/>
  <c r="I31" i="2" s="1"/>
  <c r="G31" i="2" s="1"/>
  <c r="J29" i="2"/>
  <c r="C30" i="2"/>
  <c r="C29" i="2"/>
  <c r="J36" i="1"/>
  <c r="J37" i="1"/>
  <c r="B30" i="2" l="1"/>
  <c r="E30" i="2" s="1"/>
  <c r="I30" i="2" s="1"/>
  <c r="B32" i="9"/>
  <c r="E32" i="9" s="1"/>
  <c r="K32" i="9" s="1"/>
  <c r="G32" i="9" s="1"/>
  <c r="I32" i="9" s="1"/>
  <c r="E38" i="1"/>
  <c r="G30" i="2" l="1"/>
  <c r="D29" i="2"/>
  <c r="H29" i="2"/>
  <c r="J31" i="9"/>
  <c r="D31" i="9"/>
  <c r="L36" i="1"/>
  <c r="G36" i="1"/>
  <c r="J22" i="2" l="1"/>
  <c r="C22" i="2"/>
  <c r="L24" i="9"/>
  <c r="J31" i="1"/>
  <c r="H22" i="2" l="1"/>
  <c r="H21" i="2"/>
  <c r="H20" i="2"/>
  <c r="H19" i="2"/>
  <c r="H18" i="2"/>
  <c r="H17" i="2"/>
  <c r="H16" i="2"/>
  <c r="J30" i="9" l="1"/>
  <c r="D30" i="9"/>
  <c r="H28" i="2"/>
  <c r="D28" i="2"/>
  <c r="L35" i="1"/>
  <c r="L38" i="1" s="1"/>
  <c r="G35" i="1"/>
  <c r="G38" i="1" s="1"/>
  <c r="H38" i="1" l="1"/>
  <c r="M38" i="1" s="1"/>
  <c r="J35" i="1"/>
  <c r="J38" i="1" s="1"/>
  <c r="L30" i="9"/>
  <c r="K38" i="1" l="1"/>
  <c r="J28" i="2"/>
  <c r="C28" i="2"/>
  <c r="B31" i="9" l="1"/>
  <c r="E31" i="9" s="1"/>
  <c r="K31" i="9" s="1"/>
  <c r="B29" i="2"/>
  <c r="E29" i="2" s="1"/>
  <c r="I29" i="2" s="1"/>
  <c r="G31" i="9" l="1"/>
  <c r="G29" i="2"/>
  <c r="I31" i="9" l="1"/>
  <c r="F15" i="1"/>
  <c r="J29" i="9" l="1"/>
  <c r="D29" i="9" l="1"/>
  <c r="G33" i="1"/>
  <c r="D27" i="2"/>
  <c r="H27" i="2"/>
  <c r="L33" i="1"/>
  <c r="L29" i="9" l="1"/>
  <c r="B30" i="9" s="1"/>
  <c r="E30" i="9" s="1"/>
  <c r="K30" i="9" s="1"/>
  <c r="G30" i="9" s="1"/>
  <c r="I30" i="9" s="1"/>
  <c r="L28" i="9"/>
  <c r="J27" i="2"/>
  <c r="B28" i="2" s="1"/>
  <c r="E28" i="2" s="1"/>
  <c r="I28" i="2" s="1"/>
  <c r="G28" i="2" s="1"/>
  <c r="J26" i="2"/>
  <c r="J33" i="1"/>
  <c r="J32" i="1"/>
  <c r="C27" i="2"/>
  <c r="C26" i="2"/>
  <c r="C32" i="2" s="1"/>
  <c r="F40" i="1" l="1"/>
  <c r="F7" i="1" s="1"/>
  <c r="B29" i="9" l="1"/>
  <c r="E29" i="9" s="1"/>
  <c r="K29" i="9" s="1"/>
  <c r="G29" i="9" s="1"/>
  <c r="I29" i="9" s="1"/>
  <c r="B27" i="2"/>
  <c r="E27" i="2" s="1"/>
  <c r="I27" i="2" s="1"/>
  <c r="G27" i="2" s="1"/>
  <c r="J34" i="1"/>
  <c r="J40" i="1" s="1"/>
  <c r="H26" i="2" l="1"/>
  <c r="H32" i="2" s="1"/>
  <c r="D26" i="2"/>
  <c r="D32" i="2" s="1"/>
  <c r="B26" i="2"/>
  <c r="E26" i="2" s="1"/>
  <c r="I26" i="2" s="1"/>
  <c r="I32" i="2" s="1"/>
  <c r="J28" i="9"/>
  <c r="J34" i="9" s="1"/>
  <c r="D28" i="9"/>
  <c r="D34" i="9" s="1"/>
  <c r="G32" i="1"/>
  <c r="L32" i="1"/>
  <c r="H25" i="9"/>
  <c r="J24" i="9"/>
  <c r="B28" i="9"/>
  <c r="L13" i="9"/>
  <c r="J11" i="2"/>
  <c r="B12" i="2"/>
  <c r="H11" i="2"/>
  <c r="D11" i="2"/>
  <c r="E11" i="2" s="1"/>
  <c r="I11" i="2" s="1"/>
  <c r="G11" i="2" s="1"/>
  <c r="C11" i="2"/>
  <c r="D24" i="9"/>
  <c r="D22" i="2"/>
  <c r="G31" i="1"/>
  <c r="L31" i="1"/>
  <c r="B8" i="9"/>
  <c r="E8" i="9" s="1"/>
  <c r="K8" i="9" s="1"/>
  <c r="G8" i="9" s="1"/>
  <c r="I8" i="9" s="1"/>
  <c r="B7" i="2"/>
  <c r="E7" i="2" s="1"/>
  <c r="I7" i="2" s="1"/>
  <c r="G7" i="2" s="1"/>
  <c r="C25" i="9"/>
  <c r="E25" i="9" s="1"/>
  <c r="E34" i="1"/>
  <c r="J23" i="9"/>
  <c r="D23" i="9"/>
  <c r="D21" i="2"/>
  <c r="L26" i="1"/>
  <c r="G26" i="1"/>
  <c r="L22" i="9"/>
  <c r="B23" i="9"/>
  <c r="L23" i="9"/>
  <c r="B24" i="9"/>
  <c r="E24" i="9" s="1"/>
  <c r="K24" i="9" s="1"/>
  <c r="G24" i="9" s="1"/>
  <c r="J21" i="2"/>
  <c r="B22" i="2" s="1"/>
  <c r="E22" i="2" s="1"/>
  <c r="I22" i="2" s="1"/>
  <c r="C21" i="2"/>
  <c r="J26" i="1"/>
  <c r="N6" i="1"/>
  <c r="E7" i="1" s="1"/>
  <c r="H7" i="1" s="1"/>
  <c r="M7" i="1" s="1"/>
  <c r="K7" i="1" s="1"/>
  <c r="F28" i="1"/>
  <c r="F6" i="1" s="1"/>
  <c r="E27" i="1"/>
  <c r="D20" i="2"/>
  <c r="J22" i="9"/>
  <c r="D22" i="9"/>
  <c r="L25" i="1"/>
  <c r="G25" i="1"/>
  <c r="C20" i="2"/>
  <c r="J19" i="2"/>
  <c r="B20" i="2"/>
  <c r="E20" i="2"/>
  <c r="I20" i="2"/>
  <c r="G20" i="2" s="1"/>
  <c r="J20" i="2"/>
  <c r="B21" i="2"/>
  <c r="J25" i="1"/>
  <c r="J27" i="1" s="1"/>
  <c r="D7" i="1"/>
  <c r="D19" i="2"/>
  <c r="L24" i="1"/>
  <c r="L27" i="1" s="1"/>
  <c r="L28" i="1" s="1"/>
  <c r="L6" i="1" s="1"/>
  <c r="G24" i="1"/>
  <c r="G27" i="1"/>
  <c r="J21" i="9"/>
  <c r="D21" i="9"/>
  <c r="L21" i="9"/>
  <c r="B22" i="9" s="1"/>
  <c r="E22" i="9" s="1"/>
  <c r="K22" i="9" s="1"/>
  <c r="G22" i="9" s="1"/>
  <c r="I22" i="9" s="1"/>
  <c r="C19" i="2"/>
  <c r="J24" i="1"/>
  <c r="J15" i="9"/>
  <c r="J14" i="9"/>
  <c r="J13" i="9"/>
  <c r="D15" i="9"/>
  <c r="D14" i="9"/>
  <c r="D25" i="9" s="1"/>
  <c r="E7" i="9" s="1"/>
  <c r="K7" i="9" s="1"/>
  <c r="G7" i="9" s="1"/>
  <c r="I7" i="9" s="1"/>
  <c r="D13" i="9"/>
  <c r="E13" i="9"/>
  <c r="K13" i="9" s="1"/>
  <c r="J20" i="9"/>
  <c r="D20" i="9"/>
  <c r="H15" i="2"/>
  <c r="H14" i="2"/>
  <c r="H13" i="2"/>
  <c r="H12" i="2"/>
  <c r="D17" i="2"/>
  <c r="D16" i="2"/>
  <c r="D15" i="2"/>
  <c r="D14" i="2"/>
  <c r="D13" i="2"/>
  <c r="D12" i="2"/>
  <c r="D18" i="2"/>
  <c r="L22" i="1"/>
  <c r="L16" i="1"/>
  <c r="L14" i="1"/>
  <c r="L13" i="1"/>
  <c r="L12" i="1"/>
  <c r="L15" i="1"/>
  <c r="G16" i="1"/>
  <c r="G14" i="1"/>
  <c r="G13" i="1"/>
  <c r="G12" i="1"/>
  <c r="G22" i="1"/>
  <c r="L20" i="9"/>
  <c r="B21" i="9" s="1"/>
  <c r="E21" i="9" s="1"/>
  <c r="K21" i="9" s="1"/>
  <c r="G21" i="9" s="1"/>
  <c r="I21" i="9" s="1"/>
  <c r="C18" i="2"/>
  <c r="J18" i="2"/>
  <c r="B19" i="2"/>
  <c r="J22" i="1"/>
  <c r="J23" i="1" s="1"/>
  <c r="E23" i="1"/>
  <c r="D19" i="9"/>
  <c r="J19" i="9"/>
  <c r="G21" i="1"/>
  <c r="L21" i="1"/>
  <c r="L19" i="9"/>
  <c r="B20" i="9" s="1"/>
  <c r="E20" i="9" s="1"/>
  <c r="K20" i="9" s="1"/>
  <c r="G20" i="9" s="1"/>
  <c r="I20" i="9" s="1"/>
  <c r="J17" i="2"/>
  <c r="B18" i="2"/>
  <c r="C17" i="2"/>
  <c r="J21" i="1"/>
  <c r="D18" i="9"/>
  <c r="J18" i="9"/>
  <c r="G20" i="1"/>
  <c r="G23" i="1" s="1"/>
  <c r="H23" i="1" s="1"/>
  <c r="M23" i="1" s="1"/>
  <c r="L20" i="1"/>
  <c r="L23" i="1"/>
  <c r="E48" i="3"/>
  <c r="H48" i="3" s="1"/>
  <c r="N48" i="3" s="1"/>
  <c r="L48" i="3" s="1"/>
  <c r="D48" i="3"/>
  <c r="B35" i="3"/>
  <c r="E35" i="3" s="1"/>
  <c r="I35" i="3" s="1"/>
  <c r="G35" i="3" s="1"/>
  <c r="B22" i="3"/>
  <c r="E22" i="3" s="1"/>
  <c r="I22" i="3" s="1"/>
  <c r="G22" i="3" s="1"/>
  <c r="E9" i="3"/>
  <c r="J9" i="3" s="1"/>
  <c r="I9" i="3" s="1"/>
  <c r="J20" i="1"/>
  <c r="L18" i="9"/>
  <c r="B19" i="9"/>
  <c r="E19" i="9" s="1"/>
  <c r="K19" i="9" s="1"/>
  <c r="G19" i="9" s="1"/>
  <c r="I19" i="9" s="1"/>
  <c r="J16" i="2"/>
  <c r="B17" i="2"/>
  <c r="C16" i="2"/>
  <c r="J17" i="9"/>
  <c r="J25" i="9" s="1"/>
  <c r="J7" i="9" s="1"/>
  <c r="D17" i="9"/>
  <c r="G18" i="1"/>
  <c r="L18" i="1"/>
  <c r="L17" i="9"/>
  <c r="B18" i="9" s="1"/>
  <c r="E18" i="9" s="1"/>
  <c r="K18" i="9" s="1"/>
  <c r="G18" i="9" s="1"/>
  <c r="I18" i="9" s="1"/>
  <c r="J15" i="2"/>
  <c r="B16" i="2" s="1"/>
  <c r="E16" i="2" s="1"/>
  <c r="I16" i="2" s="1"/>
  <c r="G16" i="2" s="1"/>
  <c r="J14" i="2"/>
  <c r="B15" i="2"/>
  <c r="C14" i="2"/>
  <c r="C15" i="2"/>
  <c r="J17" i="1"/>
  <c r="J19" i="1" s="1"/>
  <c r="J18" i="1"/>
  <c r="B17" i="9"/>
  <c r="E19" i="1"/>
  <c r="D16" i="9"/>
  <c r="J16" i="9"/>
  <c r="L17" i="1"/>
  <c r="G17" i="1"/>
  <c r="G19" i="1"/>
  <c r="L15" i="9"/>
  <c r="B16" i="9" s="1"/>
  <c r="E16" i="9" s="1"/>
  <c r="K16" i="9" s="1"/>
  <c r="G16" i="9" s="1"/>
  <c r="I16" i="9" s="1"/>
  <c r="L14" i="9"/>
  <c r="B15" i="9" s="1"/>
  <c r="E15" i="9" s="1"/>
  <c r="K15" i="9" s="1"/>
  <c r="G15" i="9" s="1"/>
  <c r="I15" i="9" s="1"/>
  <c r="B14" i="9"/>
  <c r="E14" i="9" s="1"/>
  <c r="K14" i="9" s="1"/>
  <c r="G14" i="9" s="1"/>
  <c r="I14" i="9" s="1"/>
  <c r="J13" i="2"/>
  <c r="B14" i="2" s="1"/>
  <c r="E14" i="2" s="1"/>
  <c r="I14" i="2" s="1"/>
  <c r="G14" i="2" s="1"/>
  <c r="J12" i="2"/>
  <c r="B13" i="2"/>
  <c r="C13" i="2"/>
  <c r="C12" i="2"/>
  <c r="E12" i="2"/>
  <c r="I12" i="2"/>
  <c r="G12" i="2"/>
  <c r="J16" i="1"/>
  <c r="B44" i="6"/>
  <c r="B43" i="5"/>
  <c r="B43" i="4"/>
  <c r="E47" i="3"/>
  <c r="H47" i="3" s="1"/>
  <c r="N47" i="3" s="1"/>
  <c r="L47" i="3" s="1"/>
  <c r="D47" i="3"/>
  <c r="D46" i="3"/>
  <c r="B34" i="3"/>
  <c r="E34" i="3" s="1"/>
  <c r="I34" i="3" s="1"/>
  <c r="G34" i="3" s="1"/>
  <c r="B21" i="3"/>
  <c r="E7" i="3"/>
  <c r="J7" i="3" s="1"/>
  <c r="I7" i="3" s="1"/>
  <c r="B37" i="9"/>
  <c r="B35" i="2"/>
  <c r="B44" i="1"/>
  <c r="J14" i="1"/>
  <c r="J13" i="1"/>
  <c r="J12" i="1"/>
  <c r="J15" i="1"/>
  <c r="G15" i="1"/>
  <c r="H15" i="1"/>
  <c r="M15" i="1" s="1"/>
  <c r="A5" i="10"/>
  <c r="B52" i="3"/>
  <c r="E17" i="9"/>
  <c r="K17" i="9" s="1"/>
  <c r="G17" i="9" s="1"/>
  <c r="I17" i="9" s="1"/>
  <c r="E23" i="9"/>
  <c r="K23" i="9" s="1"/>
  <c r="G23" i="9" s="1"/>
  <c r="I23" i="9" s="1"/>
  <c r="H23" i="2"/>
  <c r="E19" i="2"/>
  <c r="I19" i="2" s="1"/>
  <c r="G19" i="2" s="1"/>
  <c r="E15" i="2"/>
  <c r="I15" i="2" s="1"/>
  <c r="G15" i="2" s="1"/>
  <c r="D23" i="2"/>
  <c r="E21" i="2"/>
  <c r="I21" i="2" s="1"/>
  <c r="G21" i="2" s="1"/>
  <c r="E17" i="2"/>
  <c r="I17" i="2" s="1"/>
  <c r="G17" i="2" s="1"/>
  <c r="E18" i="2"/>
  <c r="I18" i="2" s="1"/>
  <c r="G18" i="2" s="1"/>
  <c r="E13" i="2"/>
  <c r="I13" i="2" s="1"/>
  <c r="G13" i="2" s="1"/>
  <c r="C23" i="2"/>
  <c r="E23" i="2" s="1"/>
  <c r="L19" i="1"/>
  <c r="E34" i="9" l="1"/>
  <c r="K25" i="9"/>
  <c r="G13" i="9"/>
  <c r="I13" i="9" s="1"/>
  <c r="I25" i="9" s="1"/>
  <c r="K23" i="1"/>
  <c r="G28" i="1"/>
  <c r="G6" i="1" s="1"/>
  <c r="H6" i="1" s="1"/>
  <c r="M6" i="1" s="1"/>
  <c r="L34" i="1"/>
  <c r="L40" i="1" s="1"/>
  <c r="G34" i="1"/>
  <c r="J28" i="1"/>
  <c r="J6" i="1" s="1"/>
  <c r="H27" i="1"/>
  <c r="M27" i="1" s="1"/>
  <c r="K27" i="1" s="1"/>
  <c r="H34" i="1"/>
  <c r="M34" i="1" s="1"/>
  <c r="M40" i="1" s="1"/>
  <c r="K15" i="1"/>
  <c r="M28" i="1"/>
  <c r="G26" i="2"/>
  <c r="G32" i="2" s="1"/>
  <c r="E32" i="2"/>
  <c r="I23" i="2"/>
  <c r="G22" i="2"/>
  <c r="G23" i="2" s="1"/>
  <c r="E6" i="2"/>
  <c r="I6" i="2" s="1"/>
  <c r="G6" i="2" s="1"/>
  <c r="E28" i="9"/>
  <c r="I24" i="9"/>
  <c r="H19" i="1"/>
  <c r="M19" i="1" s="1"/>
  <c r="K19" i="1" s="1"/>
  <c r="H28" i="1"/>
  <c r="D6" i="1"/>
  <c r="G25" i="9" l="1"/>
  <c r="K34" i="1"/>
  <c r="K28" i="1"/>
  <c r="K6" i="1"/>
  <c r="K28" i="9"/>
  <c r="G28" i="9" l="1"/>
  <c r="K34" i="9"/>
  <c r="I28" i="9" l="1"/>
  <c r="I34" i="9" s="1"/>
  <c r="G34" i="9"/>
</calcChain>
</file>

<file path=xl/sharedStrings.xml><?xml version="1.0" encoding="utf-8"?>
<sst xmlns="http://schemas.openxmlformats.org/spreadsheetml/2006/main" count="514" uniqueCount="185">
  <si>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</si>
  <si>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</si>
  <si>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</si>
  <si>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</si>
  <si>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</si>
  <si>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</si>
  <si>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</si>
  <si>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</si>
  <si>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</si>
  <si>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</si>
  <si>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</si>
  <si>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</si>
  <si>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</si>
  <si>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</si>
  <si>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</si>
  <si>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</si>
  <si>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</si>
  <si>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</si>
  <si>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</si>
  <si>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</si>
  <si>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</si>
  <si>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</si>
  <si>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</si>
  <si>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</si>
  <si>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</si>
  <si>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</si>
  <si>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</si>
  <si>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</si>
  <si>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</si>
  <si>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</si>
  <si>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</si>
  <si>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</si>
  <si>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</si>
  <si>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</si>
  <si>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</si>
  <si>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</si>
  <si>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</si>
  <si>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</si>
  <si>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</si>
  <si>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</si>
  <si>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</si>
  <si>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</si>
  <si>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</si>
  <si>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</si>
  <si>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</si>
  <si>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</si>
  <si>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</si>
  <si>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</si>
  <si>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</si>
  <si>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</si>
  <si>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</si>
  <si>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</si>
  <si>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</si>
  <si>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</si>
  <si>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</si>
  <si>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</si>
  <si>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</si>
  <si>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</si>
  <si>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</si>
  <si>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</si>
  <si>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</si>
  <si>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</si>
  <si>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</si>
  <si>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</si>
  <si>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</si>
  <si>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</si>
  <si>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</si>
  <si>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</si>
  <si>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</si>
  <si>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</si>
  <si>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</si>
  <si>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</si>
  <si>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</si>
  <si>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</si>
  <si>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</si>
  <si>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</si>
  <si>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</si>
  <si>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</si>
  <si>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</si>
  <si>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</si>
  <si>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</si>
  <si>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</si>
  <si>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</si>
  <si>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</si>
  <si>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</si>
  <si>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</si>
  <si>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</si>
  <si>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</si>
  <si>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</si>
  <si>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</si>
  <si>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</si>
  <si>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</si>
  <si>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</si>
  <si>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</si>
  <si>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</si>
  <si>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</si>
  <si>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</si>
  <si>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</si>
  <si>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</si>
  <si>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</si>
  <si>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</si>
  <si>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</si>
  <si>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</si>
  <si>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</si>
  <si>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</si>
  <si>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</si>
  <si>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</si>
  <si>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</si>
  <si>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</si>
  <si>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</si>
  <si>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</si>
  <si>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</si>
  <si>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</si>
  <si>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</si>
  <si>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</si>
  <si>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</si>
  <si>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</si>
  <si>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</si>
  <si>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</si>
  <si>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</si>
  <si>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</si>
  <si>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</si>
  <si>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</si>
  <si>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</si>
  <si>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</si>
  <si>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</si>
  <si>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</si>
  <si>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</si>
  <si>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</si>
  <si>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</si>
  <si>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</si>
  <si>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</si>
  <si>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</si>
  <si>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</si>
  <si>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</si>
  <si>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</si>
  <si>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</si>
  <si>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</si>
  <si>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</si>
  <si>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</si>
  <si>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</si>
  <si>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</si>
  <si>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</si>
  <si>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</si>
  <si>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</si>
  <si>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</si>
  <si>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</si>
  <si>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</si>
  <si>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</si>
  <si>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</si>
  <si>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</si>
  <si>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</si>
  <si>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</si>
  <si>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</si>
  <si>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</si>
  <si>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</si>
  <si>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</si>
  <si>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</si>
  <si>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</si>
  <si>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</si>
  <si>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</si>
  <si>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</si>
  <si>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</si>
  <si>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</si>
  <si>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</si>
  <si>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</si>
  <si>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</si>
  <si>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</si>
  <si>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</si>
  <si>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</si>
  <si>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t>2019/20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</si>
  <si>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</si>
  <si>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</si>
  <si>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China</t>
  </si>
  <si>
    <t>Rest of world</t>
  </si>
  <si>
    <t xml:space="preserve">imports </t>
  </si>
  <si>
    <t>Soybean</t>
  </si>
  <si>
    <t>trade change</t>
  </si>
  <si>
    <t>crush</t>
  </si>
  <si>
    <t>soybean</t>
  </si>
  <si>
    <t>Total supply</t>
  </si>
  <si>
    <t>Central Illinois</t>
  </si>
  <si>
    <t xml:space="preserve"> price</t>
  </si>
  <si>
    <t>Soybean meal (right axis)</t>
  </si>
  <si>
    <t>Soybeans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</si>
</sst>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0.000"/>
    <numFmt numFmtId="170" formatCode="#,##0.0"/>
    <numFmt numFmtId="171" formatCode="[$-409]mmm\-yy;@"/>
    <numFmt numFmtId="172" formatCode="0.000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1" fontId="2" fillId="0" borderId="0" xfId="0" quotePrefix="1" applyNumberFormat="1" applyFont="1"/>
    <xf numFmtId="170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0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70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0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0" xfId="1" applyNumberFormat="1" applyFont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2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2" fillId="0" borderId="0" xfId="10"/>
    <xf numFmtId="0" fontId="5" fillId="0" borderId="0" xfId="10" applyFont="1" applyBorder="1"/>
    <xf numFmtId="14" fontId="0" fillId="0" borderId="0" xfId="0" applyNumberFormat="1"/>
    <xf numFmtId="169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0" fontId="13" fillId="0" borderId="1" xfId="0" applyNumberFormat="1" applyFont="1" applyBorder="1"/>
    <xf numFmtId="170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68" fontId="17" fillId="0" borderId="0" xfId="0" quotePrefix="1" applyNumberFormat="1" applyFont="1" applyProtection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" fillId="0" borderId="0" xfId="0" quotePrefix="1" applyFont="1" applyAlignment="1" applyProtection="1">
      <alignment horizontal="left"/>
    </xf>
    <xf numFmtId="164" fontId="2" fillId="0" borderId="0" xfId="1" applyNumberFormat="1" applyFont="1" applyBorder="1" applyAlignment="1">
      <alignment wrapText="1"/>
    </xf>
    <xf numFmtId="171" fontId="1" fillId="0" borderId="0" xfId="0" quotePrefix="1" applyNumberFormat="1" applyFont="1"/>
    <xf numFmtId="0" fontId="1" fillId="0" borderId="0" xfId="10" applyFont="1" applyFill="1" applyBorder="1"/>
    <xf numFmtId="2" fontId="2" fillId="0" borderId="0" xfId="1" applyNumberFormat="1" applyFont="1" applyBorder="1" applyAlignment="1">
      <alignment wrapText="1"/>
    </xf>
    <xf numFmtId="2" fontId="0" fillId="0" borderId="0" xfId="0" applyNumberFormat="1" applyProtection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Large soybean stocks carryout will persist despite a demand recovery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Cover!$D$1:$D$2</c:f>
              <c:strCache>
                <c:ptCount val="2"/>
                <c:pt idx="0">
                  <c:v>Domestic</c:v>
                </c:pt>
                <c:pt idx="1">
                  <c:v>crush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Cover!$D$4:$D$9</c:f>
              <c:numCache>
                <c:formatCode>_(* #,##0.0_);_(* \(#,##0.0\);_(* "-"??_);_(@_)</c:formatCode>
                <c:ptCount val="6"/>
                <c:pt idx="0">
                  <c:v>1873.4937851587886</c:v>
                </c:pt>
                <c:pt idx="1">
                  <c:v>1886.2368000000001</c:v>
                </c:pt>
                <c:pt idx="2">
                  <c:v>1901.1980666666666</c:v>
                </c:pt>
                <c:pt idx="3">
                  <c:v>2055</c:v>
                </c:pt>
                <c:pt idx="4">
                  <c:v>2100</c:v>
                </c:pt>
                <c:pt idx="5">
                  <c:v>2115</c:v>
                </c:pt>
              </c:numCache>
            </c:numRef>
          </c:val>
        </c:ser>
        <c:ser>
          <c:idx val="4"/>
          <c:order val="3"/>
          <c:tx>
            <c:strRef>
              <c:f>Cover!$F$1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wdDn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Cover!$F$4:$F$9</c:f>
              <c:numCache>
                <c:formatCode>_(* #,##0.0_);_(* \(#,##0.0\);_(* "-"??_);_(@_)</c:formatCode>
                <c:ptCount val="6"/>
                <c:pt idx="0">
                  <c:v>1842.1747093615909</c:v>
                </c:pt>
                <c:pt idx="1">
                  <c:v>1942.6386441855982</c:v>
                </c:pt>
                <c:pt idx="2">
                  <c:v>2166.4169864061037</c:v>
                </c:pt>
                <c:pt idx="3">
                  <c:v>2130</c:v>
                </c:pt>
                <c:pt idx="4">
                  <c:v>1775</c:v>
                </c:pt>
                <c:pt idx="5">
                  <c:v>1950</c:v>
                </c:pt>
              </c:numCache>
            </c:numRef>
          </c:val>
        </c:ser>
        <c:ser>
          <c:idx val="3"/>
          <c:order val="4"/>
          <c:tx>
            <c:strRef>
              <c:f>Cover!$E$1:$E$2</c:f>
              <c:strCache>
                <c:ptCount val="2"/>
                <c:pt idx="0">
                  <c:v>Seed and</c:v>
                </c:pt>
                <c:pt idx="1">
                  <c:v>residual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Cover!$E$4:$E$9</c:f>
              <c:numCache>
                <c:formatCode>_(* #,##0.0_);_(* \(#,##0.0\);_(* "-"??_);_(@_)</c:formatCode>
                <c:ptCount val="6"/>
                <c:pt idx="0">
                  <c:v>147.00717887775795</c:v>
                </c:pt>
                <c:pt idx="1">
                  <c:v>115.32546532773108</c:v>
                </c:pt>
                <c:pt idx="2">
                  <c:v>146.29582285110291</c:v>
                </c:pt>
                <c:pt idx="3">
                  <c:v>112.12299999999959</c:v>
                </c:pt>
                <c:pt idx="4">
                  <c:v>138.98799999999937</c:v>
                </c:pt>
                <c:pt idx="5">
                  <c:v>120</c:v>
                </c:pt>
              </c:numCache>
            </c:numRef>
          </c:val>
        </c:ser>
        <c:ser>
          <c:idx val="5"/>
          <c:order val="5"/>
          <c:tx>
            <c:strRef>
              <c:f>Cover!$G$1:$G$2</c:f>
              <c:strCache>
                <c:ptCount val="2"/>
                <c:pt idx="0">
                  <c:v>Ending </c:v>
                </c:pt>
                <c:pt idx="1">
                  <c:v>stocks</c:v>
                </c:pt>
              </c:strCache>
            </c:strRef>
          </c:tx>
          <c:spPr>
            <a:pattFill prst="sphere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Cover!$G$4:$G$9</c:f>
              <c:numCache>
                <c:formatCode>_(* #,##0.0_);_(* \(#,##0.0\);_(* "-"??_);_(@_)</c:formatCode>
                <c:ptCount val="6"/>
                <c:pt idx="0">
                  <c:v>190.61</c:v>
                </c:pt>
                <c:pt idx="1">
                  <c:v>196.72900000000001</c:v>
                </c:pt>
                <c:pt idx="2">
                  <c:v>301.59500000000003</c:v>
                </c:pt>
                <c:pt idx="3">
                  <c:v>438.10500000000002</c:v>
                </c:pt>
                <c:pt idx="4">
                  <c:v>995</c:v>
                </c:pt>
                <c:pt idx="5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999136"/>
        <c:axId val="2055999680"/>
      </c:barChart>
      <c:lineChart>
        <c:grouping val="standar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Production</c:v>
                </c:pt>
              </c:strCache>
            </c:strRef>
          </c:tx>
          <c:marker>
            <c:symbol val="none"/>
          </c:marker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Cover!$B$4:$B$9</c:f>
              <c:numCache>
                <c:formatCode>_(* #,##0.0_);_(* \(#,##0.0\);_(* "-"??_);_(@_)</c:formatCode>
                <c:ptCount val="6"/>
                <c:pt idx="0">
                  <c:v>3928.07</c:v>
                </c:pt>
                <c:pt idx="1">
                  <c:v>3926.779</c:v>
                </c:pt>
                <c:pt idx="2">
                  <c:v>4296.4960000000001</c:v>
                </c:pt>
                <c:pt idx="3">
                  <c:v>4411.6329999999998</c:v>
                </c:pt>
                <c:pt idx="4">
                  <c:v>4543.8829999999998</c:v>
                </c:pt>
                <c:pt idx="5">
                  <c:v>4150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Cover!$C$1</c:f>
              <c:strCache>
                <c:ptCount val="1"/>
                <c:pt idx="0">
                  <c:v>Total supply</c:v>
                </c:pt>
              </c:strCache>
            </c:strRef>
          </c:tx>
          <c:marker>
            <c:symbol val="none"/>
          </c:marker>
          <c:cat>
            <c:strRef>
              <c:f>Cover!$A$4:$A$9</c:f>
              <c:strCache>
                <c:ptCount val="6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</c:strCache>
            </c:strRef>
          </c:cat>
          <c:val>
            <c:numRef>
              <c:f>Cover!$C$4:$C$9</c:f>
              <c:numCache>
                <c:formatCode>_(* #,##0.0_);_(* \(#,##0.0\);_(* "-"??_);_(@_)</c:formatCode>
                <c:ptCount val="6"/>
                <c:pt idx="0">
                  <c:v>4053.2856733981375</c:v>
                </c:pt>
                <c:pt idx="1">
                  <c:v>4140.9299095133292</c:v>
                </c:pt>
                <c:pt idx="2">
                  <c:v>4515.5058759238736</c:v>
                </c:pt>
                <c:pt idx="3">
                  <c:v>4735.2280000000001</c:v>
                </c:pt>
                <c:pt idx="4">
                  <c:v>4998.9879999999994</c:v>
                </c:pt>
                <c:pt idx="5">
                  <c:v>5165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99136"/>
        <c:axId val="2055999680"/>
      </c:lineChart>
      <c:catAx>
        <c:axId val="20559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World Agricultural Outlook Board , </a:t>
                </a:r>
                <a:r>
                  <a:rPr lang="en-US" i="1"/>
                  <a:t>World</a:t>
                </a:r>
                <a:r>
                  <a:rPr lang="en-US" i="1" baseline="0"/>
                  <a:t> Agricultural Supply and Demand Estimates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999680"/>
        <c:crosses val="autoZero"/>
        <c:auto val="1"/>
        <c:lblAlgn val="ctr"/>
        <c:lblOffset val="100"/>
        <c:noMultiLvlLbl val="1"/>
      </c:catAx>
      <c:valAx>
        <c:axId val="2055999680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999136"/>
        <c:crosses val="autoZero"/>
        <c:crossBetween val="between"/>
        <c:majorUnit val="2000"/>
        <c:minorUnit val="100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9.466343567783006E-2"/>
          <c:y val="0.20044410377906302"/>
          <c:w val="0.4185455893599454"/>
          <c:h val="0.1148953615311360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Central Illinois cash prices weaken as spring planting delays lengthen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Soybeans</c:v>
                </c:pt>
              </c:strCache>
            </c:strRef>
          </c:tx>
          <c:marker>
            <c:symbol val="none"/>
          </c:marker>
          <c:cat>
            <c:numRef>
              <c:f>'Oil Crops Chart Gallery Fig 1'!$A$4:$A$174</c:f>
              <c:numCache>
                <c:formatCode>m/d/yyyy</c:formatCode>
                <c:ptCount val="171"/>
                <c:pt idx="0">
                  <c:v>43347</c:v>
                </c:pt>
                <c:pt idx="1">
                  <c:v>43348</c:v>
                </c:pt>
                <c:pt idx="2">
                  <c:v>43349</c:v>
                </c:pt>
                <c:pt idx="3">
                  <c:v>43350</c:v>
                </c:pt>
                <c:pt idx="4">
                  <c:v>43353</c:v>
                </c:pt>
                <c:pt idx="5">
                  <c:v>43354</c:v>
                </c:pt>
                <c:pt idx="6">
                  <c:v>43355</c:v>
                </c:pt>
                <c:pt idx="7">
                  <c:v>43356</c:v>
                </c:pt>
                <c:pt idx="8">
                  <c:v>43357</c:v>
                </c:pt>
                <c:pt idx="9">
                  <c:v>43360</c:v>
                </c:pt>
                <c:pt idx="10">
                  <c:v>43361</c:v>
                </c:pt>
                <c:pt idx="11">
                  <c:v>43362</c:v>
                </c:pt>
                <c:pt idx="12">
                  <c:v>43363</c:v>
                </c:pt>
                <c:pt idx="13">
                  <c:v>43364</c:v>
                </c:pt>
                <c:pt idx="14">
                  <c:v>43367</c:v>
                </c:pt>
                <c:pt idx="15">
                  <c:v>43368</c:v>
                </c:pt>
                <c:pt idx="16">
                  <c:v>43369</c:v>
                </c:pt>
                <c:pt idx="17">
                  <c:v>43370</c:v>
                </c:pt>
                <c:pt idx="18">
                  <c:v>43371</c:v>
                </c:pt>
                <c:pt idx="19">
                  <c:v>43374</c:v>
                </c:pt>
                <c:pt idx="20">
                  <c:v>43375</c:v>
                </c:pt>
                <c:pt idx="21">
                  <c:v>43376</c:v>
                </c:pt>
                <c:pt idx="22">
                  <c:v>43377</c:v>
                </c:pt>
                <c:pt idx="23">
                  <c:v>43378</c:v>
                </c:pt>
                <c:pt idx="24">
                  <c:v>43381</c:v>
                </c:pt>
                <c:pt idx="25">
                  <c:v>43382</c:v>
                </c:pt>
                <c:pt idx="26">
                  <c:v>43383</c:v>
                </c:pt>
                <c:pt idx="27">
                  <c:v>43384</c:v>
                </c:pt>
                <c:pt idx="28">
                  <c:v>43385</c:v>
                </c:pt>
                <c:pt idx="29">
                  <c:v>43388</c:v>
                </c:pt>
                <c:pt idx="30">
                  <c:v>43389</c:v>
                </c:pt>
                <c:pt idx="31">
                  <c:v>43390</c:v>
                </c:pt>
                <c:pt idx="32">
                  <c:v>43391</c:v>
                </c:pt>
                <c:pt idx="33">
                  <c:v>43392</c:v>
                </c:pt>
                <c:pt idx="34">
                  <c:v>43395</c:v>
                </c:pt>
                <c:pt idx="35">
                  <c:v>43396</c:v>
                </c:pt>
                <c:pt idx="36">
                  <c:v>43397</c:v>
                </c:pt>
                <c:pt idx="37">
                  <c:v>43398</c:v>
                </c:pt>
                <c:pt idx="38">
                  <c:v>43399</c:v>
                </c:pt>
                <c:pt idx="39">
                  <c:v>43402</c:v>
                </c:pt>
                <c:pt idx="40">
                  <c:v>43403</c:v>
                </c:pt>
                <c:pt idx="41">
                  <c:v>43404</c:v>
                </c:pt>
                <c:pt idx="42">
                  <c:v>43405</c:v>
                </c:pt>
                <c:pt idx="43">
                  <c:v>43406</c:v>
                </c:pt>
                <c:pt idx="44">
                  <c:v>43409</c:v>
                </c:pt>
                <c:pt idx="45">
                  <c:v>43410</c:v>
                </c:pt>
                <c:pt idx="46">
                  <c:v>43411</c:v>
                </c:pt>
                <c:pt idx="47">
                  <c:v>43412</c:v>
                </c:pt>
                <c:pt idx="48">
                  <c:v>43413</c:v>
                </c:pt>
                <c:pt idx="49">
                  <c:v>43416</c:v>
                </c:pt>
                <c:pt idx="50">
                  <c:v>43417</c:v>
                </c:pt>
                <c:pt idx="51">
                  <c:v>43418</c:v>
                </c:pt>
                <c:pt idx="52">
                  <c:v>43419</c:v>
                </c:pt>
                <c:pt idx="53">
                  <c:v>43420</c:v>
                </c:pt>
                <c:pt idx="54">
                  <c:v>43423</c:v>
                </c:pt>
                <c:pt idx="55">
                  <c:v>43424</c:v>
                </c:pt>
                <c:pt idx="56">
                  <c:v>43425</c:v>
                </c:pt>
                <c:pt idx="57">
                  <c:v>43430</c:v>
                </c:pt>
                <c:pt idx="58">
                  <c:v>43431</c:v>
                </c:pt>
                <c:pt idx="59">
                  <c:v>43432</c:v>
                </c:pt>
                <c:pt idx="60">
                  <c:v>43433</c:v>
                </c:pt>
                <c:pt idx="61">
                  <c:v>43434</c:v>
                </c:pt>
                <c:pt idx="62">
                  <c:v>43437</c:v>
                </c:pt>
                <c:pt idx="63">
                  <c:v>43438</c:v>
                </c:pt>
                <c:pt idx="64">
                  <c:v>43439</c:v>
                </c:pt>
                <c:pt idx="65">
                  <c:v>43440</c:v>
                </c:pt>
                <c:pt idx="66">
                  <c:v>43441</c:v>
                </c:pt>
                <c:pt idx="67">
                  <c:v>43444</c:v>
                </c:pt>
                <c:pt idx="68">
                  <c:v>43445</c:v>
                </c:pt>
                <c:pt idx="69">
                  <c:v>43446</c:v>
                </c:pt>
                <c:pt idx="70">
                  <c:v>43447</c:v>
                </c:pt>
                <c:pt idx="71">
                  <c:v>43448</c:v>
                </c:pt>
                <c:pt idx="72">
                  <c:v>43451</c:v>
                </c:pt>
                <c:pt idx="73">
                  <c:v>43452</c:v>
                </c:pt>
                <c:pt idx="74">
                  <c:v>43453</c:v>
                </c:pt>
                <c:pt idx="75">
                  <c:v>43454</c:v>
                </c:pt>
                <c:pt idx="76">
                  <c:v>43455</c:v>
                </c:pt>
                <c:pt idx="77">
                  <c:v>43458</c:v>
                </c:pt>
                <c:pt idx="78">
                  <c:v>43460</c:v>
                </c:pt>
                <c:pt idx="79">
                  <c:v>43461</c:v>
                </c:pt>
                <c:pt idx="80">
                  <c:v>43462</c:v>
                </c:pt>
                <c:pt idx="81">
                  <c:v>43465</c:v>
                </c:pt>
                <c:pt idx="82">
                  <c:v>43467</c:v>
                </c:pt>
                <c:pt idx="83">
                  <c:v>43468</c:v>
                </c:pt>
                <c:pt idx="84">
                  <c:v>43469</c:v>
                </c:pt>
                <c:pt idx="85">
                  <c:v>43472</c:v>
                </c:pt>
                <c:pt idx="86">
                  <c:v>43473</c:v>
                </c:pt>
                <c:pt idx="87">
                  <c:v>43474</c:v>
                </c:pt>
                <c:pt idx="88">
                  <c:v>43475</c:v>
                </c:pt>
                <c:pt idx="89">
                  <c:v>43476</c:v>
                </c:pt>
                <c:pt idx="90">
                  <c:v>43479</c:v>
                </c:pt>
                <c:pt idx="91">
                  <c:v>43480</c:v>
                </c:pt>
                <c:pt idx="92">
                  <c:v>43481</c:v>
                </c:pt>
                <c:pt idx="93">
                  <c:v>43482</c:v>
                </c:pt>
                <c:pt idx="94">
                  <c:v>43483</c:v>
                </c:pt>
                <c:pt idx="95">
                  <c:v>43487</c:v>
                </c:pt>
                <c:pt idx="96">
                  <c:v>43488</c:v>
                </c:pt>
                <c:pt idx="97">
                  <c:v>43489</c:v>
                </c:pt>
                <c:pt idx="98">
                  <c:v>43490</c:v>
                </c:pt>
                <c:pt idx="99">
                  <c:v>43493</c:v>
                </c:pt>
                <c:pt idx="100">
                  <c:v>43494</c:v>
                </c:pt>
                <c:pt idx="101">
                  <c:v>43495</c:v>
                </c:pt>
                <c:pt idx="102">
                  <c:v>43496</c:v>
                </c:pt>
                <c:pt idx="103">
                  <c:v>43497</c:v>
                </c:pt>
                <c:pt idx="104">
                  <c:v>43500</c:v>
                </c:pt>
                <c:pt idx="105">
                  <c:v>43501</c:v>
                </c:pt>
                <c:pt idx="106">
                  <c:v>43502</c:v>
                </c:pt>
                <c:pt idx="107">
                  <c:v>43503</c:v>
                </c:pt>
                <c:pt idx="108">
                  <c:v>43504</c:v>
                </c:pt>
                <c:pt idx="109">
                  <c:v>43507</c:v>
                </c:pt>
                <c:pt idx="110">
                  <c:v>43508</c:v>
                </c:pt>
                <c:pt idx="111">
                  <c:v>43509</c:v>
                </c:pt>
                <c:pt idx="112">
                  <c:v>43510</c:v>
                </c:pt>
                <c:pt idx="113">
                  <c:v>43511</c:v>
                </c:pt>
                <c:pt idx="114">
                  <c:v>43515</c:v>
                </c:pt>
                <c:pt idx="115">
                  <c:v>43516</c:v>
                </c:pt>
                <c:pt idx="116">
                  <c:v>43517</c:v>
                </c:pt>
                <c:pt idx="117">
                  <c:v>43518</c:v>
                </c:pt>
                <c:pt idx="118">
                  <c:v>43521</c:v>
                </c:pt>
                <c:pt idx="119">
                  <c:v>43522</c:v>
                </c:pt>
                <c:pt idx="120">
                  <c:v>43523</c:v>
                </c:pt>
                <c:pt idx="121">
                  <c:v>43524</c:v>
                </c:pt>
                <c:pt idx="122">
                  <c:v>43525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43535</c:v>
                </c:pt>
                <c:pt idx="129">
                  <c:v>43536</c:v>
                </c:pt>
                <c:pt idx="130">
                  <c:v>43537</c:v>
                </c:pt>
                <c:pt idx="131">
                  <c:v>43538</c:v>
                </c:pt>
                <c:pt idx="132">
                  <c:v>43539</c:v>
                </c:pt>
                <c:pt idx="133">
                  <c:v>43542</c:v>
                </c:pt>
                <c:pt idx="134">
                  <c:v>43543</c:v>
                </c:pt>
                <c:pt idx="135">
                  <c:v>43544</c:v>
                </c:pt>
                <c:pt idx="136">
                  <c:v>43545</c:v>
                </c:pt>
                <c:pt idx="137">
                  <c:v>43546</c:v>
                </c:pt>
                <c:pt idx="138">
                  <c:v>43549</c:v>
                </c:pt>
                <c:pt idx="139">
                  <c:v>43550</c:v>
                </c:pt>
                <c:pt idx="140">
                  <c:v>43551</c:v>
                </c:pt>
                <c:pt idx="141">
                  <c:v>43552</c:v>
                </c:pt>
                <c:pt idx="142">
                  <c:v>43553</c:v>
                </c:pt>
                <c:pt idx="143">
                  <c:v>43556</c:v>
                </c:pt>
                <c:pt idx="144">
                  <c:v>43557</c:v>
                </c:pt>
                <c:pt idx="145">
                  <c:v>43558</c:v>
                </c:pt>
                <c:pt idx="146">
                  <c:v>43559</c:v>
                </c:pt>
                <c:pt idx="147">
                  <c:v>43560</c:v>
                </c:pt>
                <c:pt idx="148">
                  <c:v>43563</c:v>
                </c:pt>
                <c:pt idx="149">
                  <c:v>43564</c:v>
                </c:pt>
                <c:pt idx="150">
                  <c:v>43565</c:v>
                </c:pt>
                <c:pt idx="151">
                  <c:v>43566</c:v>
                </c:pt>
                <c:pt idx="152">
                  <c:v>43567</c:v>
                </c:pt>
                <c:pt idx="153">
                  <c:v>43570</c:v>
                </c:pt>
                <c:pt idx="154">
                  <c:v>43571</c:v>
                </c:pt>
                <c:pt idx="155">
                  <c:v>43572</c:v>
                </c:pt>
                <c:pt idx="156">
                  <c:v>43573</c:v>
                </c:pt>
                <c:pt idx="157">
                  <c:v>43577</c:v>
                </c:pt>
                <c:pt idx="158">
                  <c:v>43578</c:v>
                </c:pt>
                <c:pt idx="159">
                  <c:v>43579</c:v>
                </c:pt>
                <c:pt idx="160">
                  <c:v>43580</c:v>
                </c:pt>
                <c:pt idx="161">
                  <c:v>43581</c:v>
                </c:pt>
                <c:pt idx="162">
                  <c:v>43584</c:v>
                </c:pt>
                <c:pt idx="163">
                  <c:v>43585</c:v>
                </c:pt>
                <c:pt idx="164">
                  <c:v>43586</c:v>
                </c:pt>
                <c:pt idx="165">
                  <c:v>43587</c:v>
                </c:pt>
                <c:pt idx="166">
                  <c:v>43588</c:v>
                </c:pt>
                <c:pt idx="167">
                  <c:v>43591</c:v>
                </c:pt>
                <c:pt idx="168">
                  <c:v>43592</c:v>
                </c:pt>
                <c:pt idx="169">
                  <c:v>43593</c:v>
                </c:pt>
                <c:pt idx="170">
                  <c:v>43594</c:v>
                </c:pt>
              </c:numCache>
            </c:numRef>
          </c:cat>
          <c:val>
            <c:numRef>
              <c:f>'Oil Crops Chart Gallery Fig 1'!$B$4:$B$174</c:f>
              <c:numCache>
                <c:formatCode>0.00</c:formatCode>
                <c:ptCount val="171"/>
                <c:pt idx="0">
                  <c:v>7.84</c:v>
                </c:pt>
                <c:pt idx="1">
                  <c:v>7.78</c:v>
                </c:pt>
                <c:pt idx="2">
                  <c:v>7.8</c:v>
                </c:pt>
                <c:pt idx="3">
                  <c:v>7.91</c:v>
                </c:pt>
                <c:pt idx="4">
                  <c:v>7.86</c:v>
                </c:pt>
                <c:pt idx="5">
                  <c:v>7.72</c:v>
                </c:pt>
                <c:pt idx="6">
                  <c:v>7.8</c:v>
                </c:pt>
                <c:pt idx="7">
                  <c:v>7.72</c:v>
                </c:pt>
                <c:pt idx="8">
                  <c:v>7.64</c:v>
                </c:pt>
                <c:pt idx="9">
                  <c:v>7.54</c:v>
                </c:pt>
                <c:pt idx="10">
                  <c:v>7.45</c:v>
                </c:pt>
                <c:pt idx="11">
                  <c:v>7.61</c:v>
                </c:pt>
                <c:pt idx="12">
                  <c:v>7.8</c:v>
                </c:pt>
                <c:pt idx="13">
                  <c:v>7.77</c:v>
                </c:pt>
                <c:pt idx="14">
                  <c:v>7.69</c:v>
                </c:pt>
                <c:pt idx="15">
                  <c:v>7.78</c:v>
                </c:pt>
                <c:pt idx="16">
                  <c:v>7.82</c:v>
                </c:pt>
                <c:pt idx="17">
                  <c:v>7.78</c:v>
                </c:pt>
                <c:pt idx="18">
                  <c:v>7.74</c:v>
                </c:pt>
                <c:pt idx="19">
                  <c:v>7.89</c:v>
                </c:pt>
                <c:pt idx="20">
                  <c:v>7.98</c:v>
                </c:pt>
                <c:pt idx="21">
                  <c:v>7.93</c:v>
                </c:pt>
                <c:pt idx="22">
                  <c:v>7.9</c:v>
                </c:pt>
                <c:pt idx="23">
                  <c:v>8</c:v>
                </c:pt>
                <c:pt idx="24">
                  <c:v>8.01</c:v>
                </c:pt>
                <c:pt idx="25">
                  <c:v>7.94</c:v>
                </c:pt>
                <c:pt idx="26">
                  <c:v>7.83</c:v>
                </c:pt>
                <c:pt idx="27">
                  <c:v>7.9</c:v>
                </c:pt>
                <c:pt idx="28">
                  <c:v>8</c:v>
                </c:pt>
                <c:pt idx="29">
                  <c:v>8.24</c:v>
                </c:pt>
                <c:pt idx="30">
                  <c:v>8.16</c:v>
                </c:pt>
                <c:pt idx="31">
                  <c:v>8.18</c:v>
                </c:pt>
                <c:pt idx="32">
                  <c:v>7.96</c:v>
                </c:pt>
                <c:pt idx="33">
                  <c:v>7.9</c:v>
                </c:pt>
                <c:pt idx="34">
                  <c:v>7.92</c:v>
                </c:pt>
                <c:pt idx="35">
                  <c:v>7.9</c:v>
                </c:pt>
                <c:pt idx="36">
                  <c:v>7.82</c:v>
                </c:pt>
                <c:pt idx="37">
                  <c:v>7.74</c:v>
                </c:pt>
                <c:pt idx="38">
                  <c:v>7.78</c:v>
                </c:pt>
                <c:pt idx="39">
                  <c:v>7.72</c:v>
                </c:pt>
                <c:pt idx="40">
                  <c:v>7.66</c:v>
                </c:pt>
                <c:pt idx="41">
                  <c:v>7.76</c:v>
                </c:pt>
                <c:pt idx="42">
                  <c:v>8.1199999999999992</c:v>
                </c:pt>
                <c:pt idx="43">
                  <c:v>8.17</c:v>
                </c:pt>
                <c:pt idx="44">
                  <c:v>8.18</c:v>
                </c:pt>
                <c:pt idx="45">
                  <c:v>8.1999999999999993</c:v>
                </c:pt>
                <c:pt idx="46">
                  <c:v>8.15</c:v>
                </c:pt>
                <c:pt idx="47">
                  <c:v>8.15</c:v>
                </c:pt>
                <c:pt idx="48">
                  <c:v>8.2200000000000006</c:v>
                </c:pt>
                <c:pt idx="49">
                  <c:v>8.2200000000000006</c:v>
                </c:pt>
                <c:pt idx="50">
                  <c:v>8.2200000000000006</c:v>
                </c:pt>
                <c:pt idx="51">
                  <c:v>8.2799999999999994</c:v>
                </c:pt>
                <c:pt idx="52">
                  <c:v>8.33</c:v>
                </c:pt>
                <c:pt idx="53">
                  <c:v>8.36</c:v>
                </c:pt>
                <c:pt idx="54">
                  <c:v>8.18</c:v>
                </c:pt>
                <c:pt idx="55">
                  <c:v>8.26</c:v>
                </c:pt>
                <c:pt idx="56">
                  <c:v>8.2799999999999994</c:v>
                </c:pt>
                <c:pt idx="57">
                  <c:v>8.1199999999999992</c:v>
                </c:pt>
                <c:pt idx="58">
                  <c:v>8.25</c:v>
                </c:pt>
                <c:pt idx="59">
                  <c:v>8.4</c:v>
                </c:pt>
                <c:pt idx="60">
                  <c:v>8.42</c:v>
                </c:pt>
                <c:pt idx="61">
                  <c:v>8.5</c:v>
                </c:pt>
                <c:pt idx="62">
                  <c:v>8.6300000000000008</c:v>
                </c:pt>
                <c:pt idx="63">
                  <c:v>8.69</c:v>
                </c:pt>
                <c:pt idx="64">
                  <c:v>8.6999999999999993</c:v>
                </c:pt>
                <c:pt idx="65">
                  <c:v>8.68</c:v>
                </c:pt>
                <c:pt idx="66">
                  <c:v>8.74</c:v>
                </c:pt>
                <c:pt idx="67">
                  <c:v>8.68</c:v>
                </c:pt>
                <c:pt idx="68">
                  <c:v>8.68</c:v>
                </c:pt>
                <c:pt idx="69">
                  <c:v>8.6999999999999993</c:v>
                </c:pt>
                <c:pt idx="70">
                  <c:v>8.58</c:v>
                </c:pt>
                <c:pt idx="71">
                  <c:v>8.4700000000000006</c:v>
                </c:pt>
                <c:pt idx="72">
                  <c:v>8.5399999999999991</c:v>
                </c:pt>
                <c:pt idx="73">
                  <c:v>8.6</c:v>
                </c:pt>
                <c:pt idx="74">
                  <c:v>8.5399999999999991</c:v>
                </c:pt>
                <c:pt idx="75">
                  <c:v>8.48</c:v>
                </c:pt>
                <c:pt idx="76">
                  <c:v>8.39</c:v>
                </c:pt>
                <c:pt idx="77">
                  <c:v>8.3800000000000008</c:v>
                </c:pt>
                <c:pt idx="78">
                  <c:v>8.24</c:v>
                </c:pt>
                <c:pt idx="79">
                  <c:v>8.24</c:v>
                </c:pt>
                <c:pt idx="80">
                  <c:v>8.3800000000000008</c:v>
                </c:pt>
                <c:pt idx="81">
                  <c:v>8.34</c:v>
                </c:pt>
                <c:pt idx="82">
                  <c:v>8.4700000000000006</c:v>
                </c:pt>
                <c:pt idx="83">
                  <c:v>8.5299999999999994</c:v>
                </c:pt>
                <c:pt idx="84">
                  <c:v>8.6199999999999992</c:v>
                </c:pt>
                <c:pt idx="85">
                  <c:v>8.6999999999999993</c:v>
                </c:pt>
                <c:pt idx="86">
                  <c:v>8.65</c:v>
                </c:pt>
                <c:pt idx="87">
                  <c:v>8.7100000000000009</c:v>
                </c:pt>
                <c:pt idx="88">
                  <c:v>8.5399999999999991</c:v>
                </c:pt>
                <c:pt idx="89">
                  <c:v>8.57</c:v>
                </c:pt>
                <c:pt idx="90">
                  <c:v>8.4600000000000009</c:v>
                </c:pt>
                <c:pt idx="91">
                  <c:v>8.36</c:v>
                </c:pt>
                <c:pt idx="92">
                  <c:v>8.36</c:v>
                </c:pt>
                <c:pt idx="93">
                  <c:v>8.5</c:v>
                </c:pt>
                <c:pt idx="94">
                  <c:v>8.56</c:v>
                </c:pt>
                <c:pt idx="95">
                  <c:v>8.52</c:v>
                </c:pt>
                <c:pt idx="96">
                  <c:v>8.57</c:v>
                </c:pt>
                <c:pt idx="97">
                  <c:v>8.58</c:v>
                </c:pt>
                <c:pt idx="98">
                  <c:v>8.68</c:v>
                </c:pt>
                <c:pt idx="99">
                  <c:v>8.66</c:v>
                </c:pt>
                <c:pt idx="100">
                  <c:v>8.6199999999999992</c:v>
                </c:pt>
                <c:pt idx="101">
                  <c:v>8.64</c:v>
                </c:pt>
                <c:pt idx="102">
                  <c:v>8.58</c:v>
                </c:pt>
                <c:pt idx="103">
                  <c:v>8.61</c:v>
                </c:pt>
                <c:pt idx="104">
                  <c:v>8.6</c:v>
                </c:pt>
                <c:pt idx="105">
                  <c:v>8.64</c:v>
                </c:pt>
                <c:pt idx="106">
                  <c:v>8.65</c:v>
                </c:pt>
                <c:pt idx="107">
                  <c:v>8.56</c:v>
                </c:pt>
                <c:pt idx="108">
                  <c:v>8.58</c:v>
                </c:pt>
                <c:pt idx="109">
                  <c:v>8.48</c:v>
                </c:pt>
                <c:pt idx="110">
                  <c:v>8.6</c:v>
                </c:pt>
                <c:pt idx="111">
                  <c:v>8.61</c:v>
                </c:pt>
                <c:pt idx="112">
                  <c:v>8.5</c:v>
                </c:pt>
                <c:pt idx="113">
                  <c:v>8.5299999999999994</c:v>
                </c:pt>
                <c:pt idx="114">
                  <c:v>8.5</c:v>
                </c:pt>
                <c:pt idx="115">
                  <c:v>8.52</c:v>
                </c:pt>
                <c:pt idx="116">
                  <c:v>8.6199999999999992</c:v>
                </c:pt>
                <c:pt idx="117">
                  <c:v>8.6199999999999992</c:v>
                </c:pt>
                <c:pt idx="118">
                  <c:v>8.6300000000000008</c:v>
                </c:pt>
                <c:pt idx="119">
                  <c:v>8.5500000000000007</c:v>
                </c:pt>
                <c:pt idx="120">
                  <c:v>8.58</c:v>
                </c:pt>
                <c:pt idx="121">
                  <c:v>8.52</c:v>
                </c:pt>
                <c:pt idx="122">
                  <c:v>8.5399999999999991</c:v>
                </c:pt>
                <c:pt idx="123">
                  <c:v>8.6</c:v>
                </c:pt>
                <c:pt idx="124">
                  <c:v>8.58</c:v>
                </c:pt>
                <c:pt idx="125">
                  <c:v>8.4700000000000006</c:v>
                </c:pt>
                <c:pt idx="126">
                  <c:v>8.4700000000000006</c:v>
                </c:pt>
                <c:pt idx="127">
                  <c:v>8.4</c:v>
                </c:pt>
                <c:pt idx="128">
                  <c:v>8.35</c:v>
                </c:pt>
                <c:pt idx="129">
                  <c:v>8.43</c:v>
                </c:pt>
                <c:pt idx="130">
                  <c:v>8.4700000000000006</c:v>
                </c:pt>
                <c:pt idx="131">
                  <c:v>8.44</c:v>
                </c:pt>
                <c:pt idx="132">
                  <c:v>8.56</c:v>
                </c:pt>
                <c:pt idx="133">
                  <c:v>8.5399999999999991</c:v>
                </c:pt>
                <c:pt idx="134">
                  <c:v>8.52</c:v>
                </c:pt>
                <c:pt idx="135">
                  <c:v>8.52</c:v>
                </c:pt>
                <c:pt idx="136">
                  <c:v>8.57</c:v>
                </c:pt>
                <c:pt idx="137">
                  <c:v>8.5</c:v>
                </c:pt>
                <c:pt idx="138">
                  <c:v>8.5299999999999994</c:v>
                </c:pt>
                <c:pt idx="139">
                  <c:v>8.4700000000000006</c:v>
                </c:pt>
                <c:pt idx="140">
                  <c:v>8.32</c:v>
                </c:pt>
                <c:pt idx="141">
                  <c:v>8.32</c:v>
                </c:pt>
                <c:pt idx="142">
                  <c:v>8.26</c:v>
                </c:pt>
                <c:pt idx="143">
                  <c:v>8.44</c:v>
                </c:pt>
                <c:pt idx="144">
                  <c:v>8.49</c:v>
                </c:pt>
                <c:pt idx="145">
                  <c:v>8.4600000000000009</c:v>
                </c:pt>
                <c:pt idx="146">
                  <c:v>8.5500000000000007</c:v>
                </c:pt>
                <c:pt idx="147">
                  <c:v>8.48</c:v>
                </c:pt>
                <c:pt idx="148">
                  <c:v>8.48</c:v>
                </c:pt>
                <c:pt idx="149">
                  <c:v>8.48</c:v>
                </c:pt>
                <c:pt idx="150">
                  <c:v>8.52</c:v>
                </c:pt>
                <c:pt idx="151">
                  <c:v>8.4600000000000009</c:v>
                </c:pt>
                <c:pt idx="152">
                  <c:v>8.4600000000000009</c:v>
                </c:pt>
                <c:pt idx="153">
                  <c:v>8.5</c:v>
                </c:pt>
                <c:pt idx="154">
                  <c:v>8.39</c:v>
                </c:pt>
                <c:pt idx="155">
                  <c:v>8.3000000000000007</c:v>
                </c:pt>
                <c:pt idx="156">
                  <c:v>8.32</c:v>
                </c:pt>
                <c:pt idx="157">
                  <c:v>8.2799999999999994</c:v>
                </c:pt>
                <c:pt idx="158">
                  <c:v>8.14</c:v>
                </c:pt>
                <c:pt idx="159">
                  <c:v>8.08</c:v>
                </c:pt>
                <c:pt idx="160">
                  <c:v>8.1</c:v>
                </c:pt>
                <c:pt idx="161">
                  <c:v>8.08</c:v>
                </c:pt>
                <c:pt idx="162">
                  <c:v>8.02</c:v>
                </c:pt>
                <c:pt idx="163">
                  <c:v>7.96</c:v>
                </c:pt>
                <c:pt idx="164">
                  <c:v>7.96</c:v>
                </c:pt>
                <c:pt idx="165">
                  <c:v>7.86</c:v>
                </c:pt>
                <c:pt idx="166">
                  <c:v>7.86</c:v>
                </c:pt>
                <c:pt idx="167">
                  <c:v>7.78</c:v>
                </c:pt>
                <c:pt idx="168">
                  <c:v>7.8</c:v>
                </c:pt>
                <c:pt idx="169">
                  <c:v>7.76</c:v>
                </c:pt>
                <c:pt idx="170">
                  <c:v>7.62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02400"/>
        <c:axId val="2056002944"/>
      </c:lineChart>
      <c:lineChart>
        <c:grouping val="standard"/>
        <c:varyColors val="0"/>
        <c:ser>
          <c:idx val="2"/>
          <c:order val="1"/>
          <c:tx>
            <c:strRef>
              <c:f>'Oil Crops Chart Gallery Fig 1'!$C$2</c:f>
              <c:strCache>
                <c:ptCount val="1"/>
                <c:pt idx="0">
                  <c:v>Soybean meal (right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'Oil Crops Chart Gallery Fig 1'!$A$4:$A$174</c:f>
              <c:numCache>
                <c:formatCode>m/d/yyyy</c:formatCode>
                <c:ptCount val="171"/>
                <c:pt idx="0">
                  <c:v>43347</c:v>
                </c:pt>
                <c:pt idx="1">
                  <c:v>43348</c:v>
                </c:pt>
                <c:pt idx="2">
                  <c:v>43349</c:v>
                </c:pt>
                <c:pt idx="3">
                  <c:v>43350</c:v>
                </c:pt>
                <c:pt idx="4">
                  <c:v>43353</c:v>
                </c:pt>
                <c:pt idx="5">
                  <c:v>43354</c:v>
                </c:pt>
                <c:pt idx="6">
                  <c:v>43355</c:v>
                </c:pt>
                <c:pt idx="7">
                  <c:v>43356</c:v>
                </c:pt>
                <c:pt idx="8">
                  <c:v>43357</c:v>
                </c:pt>
                <c:pt idx="9">
                  <c:v>43360</c:v>
                </c:pt>
                <c:pt idx="10">
                  <c:v>43361</c:v>
                </c:pt>
                <c:pt idx="11">
                  <c:v>43362</c:v>
                </c:pt>
                <c:pt idx="12">
                  <c:v>43363</c:v>
                </c:pt>
                <c:pt idx="13">
                  <c:v>43364</c:v>
                </c:pt>
                <c:pt idx="14">
                  <c:v>43367</c:v>
                </c:pt>
                <c:pt idx="15">
                  <c:v>43368</c:v>
                </c:pt>
                <c:pt idx="16">
                  <c:v>43369</c:v>
                </c:pt>
                <c:pt idx="17">
                  <c:v>43370</c:v>
                </c:pt>
                <c:pt idx="18">
                  <c:v>43371</c:v>
                </c:pt>
                <c:pt idx="19">
                  <c:v>43374</c:v>
                </c:pt>
                <c:pt idx="20">
                  <c:v>43375</c:v>
                </c:pt>
                <c:pt idx="21">
                  <c:v>43376</c:v>
                </c:pt>
                <c:pt idx="22">
                  <c:v>43377</c:v>
                </c:pt>
                <c:pt idx="23">
                  <c:v>43378</c:v>
                </c:pt>
                <c:pt idx="24">
                  <c:v>43381</c:v>
                </c:pt>
                <c:pt idx="25">
                  <c:v>43382</c:v>
                </c:pt>
                <c:pt idx="26">
                  <c:v>43383</c:v>
                </c:pt>
                <c:pt idx="27">
                  <c:v>43384</c:v>
                </c:pt>
                <c:pt idx="28">
                  <c:v>43385</c:v>
                </c:pt>
                <c:pt idx="29">
                  <c:v>43388</c:v>
                </c:pt>
                <c:pt idx="30">
                  <c:v>43389</c:v>
                </c:pt>
                <c:pt idx="31">
                  <c:v>43390</c:v>
                </c:pt>
                <c:pt idx="32">
                  <c:v>43391</c:v>
                </c:pt>
                <c:pt idx="33">
                  <c:v>43392</c:v>
                </c:pt>
                <c:pt idx="34">
                  <c:v>43395</c:v>
                </c:pt>
                <c:pt idx="35">
                  <c:v>43396</c:v>
                </c:pt>
                <c:pt idx="36">
                  <c:v>43397</c:v>
                </c:pt>
                <c:pt idx="37">
                  <c:v>43398</c:v>
                </c:pt>
                <c:pt idx="38">
                  <c:v>43399</c:v>
                </c:pt>
                <c:pt idx="39">
                  <c:v>43402</c:v>
                </c:pt>
                <c:pt idx="40">
                  <c:v>43403</c:v>
                </c:pt>
                <c:pt idx="41">
                  <c:v>43404</c:v>
                </c:pt>
                <c:pt idx="42">
                  <c:v>43405</c:v>
                </c:pt>
                <c:pt idx="43">
                  <c:v>43406</c:v>
                </c:pt>
                <c:pt idx="44">
                  <c:v>43409</c:v>
                </c:pt>
                <c:pt idx="45">
                  <c:v>43410</c:v>
                </c:pt>
                <c:pt idx="46">
                  <c:v>43411</c:v>
                </c:pt>
                <c:pt idx="47">
                  <c:v>43412</c:v>
                </c:pt>
                <c:pt idx="48">
                  <c:v>43413</c:v>
                </c:pt>
                <c:pt idx="49">
                  <c:v>43416</c:v>
                </c:pt>
                <c:pt idx="50">
                  <c:v>43417</c:v>
                </c:pt>
                <c:pt idx="51">
                  <c:v>43418</c:v>
                </c:pt>
                <c:pt idx="52">
                  <c:v>43419</c:v>
                </c:pt>
                <c:pt idx="53">
                  <c:v>43420</c:v>
                </c:pt>
                <c:pt idx="54">
                  <c:v>43423</c:v>
                </c:pt>
                <c:pt idx="55">
                  <c:v>43424</c:v>
                </c:pt>
                <c:pt idx="56">
                  <c:v>43425</c:v>
                </c:pt>
                <c:pt idx="57">
                  <c:v>43430</c:v>
                </c:pt>
                <c:pt idx="58">
                  <c:v>43431</c:v>
                </c:pt>
                <c:pt idx="59">
                  <c:v>43432</c:v>
                </c:pt>
                <c:pt idx="60">
                  <c:v>43433</c:v>
                </c:pt>
                <c:pt idx="61">
                  <c:v>43434</c:v>
                </c:pt>
                <c:pt idx="62">
                  <c:v>43437</c:v>
                </c:pt>
                <c:pt idx="63">
                  <c:v>43438</c:v>
                </c:pt>
                <c:pt idx="64">
                  <c:v>43439</c:v>
                </c:pt>
                <c:pt idx="65">
                  <c:v>43440</c:v>
                </c:pt>
                <c:pt idx="66">
                  <c:v>43441</c:v>
                </c:pt>
                <c:pt idx="67">
                  <c:v>43444</c:v>
                </c:pt>
                <c:pt idx="68">
                  <c:v>43445</c:v>
                </c:pt>
                <c:pt idx="69">
                  <c:v>43446</c:v>
                </c:pt>
                <c:pt idx="70">
                  <c:v>43447</c:v>
                </c:pt>
                <c:pt idx="71">
                  <c:v>43448</c:v>
                </c:pt>
                <c:pt idx="72">
                  <c:v>43451</c:v>
                </c:pt>
                <c:pt idx="73">
                  <c:v>43452</c:v>
                </c:pt>
                <c:pt idx="74">
                  <c:v>43453</c:v>
                </c:pt>
                <c:pt idx="75">
                  <c:v>43454</c:v>
                </c:pt>
                <c:pt idx="76">
                  <c:v>43455</c:v>
                </c:pt>
                <c:pt idx="77">
                  <c:v>43458</c:v>
                </c:pt>
                <c:pt idx="78">
                  <c:v>43460</c:v>
                </c:pt>
                <c:pt idx="79">
                  <c:v>43461</c:v>
                </c:pt>
                <c:pt idx="80">
                  <c:v>43462</c:v>
                </c:pt>
                <c:pt idx="81">
                  <c:v>43465</c:v>
                </c:pt>
                <c:pt idx="82">
                  <c:v>43467</c:v>
                </c:pt>
                <c:pt idx="83">
                  <c:v>43468</c:v>
                </c:pt>
                <c:pt idx="84">
                  <c:v>43469</c:v>
                </c:pt>
                <c:pt idx="85">
                  <c:v>43472</c:v>
                </c:pt>
                <c:pt idx="86">
                  <c:v>43473</c:v>
                </c:pt>
                <c:pt idx="87">
                  <c:v>43474</c:v>
                </c:pt>
                <c:pt idx="88">
                  <c:v>43475</c:v>
                </c:pt>
                <c:pt idx="89">
                  <c:v>43476</c:v>
                </c:pt>
                <c:pt idx="90">
                  <c:v>43479</c:v>
                </c:pt>
                <c:pt idx="91">
                  <c:v>43480</c:v>
                </c:pt>
                <c:pt idx="92">
                  <c:v>43481</c:v>
                </c:pt>
                <c:pt idx="93">
                  <c:v>43482</c:v>
                </c:pt>
                <c:pt idx="94">
                  <c:v>43483</c:v>
                </c:pt>
                <c:pt idx="95">
                  <c:v>43487</c:v>
                </c:pt>
                <c:pt idx="96">
                  <c:v>43488</c:v>
                </c:pt>
                <c:pt idx="97">
                  <c:v>43489</c:v>
                </c:pt>
                <c:pt idx="98">
                  <c:v>43490</c:v>
                </c:pt>
                <c:pt idx="99">
                  <c:v>43493</c:v>
                </c:pt>
                <c:pt idx="100">
                  <c:v>43494</c:v>
                </c:pt>
                <c:pt idx="101">
                  <c:v>43495</c:v>
                </c:pt>
                <c:pt idx="102">
                  <c:v>43496</c:v>
                </c:pt>
                <c:pt idx="103">
                  <c:v>43497</c:v>
                </c:pt>
                <c:pt idx="104">
                  <c:v>43500</c:v>
                </c:pt>
                <c:pt idx="105">
                  <c:v>43501</c:v>
                </c:pt>
                <c:pt idx="106">
                  <c:v>43502</c:v>
                </c:pt>
                <c:pt idx="107">
                  <c:v>43503</c:v>
                </c:pt>
                <c:pt idx="108">
                  <c:v>43504</c:v>
                </c:pt>
                <c:pt idx="109">
                  <c:v>43507</c:v>
                </c:pt>
                <c:pt idx="110">
                  <c:v>43508</c:v>
                </c:pt>
                <c:pt idx="111">
                  <c:v>43509</c:v>
                </c:pt>
                <c:pt idx="112">
                  <c:v>43510</c:v>
                </c:pt>
                <c:pt idx="113">
                  <c:v>43511</c:v>
                </c:pt>
                <c:pt idx="114">
                  <c:v>43515</c:v>
                </c:pt>
                <c:pt idx="115">
                  <c:v>43516</c:v>
                </c:pt>
                <c:pt idx="116">
                  <c:v>43517</c:v>
                </c:pt>
                <c:pt idx="117">
                  <c:v>43518</c:v>
                </c:pt>
                <c:pt idx="118">
                  <c:v>43521</c:v>
                </c:pt>
                <c:pt idx="119">
                  <c:v>43522</c:v>
                </c:pt>
                <c:pt idx="120">
                  <c:v>43523</c:v>
                </c:pt>
                <c:pt idx="121">
                  <c:v>43524</c:v>
                </c:pt>
                <c:pt idx="122">
                  <c:v>43525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43535</c:v>
                </c:pt>
                <c:pt idx="129">
                  <c:v>43536</c:v>
                </c:pt>
                <c:pt idx="130">
                  <c:v>43537</c:v>
                </c:pt>
                <c:pt idx="131">
                  <c:v>43538</c:v>
                </c:pt>
                <c:pt idx="132">
                  <c:v>43539</c:v>
                </c:pt>
                <c:pt idx="133">
                  <c:v>43542</c:v>
                </c:pt>
                <c:pt idx="134">
                  <c:v>43543</c:v>
                </c:pt>
                <c:pt idx="135">
                  <c:v>43544</c:v>
                </c:pt>
                <c:pt idx="136">
                  <c:v>43545</c:v>
                </c:pt>
                <c:pt idx="137">
                  <c:v>43546</c:v>
                </c:pt>
                <c:pt idx="138">
                  <c:v>43549</c:v>
                </c:pt>
                <c:pt idx="139">
                  <c:v>43550</c:v>
                </c:pt>
                <c:pt idx="140">
                  <c:v>43551</c:v>
                </c:pt>
                <c:pt idx="141">
                  <c:v>43552</c:v>
                </c:pt>
                <c:pt idx="142">
                  <c:v>43553</c:v>
                </c:pt>
                <c:pt idx="143">
                  <c:v>43556</c:v>
                </c:pt>
                <c:pt idx="144">
                  <c:v>43557</c:v>
                </c:pt>
                <c:pt idx="145">
                  <c:v>43558</c:v>
                </c:pt>
                <c:pt idx="146">
                  <c:v>43559</c:v>
                </c:pt>
                <c:pt idx="147">
                  <c:v>43560</c:v>
                </c:pt>
                <c:pt idx="148">
                  <c:v>43563</c:v>
                </c:pt>
                <c:pt idx="149">
                  <c:v>43564</c:v>
                </c:pt>
                <c:pt idx="150">
                  <c:v>43565</c:v>
                </c:pt>
                <c:pt idx="151">
                  <c:v>43566</c:v>
                </c:pt>
                <c:pt idx="152">
                  <c:v>43567</c:v>
                </c:pt>
                <c:pt idx="153">
                  <c:v>43570</c:v>
                </c:pt>
                <c:pt idx="154">
                  <c:v>43571</c:v>
                </c:pt>
                <c:pt idx="155">
                  <c:v>43572</c:v>
                </c:pt>
                <c:pt idx="156">
                  <c:v>43573</c:v>
                </c:pt>
                <c:pt idx="157">
                  <c:v>43577</c:v>
                </c:pt>
                <c:pt idx="158">
                  <c:v>43578</c:v>
                </c:pt>
                <c:pt idx="159">
                  <c:v>43579</c:v>
                </c:pt>
                <c:pt idx="160">
                  <c:v>43580</c:v>
                </c:pt>
                <c:pt idx="161">
                  <c:v>43581</c:v>
                </c:pt>
                <c:pt idx="162">
                  <c:v>43584</c:v>
                </c:pt>
                <c:pt idx="163">
                  <c:v>43585</c:v>
                </c:pt>
                <c:pt idx="164">
                  <c:v>43586</c:v>
                </c:pt>
                <c:pt idx="165">
                  <c:v>43587</c:v>
                </c:pt>
                <c:pt idx="166">
                  <c:v>43588</c:v>
                </c:pt>
                <c:pt idx="167">
                  <c:v>43591</c:v>
                </c:pt>
                <c:pt idx="168">
                  <c:v>43592</c:v>
                </c:pt>
                <c:pt idx="169">
                  <c:v>43593</c:v>
                </c:pt>
                <c:pt idx="170">
                  <c:v>43594</c:v>
                </c:pt>
              </c:numCache>
            </c:numRef>
          </c:cat>
          <c:val>
            <c:numRef>
              <c:f>'Oil Crops Chart Gallery Fig 1'!$C$4:$C$174</c:f>
              <c:numCache>
                <c:formatCode>0.00</c:formatCode>
                <c:ptCount val="171"/>
                <c:pt idx="0">
                  <c:v>318.2</c:v>
                </c:pt>
                <c:pt idx="1">
                  <c:v>316.8</c:v>
                </c:pt>
                <c:pt idx="2">
                  <c:v>321.39999999999998</c:v>
                </c:pt>
                <c:pt idx="3">
                  <c:v>324.2</c:v>
                </c:pt>
                <c:pt idx="4">
                  <c:v>325.8</c:v>
                </c:pt>
                <c:pt idx="5">
                  <c:v>323.7</c:v>
                </c:pt>
                <c:pt idx="6">
                  <c:v>324.8</c:v>
                </c:pt>
                <c:pt idx="7">
                  <c:v>321.39999999999998</c:v>
                </c:pt>
                <c:pt idx="8">
                  <c:v>314.8</c:v>
                </c:pt>
                <c:pt idx="9">
                  <c:v>311.89999999999998</c:v>
                </c:pt>
                <c:pt idx="10">
                  <c:v>310</c:v>
                </c:pt>
                <c:pt idx="11">
                  <c:v>315.89999999999998</c:v>
                </c:pt>
                <c:pt idx="12">
                  <c:v>321.89999999999998</c:v>
                </c:pt>
                <c:pt idx="13">
                  <c:v>316.39999999999998</c:v>
                </c:pt>
                <c:pt idx="14">
                  <c:v>314</c:v>
                </c:pt>
                <c:pt idx="15">
                  <c:v>315.7</c:v>
                </c:pt>
                <c:pt idx="16">
                  <c:v>317.39999999999998</c:v>
                </c:pt>
                <c:pt idx="17">
                  <c:v>318.3</c:v>
                </c:pt>
                <c:pt idx="18">
                  <c:v>315.5</c:v>
                </c:pt>
                <c:pt idx="19">
                  <c:v>320.3</c:v>
                </c:pt>
                <c:pt idx="20">
                  <c:v>321.10000000000002</c:v>
                </c:pt>
                <c:pt idx="21">
                  <c:v>317.2</c:v>
                </c:pt>
                <c:pt idx="22">
                  <c:v>318.2</c:v>
                </c:pt>
                <c:pt idx="23">
                  <c:v>325.60000000000002</c:v>
                </c:pt>
                <c:pt idx="24">
                  <c:v>324.5</c:v>
                </c:pt>
                <c:pt idx="25">
                  <c:v>323.8</c:v>
                </c:pt>
                <c:pt idx="26">
                  <c:v>321.7</c:v>
                </c:pt>
                <c:pt idx="27">
                  <c:v>322.8</c:v>
                </c:pt>
                <c:pt idx="28">
                  <c:v>322.89999999999998</c:v>
                </c:pt>
                <c:pt idx="29">
                  <c:v>332.5</c:v>
                </c:pt>
                <c:pt idx="30">
                  <c:v>327.8</c:v>
                </c:pt>
                <c:pt idx="31">
                  <c:v>329.2</c:v>
                </c:pt>
                <c:pt idx="32">
                  <c:v>321.8</c:v>
                </c:pt>
                <c:pt idx="33">
                  <c:v>318.60000000000002</c:v>
                </c:pt>
                <c:pt idx="34">
                  <c:v>318.3</c:v>
                </c:pt>
                <c:pt idx="35">
                  <c:v>316.2</c:v>
                </c:pt>
                <c:pt idx="36">
                  <c:v>311.60000000000002</c:v>
                </c:pt>
                <c:pt idx="37">
                  <c:v>307.3</c:v>
                </c:pt>
                <c:pt idx="38">
                  <c:v>310.3</c:v>
                </c:pt>
                <c:pt idx="39">
                  <c:v>311.2</c:v>
                </c:pt>
                <c:pt idx="40">
                  <c:v>308.10000000000002</c:v>
                </c:pt>
                <c:pt idx="41">
                  <c:v>309.39999999999998</c:v>
                </c:pt>
                <c:pt idx="42">
                  <c:v>316.39999999999998</c:v>
                </c:pt>
                <c:pt idx="43">
                  <c:v>314</c:v>
                </c:pt>
                <c:pt idx="44">
                  <c:v>313.60000000000002</c:v>
                </c:pt>
                <c:pt idx="45">
                  <c:v>314.39999999999998</c:v>
                </c:pt>
                <c:pt idx="46">
                  <c:v>311</c:v>
                </c:pt>
                <c:pt idx="47">
                  <c:v>309.10000000000002</c:v>
                </c:pt>
                <c:pt idx="48">
                  <c:v>308.60000000000002</c:v>
                </c:pt>
                <c:pt idx="49">
                  <c:v>308.60000000000002</c:v>
                </c:pt>
                <c:pt idx="50">
                  <c:v>306.89999999999998</c:v>
                </c:pt>
                <c:pt idx="51">
                  <c:v>308.7</c:v>
                </c:pt>
                <c:pt idx="52">
                  <c:v>308.39999999999998</c:v>
                </c:pt>
                <c:pt idx="53">
                  <c:v>313.89999999999998</c:v>
                </c:pt>
                <c:pt idx="54">
                  <c:v>308</c:v>
                </c:pt>
                <c:pt idx="55">
                  <c:v>309.60000000000002</c:v>
                </c:pt>
                <c:pt idx="56">
                  <c:v>309.10000000000002</c:v>
                </c:pt>
                <c:pt idx="57">
                  <c:v>306.5</c:v>
                </c:pt>
                <c:pt idx="58">
                  <c:v>309.39999999999998</c:v>
                </c:pt>
                <c:pt idx="59">
                  <c:v>312.39999999999998</c:v>
                </c:pt>
                <c:pt idx="60">
                  <c:v>311.39999999999998</c:v>
                </c:pt>
                <c:pt idx="61">
                  <c:v>312.3</c:v>
                </c:pt>
                <c:pt idx="62">
                  <c:v>316.39999999999998</c:v>
                </c:pt>
                <c:pt idx="63">
                  <c:v>316.7</c:v>
                </c:pt>
                <c:pt idx="64">
                  <c:v>315.89999999999998</c:v>
                </c:pt>
                <c:pt idx="65">
                  <c:v>314.2</c:v>
                </c:pt>
                <c:pt idx="66">
                  <c:v>313.2</c:v>
                </c:pt>
                <c:pt idx="67">
                  <c:v>312</c:v>
                </c:pt>
                <c:pt idx="68">
                  <c:v>312.89999999999998</c:v>
                </c:pt>
                <c:pt idx="69">
                  <c:v>314.60000000000002</c:v>
                </c:pt>
                <c:pt idx="70">
                  <c:v>310.5</c:v>
                </c:pt>
                <c:pt idx="71">
                  <c:v>309.3</c:v>
                </c:pt>
                <c:pt idx="72">
                  <c:v>311.10000000000002</c:v>
                </c:pt>
                <c:pt idx="73">
                  <c:v>312.39999999999998</c:v>
                </c:pt>
                <c:pt idx="74">
                  <c:v>309.8</c:v>
                </c:pt>
                <c:pt idx="75">
                  <c:v>309.7</c:v>
                </c:pt>
                <c:pt idx="76">
                  <c:v>307.60000000000002</c:v>
                </c:pt>
                <c:pt idx="77">
                  <c:v>309.5</c:v>
                </c:pt>
                <c:pt idx="78">
                  <c:v>305.39999999999998</c:v>
                </c:pt>
                <c:pt idx="79">
                  <c:v>308.8</c:v>
                </c:pt>
                <c:pt idx="80">
                  <c:v>313.5</c:v>
                </c:pt>
                <c:pt idx="81">
                  <c:v>310.39999999999998</c:v>
                </c:pt>
                <c:pt idx="82">
                  <c:v>315.39999999999998</c:v>
                </c:pt>
                <c:pt idx="83">
                  <c:v>317.7</c:v>
                </c:pt>
                <c:pt idx="84">
                  <c:v>320</c:v>
                </c:pt>
                <c:pt idx="85">
                  <c:v>323.2</c:v>
                </c:pt>
                <c:pt idx="86">
                  <c:v>322.60000000000002</c:v>
                </c:pt>
                <c:pt idx="87">
                  <c:v>324.39999999999998</c:v>
                </c:pt>
                <c:pt idx="88">
                  <c:v>317.8</c:v>
                </c:pt>
                <c:pt idx="89">
                  <c:v>315.60000000000002</c:v>
                </c:pt>
                <c:pt idx="90">
                  <c:v>312.8</c:v>
                </c:pt>
                <c:pt idx="91">
                  <c:v>310.3</c:v>
                </c:pt>
                <c:pt idx="92">
                  <c:v>311.60000000000002</c:v>
                </c:pt>
                <c:pt idx="93">
                  <c:v>313.7</c:v>
                </c:pt>
                <c:pt idx="94">
                  <c:v>316.60000000000002</c:v>
                </c:pt>
                <c:pt idx="95">
                  <c:v>314.5</c:v>
                </c:pt>
                <c:pt idx="96">
                  <c:v>311.89999999999998</c:v>
                </c:pt>
                <c:pt idx="97">
                  <c:v>311.3</c:v>
                </c:pt>
                <c:pt idx="98">
                  <c:v>312.89999999999998</c:v>
                </c:pt>
                <c:pt idx="99">
                  <c:v>311.2</c:v>
                </c:pt>
                <c:pt idx="100">
                  <c:v>310.8</c:v>
                </c:pt>
                <c:pt idx="101">
                  <c:v>310.10000000000002</c:v>
                </c:pt>
                <c:pt idx="102">
                  <c:v>309</c:v>
                </c:pt>
                <c:pt idx="103">
                  <c:v>311.3</c:v>
                </c:pt>
                <c:pt idx="104">
                  <c:v>310.10000000000002</c:v>
                </c:pt>
                <c:pt idx="105">
                  <c:v>309</c:v>
                </c:pt>
                <c:pt idx="106">
                  <c:v>307.5</c:v>
                </c:pt>
                <c:pt idx="107">
                  <c:v>304</c:v>
                </c:pt>
                <c:pt idx="108">
                  <c:v>304.60000000000002</c:v>
                </c:pt>
                <c:pt idx="109">
                  <c:v>305.39999999999998</c:v>
                </c:pt>
                <c:pt idx="110">
                  <c:v>309.7</c:v>
                </c:pt>
                <c:pt idx="111">
                  <c:v>310.60000000000002</c:v>
                </c:pt>
                <c:pt idx="112">
                  <c:v>306</c:v>
                </c:pt>
                <c:pt idx="113">
                  <c:v>307</c:v>
                </c:pt>
                <c:pt idx="114">
                  <c:v>305.89999999999998</c:v>
                </c:pt>
                <c:pt idx="115">
                  <c:v>305.7</c:v>
                </c:pt>
                <c:pt idx="116">
                  <c:v>306.39999999999998</c:v>
                </c:pt>
                <c:pt idx="117">
                  <c:v>306.60000000000002</c:v>
                </c:pt>
                <c:pt idx="118">
                  <c:v>306.39999999999998</c:v>
                </c:pt>
                <c:pt idx="119">
                  <c:v>304.2</c:v>
                </c:pt>
                <c:pt idx="120">
                  <c:v>306</c:v>
                </c:pt>
                <c:pt idx="121">
                  <c:v>303.3</c:v>
                </c:pt>
                <c:pt idx="122">
                  <c:v>304.5</c:v>
                </c:pt>
                <c:pt idx="123">
                  <c:v>307.60000000000002</c:v>
                </c:pt>
                <c:pt idx="124">
                  <c:v>307</c:v>
                </c:pt>
                <c:pt idx="125">
                  <c:v>303.10000000000002</c:v>
                </c:pt>
                <c:pt idx="126">
                  <c:v>303.3</c:v>
                </c:pt>
                <c:pt idx="127">
                  <c:v>301.2</c:v>
                </c:pt>
                <c:pt idx="128">
                  <c:v>298.8</c:v>
                </c:pt>
                <c:pt idx="129">
                  <c:v>300.5</c:v>
                </c:pt>
                <c:pt idx="130">
                  <c:v>301.7</c:v>
                </c:pt>
                <c:pt idx="131">
                  <c:v>308.89999999999998</c:v>
                </c:pt>
                <c:pt idx="132">
                  <c:v>308.8</c:v>
                </c:pt>
                <c:pt idx="133">
                  <c:v>307.8</c:v>
                </c:pt>
                <c:pt idx="134">
                  <c:v>308.8</c:v>
                </c:pt>
                <c:pt idx="135">
                  <c:v>309.60000000000002</c:v>
                </c:pt>
                <c:pt idx="136">
                  <c:v>313.3</c:v>
                </c:pt>
                <c:pt idx="137">
                  <c:v>313</c:v>
                </c:pt>
                <c:pt idx="138">
                  <c:v>313.60000000000002</c:v>
                </c:pt>
                <c:pt idx="139">
                  <c:v>309.5</c:v>
                </c:pt>
                <c:pt idx="140">
                  <c:v>302.89999999999998</c:v>
                </c:pt>
                <c:pt idx="141">
                  <c:v>305</c:v>
                </c:pt>
                <c:pt idx="142">
                  <c:v>305</c:v>
                </c:pt>
                <c:pt idx="143">
                  <c:v>307.89999999999998</c:v>
                </c:pt>
                <c:pt idx="144">
                  <c:v>309.10000000000002</c:v>
                </c:pt>
                <c:pt idx="145">
                  <c:v>309.5</c:v>
                </c:pt>
                <c:pt idx="146">
                  <c:v>310.39999999999998</c:v>
                </c:pt>
                <c:pt idx="147">
                  <c:v>306.5</c:v>
                </c:pt>
                <c:pt idx="148">
                  <c:v>307.7</c:v>
                </c:pt>
                <c:pt idx="149">
                  <c:v>307.60000000000002</c:v>
                </c:pt>
                <c:pt idx="150">
                  <c:v>308.60000000000002</c:v>
                </c:pt>
                <c:pt idx="151">
                  <c:v>305.7</c:v>
                </c:pt>
                <c:pt idx="152">
                  <c:v>306.39999999999998</c:v>
                </c:pt>
                <c:pt idx="153">
                  <c:v>309.5</c:v>
                </c:pt>
                <c:pt idx="154">
                  <c:v>305</c:v>
                </c:pt>
                <c:pt idx="155">
                  <c:v>302.39999999999998</c:v>
                </c:pt>
                <c:pt idx="156">
                  <c:v>301.7</c:v>
                </c:pt>
                <c:pt idx="157">
                  <c:v>301</c:v>
                </c:pt>
                <c:pt idx="158">
                  <c:v>299.5</c:v>
                </c:pt>
                <c:pt idx="159">
                  <c:v>297.89999999999998</c:v>
                </c:pt>
                <c:pt idx="160">
                  <c:v>303.5</c:v>
                </c:pt>
                <c:pt idx="161">
                  <c:v>297.39999999999998</c:v>
                </c:pt>
                <c:pt idx="162">
                  <c:v>296.7</c:v>
                </c:pt>
                <c:pt idx="163">
                  <c:v>295.5</c:v>
                </c:pt>
                <c:pt idx="164">
                  <c:v>295.8</c:v>
                </c:pt>
                <c:pt idx="165">
                  <c:v>292.39999999999998</c:v>
                </c:pt>
                <c:pt idx="166">
                  <c:v>295.2</c:v>
                </c:pt>
                <c:pt idx="167">
                  <c:v>293.60000000000002</c:v>
                </c:pt>
                <c:pt idx="168">
                  <c:v>290.2</c:v>
                </c:pt>
                <c:pt idx="169">
                  <c:v>289.89999999999998</c:v>
                </c:pt>
                <c:pt idx="170">
                  <c:v>286.10000000000002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03488"/>
        <c:axId val="2055991520"/>
      </c:lineChart>
      <c:dateAx>
        <c:axId val="20560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Sources: USDA, Agricultural Marketing Service, </a:t>
                </a:r>
                <a:r>
                  <a:rPr lang="en-US" i="1"/>
                  <a:t>Grain Prices at Illinois Country Elevators </a:t>
                </a:r>
                <a:r>
                  <a:rPr lang="en-US" i="0"/>
                  <a:t>and</a:t>
                </a:r>
                <a:r>
                  <a:rPr lang="en-US" i="1"/>
                  <a:t> Central Illinois Soybean Processor Bids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002944"/>
        <c:crosses val="autoZero"/>
        <c:auto val="1"/>
        <c:lblOffset val="100"/>
        <c:baseTimeUnit val="days"/>
      </c:dateAx>
      <c:valAx>
        <c:axId val="2056002944"/>
        <c:scaling>
          <c:orientation val="minMax"/>
          <c:max val="9"/>
          <c:min val="7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$/bushel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.0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002400"/>
        <c:crosses val="autoZero"/>
        <c:crossBetween val="between"/>
        <c:majorUnit val="0.5"/>
        <c:minorUnit val="0.25"/>
      </c:valAx>
      <c:valAx>
        <c:axId val="2055991520"/>
        <c:scaling>
          <c:orientation val="minMax"/>
          <c:max val="340"/>
          <c:min val="2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$/short ton</a:t>
                </a:r>
              </a:p>
            </c:rich>
          </c:tx>
          <c:layout>
            <c:manualLayout>
              <c:xMode val="edge"/>
              <c:yMode val="edge"/>
              <c:x val="0.84061274317707069"/>
              <c:y val="0.140397889592885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56003488"/>
        <c:crosses val="max"/>
        <c:crossBetween val="between"/>
        <c:majorUnit val="20"/>
        <c:minorUnit val="10"/>
      </c:valAx>
      <c:dateAx>
        <c:axId val="205600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55991520"/>
        <c:crosses val="autoZero"/>
        <c:auto val="1"/>
        <c:lblOffset val="100"/>
        <c:baseTimeUnit val="days"/>
      </c:dateAx>
      <c:spPr>
        <a:ln>
          <a:solidFill>
            <a:schemeClr val="bg1">
              <a:lumMod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8418450277551549"/>
          <c:y val="0.20044404153439818"/>
          <c:w val="0.33811920915698623"/>
          <c:h val="7.6616545398207905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Year-to-year changes in China's soybean imports usually dominate global</a:t>
            </a:r>
            <a:r>
              <a:rPr lang="en-US" sz="1050" baseline="0"/>
              <a:t> trade</a:t>
            </a:r>
            <a:endParaRPr lang="en-US" sz="1050"/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Chart Gallery Fig 2'!$B$2:$B$3</c:f>
              <c:strCache>
                <c:ptCount val="2"/>
                <c:pt idx="0">
                  <c:v>China</c:v>
                </c:pt>
                <c:pt idx="1">
                  <c:v>imports 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2'!$A$6:$A$16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'Oil Crops Chart Gallery Fig 2'!$B$6:$B$16</c:f>
              <c:numCache>
                <c:formatCode>0.0</c:formatCode>
                <c:ptCount val="11"/>
                <c:pt idx="0">
                  <c:v>9.24</c:v>
                </c:pt>
                <c:pt idx="1">
                  <c:v>2.0009999999999999</c:v>
                </c:pt>
                <c:pt idx="2">
                  <c:v>6.8920000000000003</c:v>
                </c:pt>
                <c:pt idx="3">
                  <c:v>0.63400000000000001</c:v>
                </c:pt>
                <c:pt idx="4">
                  <c:v>10.499000000000001</c:v>
                </c:pt>
                <c:pt idx="5">
                  <c:v>7.9859999999999998</c:v>
                </c:pt>
                <c:pt idx="6">
                  <c:v>4.88</c:v>
                </c:pt>
                <c:pt idx="7">
                  <c:v>10.265000000000001</c:v>
                </c:pt>
                <c:pt idx="8">
                  <c:v>0.6</c:v>
                </c:pt>
                <c:pt idx="9">
                  <c:v>-8.0950000000000006</c:v>
                </c:pt>
                <c:pt idx="10">
                  <c:v>1</c:v>
                </c:pt>
              </c:numCache>
            </c:numRef>
          </c:val>
        </c:ser>
        <c:ser>
          <c:idx val="2"/>
          <c:order val="1"/>
          <c:tx>
            <c:strRef>
              <c:f>'Oil Crops Chart Gallery Fig 2'!$C$2:$C$3</c:f>
              <c:strCache>
                <c:ptCount val="2"/>
                <c:pt idx="0">
                  <c:v>Rest of world</c:v>
                </c:pt>
                <c:pt idx="1">
                  <c:v>imports </c:v>
                </c:pt>
              </c:strCache>
            </c:strRef>
          </c:tx>
          <c:spPr>
            <a:pattFill prst="wdDn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2'!$A$6:$A$16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'Oil Crops Chart Gallery Fig 2'!$C$6:$C$16</c:f>
              <c:numCache>
                <c:formatCode>0.0</c:formatCode>
                <c:ptCount val="11"/>
                <c:pt idx="0">
                  <c:v>0.36599999999999999</c:v>
                </c:pt>
                <c:pt idx="1">
                  <c:v>0.27600000000000002</c:v>
                </c:pt>
                <c:pt idx="2">
                  <c:v>-2.1269999999999998</c:v>
                </c:pt>
                <c:pt idx="3">
                  <c:v>2.0089999999999999</c:v>
                </c:pt>
                <c:pt idx="4">
                  <c:v>5.3739999999999997</c:v>
                </c:pt>
                <c:pt idx="5">
                  <c:v>3.3079999999999998</c:v>
                </c:pt>
                <c:pt idx="6">
                  <c:v>4.1040000000000001</c:v>
                </c:pt>
                <c:pt idx="7">
                  <c:v>0.60499999999999998</c:v>
                </c:pt>
                <c:pt idx="8">
                  <c:v>7.4989999999999997</c:v>
                </c:pt>
                <c:pt idx="9">
                  <c:v>5.3369999999999997</c:v>
                </c:pt>
                <c:pt idx="10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004032"/>
        <c:axId val="2055988800"/>
      </c:barChart>
      <c:catAx>
        <c:axId val="20560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Oilseeds: World Markets and Trade.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988800"/>
        <c:crosses val="autoZero"/>
        <c:auto val="0"/>
        <c:lblAlgn val="ctr"/>
        <c:lblOffset val="700"/>
        <c:tickLblSkip val="2"/>
        <c:tickMarkSkip val="1"/>
        <c:noMultiLvlLbl val="0"/>
      </c:catAx>
      <c:valAx>
        <c:axId val="2055988800"/>
        <c:scaling>
          <c:orientation val="minMax"/>
          <c:max val="15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004032"/>
        <c:crosses val="autoZero"/>
        <c:crossBetween val="between"/>
        <c:majorUnit val="5"/>
        <c:minorUnit val="1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007289945700532"/>
          <c:y val="0.19424026346529383"/>
          <c:w val="0.33051989325426329"/>
          <c:h val="8.6720132795955279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61768</xdr:colOff>
      <xdr:row>0</xdr:row>
      <xdr:rowOff>76489</xdr:rowOff>
    </xdr:from>
    <xdr:to>
      <xdr:col>18</xdr:col>
      <xdr:colOff>56284</xdr:colOff>
      <xdr:row>26</xdr:row>
      <xdr:rowOff>38389</xdr:rowOff>
    </xdr:to>
    <xdr:graphicFrame macro="">
      <xdr:nvGraphicFramePr>
        <xdr:cNvPr id="3" name="Chart 4" descr="A chart of annual supply and use of soybean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0</xdr:row>
      <xdr:rowOff>85148</xdr:rowOff>
    </xdr:from>
    <xdr:to>
      <xdr:col>14</xdr:col>
      <xdr:colOff>350693</xdr:colOff>
      <xdr:row>26</xdr:row>
      <xdr:rowOff>47048</xdr:rowOff>
    </xdr:to>
    <xdr:graphicFrame macro="">
      <xdr:nvGraphicFramePr>
        <xdr:cNvPr id="3077" name="Chart 4" descr="A chart of daily cash prices for soybeans and soybean meal in central Illinoi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13855</xdr:colOff>
      <xdr:row>0</xdr:row>
      <xdr:rowOff>0</xdr:rowOff>
    </xdr:from>
    <xdr:to>
      <xdr:col>14</xdr:col>
      <xdr:colOff>324716</xdr:colOff>
      <xdr:row>25</xdr:row>
      <xdr:rowOff>104775</xdr:rowOff>
    </xdr:to>
    <xdr:graphicFrame macro="">
      <xdr:nvGraphicFramePr>
        <xdr:cNvPr id="4101" name="Chart 4" descr="A chart of year-to-year changes in soybean imports for China and the rest of the world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workbookViewId="0">
      <selection activeCell="A2" sqref="A2"/>
    </sheetView>
  </sheetViews>
  <sheetFormatPr defaultColWidth="9.7109375" defaultRowHeight="12.75" x14ac:dyDescent="0.2"/>
  <cols>
    <col min="1" max="1" width="64.7109375" style="30" customWidth="1"/>
    <col min="2" max="16384" width="9.7109375" style="22"/>
  </cols>
  <sheetData>
    <row r="1" spans="1:3" ht="44.25" customHeight="1" x14ac:dyDescent="0.2">
      <c r="A1" s="21"/>
    </row>
    <row r="2" spans="1:3" ht="18" x14ac:dyDescent="0.25">
      <c r="A2" s="23" t="s">
        <v>120</v>
      </c>
    </row>
    <row r="3" spans="1:3" s="25" customFormat="1" ht="11.25" x14ac:dyDescent="0.2">
      <c r="A3" s="24"/>
    </row>
    <row r="4" spans="1:3" x14ac:dyDescent="0.2">
      <c r="A4" s="26" t="s">
        <v>121</v>
      </c>
    </row>
    <row r="5" spans="1:3" x14ac:dyDescent="0.2">
      <c r="A5" s="34">
        <f ca="1">TODAY()</f>
        <v>43599</v>
      </c>
      <c r="B5" s="27"/>
    </row>
    <row r="6" spans="1:3" s="25" customFormat="1" x14ac:dyDescent="0.2">
      <c r="A6" s="24"/>
      <c r="B6" s="27"/>
      <c r="C6" s="28"/>
    </row>
    <row r="7" spans="1:3" x14ac:dyDescent="0.2">
      <c r="A7" s="33" t="s">
        <v>72</v>
      </c>
      <c r="B7" s="29"/>
      <c r="C7" s="25"/>
    </row>
    <row r="8" spans="1:3" x14ac:dyDescent="0.2">
      <c r="A8" s="33" t="s">
        <v>23</v>
      </c>
      <c r="B8" s="31"/>
    </row>
    <row r="9" spans="1:3" x14ac:dyDescent="0.2">
      <c r="A9" s="33" t="s">
        <v>25</v>
      </c>
      <c r="B9" s="31"/>
    </row>
    <row r="10" spans="1:3" x14ac:dyDescent="0.2">
      <c r="A10" s="33" t="s">
        <v>11</v>
      </c>
      <c r="B10" s="31"/>
    </row>
    <row r="11" spans="1:3" x14ac:dyDescent="0.2">
      <c r="A11" s="33" t="s">
        <v>12</v>
      </c>
      <c r="B11" s="31"/>
    </row>
    <row r="12" spans="1:3" x14ac:dyDescent="0.2">
      <c r="A12" s="33" t="s">
        <v>13</v>
      </c>
      <c r="B12" s="31"/>
    </row>
    <row r="13" spans="1:3" x14ac:dyDescent="0.2">
      <c r="A13" s="33" t="s">
        <v>14</v>
      </c>
      <c r="B13" s="31"/>
    </row>
    <row r="14" spans="1:3" x14ac:dyDescent="0.2">
      <c r="A14" s="33" t="s">
        <v>51</v>
      </c>
      <c r="B14" s="31"/>
    </row>
    <row r="15" spans="1:3" x14ac:dyDescent="0.2">
      <c r="A15" s="33" t="s">
        <v>22</v>
      </c>
      <c r="B15" s="31"/>
    </row>
    <row r="16" spans="1:3" x14ac:dyDescent="0.2">
      <c r="A16" s="33" t="s">
        <v>43</v>
      </c>
      <c r="B16" s="31"/>
    </row>
    <row r="17" spans="1:2" x14ac:dyDescent="0.2">
      <c r="A17" s="32" t="s">
        <v>122</v>
      </c>
      <c r="B17" s="31"/>
    </row>
    <row r="18" spans="1:2" x14ac:dyDescent="0.2">
      <c r="A18" s="32" t="s">
        <v>123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1"/>
  <sheetViews>
    <sheetView showGridLines="0" tabSelected="1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6" t="s">
        <v>72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4.25" x14ac:dyDescent="0.2">
      <c r="A2" s="37"/>
      <c r="B2" s="154" t="s">
        <v>27</v>
      </c>
      <c r="C2" s="148"/>
      <c r="D2" s="39" t="s">
        <v>30</v>
      </c>
      <c r="E2" s="153"/>
      <c r="F2" s="148" t="s">
        <v>91</v>
      </c>
      <c r="G2" s="148"/>
      <c r="H2" s="148"/>
      <c r="I2" s="40"/>
      <c r="J2" s="153"/>
      <c r="K2" s="148"/>
      <c r="L2" s="155" t="s">
        <v>69</v>
      </c>
      <c r="M2" s="148"/>
      <c r="N2" s="37"/>
    </row>
    <row r="3" spans="1:14" ht="14.25" x14ac:dyDescent="0.2">
      <c r="A3" s="37" t="s">
        <v>83</v>
      </c>
      <c r="B3" s="39" t="s">
        <v>28</v>
      </c>
      <c r="C3" s="37" t="s">
        <v>29</v>
      </c>
      <c r="D3" s="39"/>
      <c r="E3" s="41" t="s">
        <v>8</v>
      </c>
      <c r="F3" s="41"/>
      <c r="G3" s="41"/>
      <c r="H3" s="41"/>
      <c r="I3" s="41"/>
      <c r="J3" s="39" t="s">
        <v>71</v>
      </c>
      <c r="K3" s="41" t="s">
        <v>99</v>
      </c>
      <c r="L3" s="41"/>
      <c r="M3" s="41"/>
      <c r="N3" s="41" t="s">
        <v>6</v>
      </c>
    </row>
    <row r="4" spans="1:14" ht="14.25" x14ac:dyDescent="0.2">
      <c r="A4" s="42" t="s">
        <v>87</v>
      </c>
      <c r="B4" s="43"/>
      <c r="C4" s="43"/>
      <c r="D4" s="43"/>
      <c r="E4" s="44" t="s">
        <v>7</v>
      </c>
      <c r="F4" s="44" t="s">
        <v>1</v>
      </c>
      <c r="G4" s="45" t="s">
        <v>2</v>
      </c>
      <c r="H4" s="46" t="s">
        <v>3</v>
      </c>
      <c r="I4" s="45"/>
      <c r="J4" s="45"/>
      <c r="K4" s="45" t="s">
        <v>5</v>
      </c>
      <c r="L4" s="46" t="s">
        <v>4</v>
      </c>
      <c r="M4" s="44" t="s">
        <v>3</v>
      </c>
      <c r="N4" s="45" t="s">
        <v>7</v>
      </c>
    </row>
    <row r="5" spans="1:14" ht="14.25" x14ac:dyDescent="0.2">
      <c r="A5" s="37"/>
      <c r="B5" s="146" t="s">
        <v>92</v>
      </c>
      <c r="C5" s="147"/>
      <c r="D5" s="47" t="s">
        <v>74</v>
      </c>
      <c r="G5" s="146"/>
      <c r="I5" s="146"/>
      <c r="J5" s="152" t="s">
        <v>169</v>
      </c>
      <c r="K5" s="146"/>
      <c r="L5" s="146"/>
      <c r="M5" s="146"/>
      <c r="N5" s="146"/>
    </row>
    <row r="6" spans="1:14" ht="16.5" customHeight="1" x14ac:dyDescent="0.2">
      <c r="A6" s="37" t="s">
        <v>124</v>
      </c>
      <c r="B6" s="48">
        <v>90.162000000000006</v>
      </c>
      <c r="C6" s="48">
        <v>89.542000000000002</v>
      </c>
      <c r="D6" s="48">
        <f>+F6/C6</f>
        <v>49.268868240602174</v>
      </c>
      <c r="E6" s="49">
        <v>301.59500000000003</v>
      </c>
      <c r="F6" s="50">
        <f>F28</f>
        <v>4411.6329999999998</v>
      </c>
      <c r="G6" s="51">
        <f>G28</f>
        <v>21.821877959229603</v>
      </c>
      <c r="H6" s="51">
        <f>SUM(E6:G6)</f>
        <v>4735.0498779592299</v>
      </c>
      <c r="I6" s="37"/>
      <c r="J6" s="50">
        <f>J28</f>
        <v>2054.9319999999998</v>
      </c>
      <c r="K6" s="50">
        <f>M6-J6-L6</f>
        <v>112.91233346246372</v>
      </c>
      <c r="L6" s="51">
        <f>L28</f>
        <v>2129.1005444967659</v>
      </c>
      <c r="M6" s="51">
        <f>+H6-N6</f>
        <v>4296.9448779592294</v>
      </c>
      <c r="N6" s="51">
        <f>N27</f>
        <v>438.10500000000002</v>
      </c>
    </row>
    <row r="7" spans="1:14" ht="16.5" customHeight="1" x14ac:dyDescent="0.2">
      <c r="A7" s="37" t="s">
        <v>163</v>
      </c>
      <c r="B7" s="48">
        <v>89.195999999999998</v>
      </c>
      <c r="C7" s="48">
        <v>88.11</v>
      </c>
      <c r="D7" s="48">
        <f>+F7/C7</f>
        <v>51.570570877312448</v>
      </c>
      <c r="E7" s="49">
        <f>N6</f>
        <v>438.10500000000002</v>
      </c>
      <c r="F7" s="50">
        <f>F40</f>
        <v>4543.8829999999998</v>
      </c>
      <c r="G7" s="51">
        <v>17</v>
      </c>
      <c r="H7" s="51">
        <f>SUM(E7:G7)</f>
        <v>4998.9879999999994</v>
      </c>
      <c r="I7" s="37"/>
      <c r="J7" s="50">
        <v>2100</v>
      </c>
      <c r="K7" s="50">
        <f>M7-J7-L7</f>
        <v>128.98799999999937</v>
      </c>
      <c r="L7" s="51">
        <v>1775</v>
      </c>
      <c r="M7" s="51">
        <f>+H7-N7</f>
        <v>4003.9879999999994</v>
      </c>
      <c r="N7" s="51">
        <v>995</v>
      </c>
    </row>
    <row r="8" spans="1:14" ht="16.5" customHeight="1" x14ac:dyDescent="0.2">
      <c r="A8" s="37" t="s">
        <v>172</v>
      </c>
      <c r="B8" s="48">
        <v>84.617000000000004</v>
      </c>
      <c r="C8" s="48">
        <v>83.9</v>
      </c>
      <c r="D8" s="48">
        <f>+F8/C8</f>
        <v>49.463647199046484</v>
      </c>
      <c r="E8" s="49">
        <f>N7</f>
        <v>995</v>
      </c>
      <c r="F8" s="50">
        <v>4150</v>
      </c>
      <c r="G8" s="51">
        <v>20</v>
      </c>
      <c r="H8" s="51">
        <f>SUM(E8:G8)</f>
        <v>5165</v>
      </c>
      <c r="I8" s="37"/>
      <c r="J8" s="50">
        <v>2115</v>
      </c>
      <c r="K8" s="50">
        <f>M8-J8-L8</f>
        <v>130</v>
      </c>
      <c r="L8" s="51">
        <v>1950</v>
      </c>
      <c r="M8" s="51">
        <f>+H8-N8</f>
        <v>4195</v>
      </c>
      <c r="N8" s="51">
        <v>970</v>
      </c>
    </row>
    <row r="9" spans="1:14" ht="16.5" customHeight="1" x14ac:dyDescent="0.2">
      <c r="A9" s="40"/>
      <c r="B9" s="40"/>
      <c r="C9" s="40"/>
      <c r="D9" s="40"/>
      <c r="E9" s="53"/>
      <c r="F9" s="53"/>
      <c r="G9" s="54"/>
      <c r="H9" s="53"/>
      <c r="I9" s="53"/>
      <c r="J9" s="54"/>
      <c r="K9" s="54"/>
      <c r="L9" s="54"/>
      <c r="M9" s="54"/>
      <c r="N9" s="55"/>
    </row>
    <row r="10" spans="1:14" ht="16.5" customHeight="1" x14ac:dyDescent="0.2">
      <c r="A10" s="40" t="s">
        <v>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54"/>
      <c r="N10" s="79"/>
    </row>
    <row r="11" spans="1:14" ht="16.5" customHeight="1" x14ac:dyDescent="0.2">
      <c r="A11" s="37" t="s">
        <v>119</v>
      </c>
      <c r="B11" s="40"/>
      <c r="C11" s="40"/>
      <c r="D11" s="40"/>
      <c r="E11" s="55"/>
      <c r="F11" s="57"/>
      <c r="G11" s="58"/>
      <c r="H11" s="59"/>
      <c r="I11" s="59"/>
      <c r="J11" s="59"/>
      <c r="K11" s="60"/>
      <c r="L11" s="58"/>
      <c r="M11" s="58"/>
      <c r="N11" s="61"/>
    </row>
    <row r="12" spans="1:14" ht="16.5" customHeight="1" x14ac:dyDescent="0.2">
      <c r="A12" s="37" t="s">
        <v>102</v>
      </c>
      <c r="B12" s="40"/>
      <c r="C12" s="40"/>
      <c r="D12" s="40"/>
      <c r="E12" s="55"/>
      <c r="F12" s="62"/>
      <c r="G12" s="58">
        <f>(1.397845+28.520061+6.869446)*2.204622/60</f>
        <v>1.3517034256823999</v>
      </c>
      <c r="H12" s="59"/>
      <c r="I12" s="59"/>
      <c r="J12" s="59">
        <f>4.361207*2000/60</f>
        <v>145.37356666666668</v>
      </c>
      <c r="K12" s="63"/>
      <c r="L12" s="58">
        <f>(42.579358+4422.864)*2.204622/60</f>
        <v>164.07691111334458</v>
      </c>
      <c r="M12" s="58"/>
      <c r="N12" s="59"/>
    </row>
    <row r="13" spans="1:14" ht="16.5" customHeight="1" x14ac:dyDescent="0.2">
      <c r="A13" s="40" t="s">
        <v>108</v>
      </c>
      <c r="B13" s="40"/>
      <c r="C13" s="40"/>
      <c r="D13" s="40"/>
      <c r="E13" s="55"/>
      <c r="F13" s="57"/>
      <c r="G13" s="58">
        <f>(4.792131+65.902561+6.64419)*2.204622/60</f>
        <v>2.8417166785434</v>
      </c>
      <c r="H13" s="59"/>
      <c r="I13" s="59"/>
      <c r="J13" s="59">
        <f>5.277397*2000/60</f>
        <v>175.91323333333332</v>
      </c>
      <c r="K13" s="60"/>
      <c r="L13" s="58">
        <f>(65.402074+9580.077)*2.204622/60</f>
        <v>354.41058945133381</v>
      </c>
      <c r="M13" s="57"/>
      <c r="N13" s="61"/>
    </row>
    <row r="14" spans="1:14" ht="16.5" customHeight="1" x14ac:dyDescent="0.2">
      <c r="A14" s="40" t="s">
        <v>110</v>
      </c>
      <c r="B14" s="40"/>
      <c r="C14" s="40"/>
      <c r="D14" s="40"/>
      <c r="E14" s="55"/>
      <c r="F14" s="57"/>
      <c r="G14" s="58">
        <f>(14.834995+18.210518+5.828672)*2.204622/60</f>
        <v>1.4283813913845</v>
      </c>
      <c r="H14" s="59"/>
      <c r="I14" s="59"/>
      <c r="J14" s="59">
        <f>5.200462*2000/60</f>
        <v>173.34873333333331</v>
      </c>
      <c r="K14" s="60"/>
      <c r="L14" s="58">
        <f>(75.780013+9113.39)*2.204622/60</f>
        <v>337.64410620666808</v>
      </c>
      <c r="M14" s="57"/>
      <c r="N14" s="61"/>
    </row>
    <row r="15" spans="1:14" ht="16.5" customHeight="1" x14ac:dyDescent="0.2">
      <c r="A15" s="40" t="s">
        <v>79</v>
      </c>
      <c r="B15" s="40"/>
      <c r="C15" s="40"/>
      <c r="D15" s="40"/>
      <c r="E15" s="55">
        <v>301.59500000000003</v>
      </c>
      <c r="F15" s="57">
        <f>4411.633</f>
        <v>4411.6329999999998</v>
      </c>
      <c r="G15" s="58">
        <f>G12+G13+G14</f>
        <v>5.6218014956103</v>
      </c>
      <c r="H15" s="59">
        <f>SUM(E15:G15)</f>
        <v>4718.8498014956103</v>
      </c>
      <c r="I15" s="59"/>
      <c r="J15" s="59">
        <f>J12+J13+J14</f>
        <v>494.63553333333329</v>
      </c>
      <c r="K15" s="60">
        <f>M15-L15-J15</f>
        <v>207.40366139093049</v>
      </c>
      <c r="L15" s="58">
        <f>L12+L13+L14</f>
        <v>856.13160677134647</v>
      </c>
      <c r="M15" s="58">
        <f>H15-N15</f>
        <v>1558.1708014956102</v>
      </c>
      <c r="N15" s="59">
        <v>3160.6790000000001</v>
      </c>
    </row>
    <row r="16" spans="1:14" ht="16.5" customHeight="1" x14ac:dyDescent="0.2">
      <c r="A16" s="37" t="s">
        <v>111</v>
      </c>
      <c r="B16" s="40"/>
      <c r="C16" s="40"/>
      <c r="D16" s="40"/>
      <c r="E16" s="55"/>
      <c r="F16" s="57"/>
      <c r="G16" s="58">
        <f>(2.700212+43.931585+16.786283)*2.204622/60</f>
        <v>2.3302149060960002</v>
      </c>
      <c r="H16" s="59"/>
      <c r="I16" s="59"/>
      <c r="J16" s="59">
        <f>5.290215*2000/60</f>
        <v>176.34049999999999</v>
      </c>
      <c r="K16" s="60"/>
      <c r="L16" s="58">
        <f>(67.748059+6154.493)*2.204622/60</f>
        <v>228.6281587995783</v>
      </c>
      <c r="M16" s="58"/>
      <c r="N16" s="61"/>
    </row>
    <row r="17" spans="1:15" ht="16.5" customHeight="1" x14ac:dyDescent="0.2">
      <c r="A17" s="37" t="s">
        <v>112</v>
      </c>
      <c r="B17" s="40"/>
      <c r="C17" s="40"/>
      <c r="D17" s="40"/>
      <c r="E17" s="55"/>
      <c r="F17" s="57"/>
      <c r="G17" s="58">
        <f>(1.972522+31.466905+6.367872)*2.204622/60</f>
        <v>1.4626674522662999</v>
      </c>
      <c r="H17" s="59"/>
      <c r="I17" s="59"/>
      <c r="J17" s="59">
        <f>5.239827*2000/60</f>
        <v>174.6609</v>
      </c>
      <c r="K17" s="58"/>
      <c r="L17" s="58">
        <f>(51.851798+5711.005)*2.204622/60</f>
        <v>211.7486813286726</v>
      </c>
      <c r="M17" s="57"/>
      <c r="N17" s="61"/>
    </row>
    <row r="18" spans="1:15" ht="16.5" customHeight="1" x14ac:dyDescent="0.2">
      <c r="A18" s="37" t="s">
        <v>113</v>
      </c>
      <c r="B18" s="40"/>
      <c r="C18" s="40"/>
      <c r="D18" s="40"/>
      <c r="E18" s="55"/>
      <c r="F18" s="57"/>
      <c r="G18" s="58">
        <f>(2.319904+15.767762+14.02578)*2.204622/60</f>
        <v>1.1799668257901998</v>
      </c>
      <c r="H18" s="59"/>
      <c r="I18" s="59"/>
      <c r="J18" s="59">
        <f>4.948772*2000/60</f>
        <v>164.95906666666667</v>
      </c>
      <c r="K18" s="58"/>
      <c r="L18" s="58">
        <f>(68.682966+4144.142)*2.204622/60</f>
        <v>154.79477670321421</v>
      </c>
      <c r="M18" s="57"/>
      <c r="N18" s="61"/>
    </row>
    <row r="19" spans="1:15" ht="16.5" customHeight="1" x14ac:dyDescent="0.2">
      <c r="A19" s="37" t="s">
        <v>80</v>
      </c>
      <c r="B19" s="40"/>
      <c r="C19" s="40"/>
      <c r="D19" s="40"/>
      <c r="E19" s="55">
        <f>N15</f>
        <v>3160.6790000000001</v>
      </c>
      <c r="F19" s="62"/>
      <c r="G19" s="58">
        <f>SUM(G16:G18)</f>
        <v>4.9728491841525004</v>
      </c>
      <c r="H19" s="59">
        <f>E19+F19+G19</f>
        <v>3165.6518491841525</v>
      </c>
      <c r="I19" s="59"/>
      <c r="J19" s="59">
        <f>SUM(J16:J18)</f>
        <v>515.96046666666666</v>
      </c>
      <c r="K19" s="63">
        <f>M19-L19-J19</f>
        <v>-54.783234313979165</v>
      </c>
      <c r="L19" s="58">
        <f>SUM(L16:L18)</f>
        <v>595.17161683146514</v>
      </c>
      <c r="M19" s="58">
        <f>H19-N19</f>
        <v>1056.3488491841526</v>
      </c>
      <c r="N19" s="59">
        <v>2109.3029999999999</v>
      </c>
    </row>
    <row r="20" spans="1:15" ht="16.5" customHeight="1" x14ac:dyDescent="0.2">
      <c r="A20" s="37" t="s">
        <v>114</v>
      </c>
      <c r="B20" s="40"/>
      <c r="C20" s="40"/>
      <c r="D20" s="40"/>
      <c r="E20" s="55"/>
      <c r="F20" s="62"/>
      <c r="G20" s="58">
        <f>(15.718589+36.223498+6.168282)*2.204622/60</f>
        <v>2.1351899654252997</v>
      </c>
      <c r="H20" s="59"/>
      <c r="I20" s="59"/>
      <c r="J20" s="59">
        <f>5.46524*2000/60</f>
        <v>182.17466666666667</v>
      </c>
      <c r="K20" s="63"/>
      <c r="L20" s="58">
        <f>(72.280867+3166.287)*2.204622/60</f>
        <v>118.9969661346879</v>
      </c>
      <c r="M20" s="58"/>
      <c r="N20" s="59"/>
    </row>
    <row r="21" spans="1:15" ht="16.5" customHeight="1" x14ac:dyDescent="0.2">
      <c r="A21" s="37" t="s">
        <v>115</v>
      </c>
      <c r="B21" s="40"/>
      <c r="C21" s="40"/>
      <c r="D21" s="40"/>
      <c r="E21" s="55"/>
      <c r="F21" s="62"/>
      <c r="G21" s="58">
        <f>(9.603402+38.602173+17.683985)*2.204622/60</f>
        <v>2.4210262257720006</v>
      </c>
      <c r="H21" s="59"/>
      <c r="I21" s="59"/>
      <c r="J21" s="59">
        <f>5.149147*2000/60</f>
        <v>171.63823333333332</v>
      </c>
      <c r="K21" s="63"/>
      <c r="L21" s="58">
        <f>(56.404038+2110.962)*2.204622/60</f>
        <v>79.637047490460603</v>
      </c>
      <c r="M21" s="58"/>
      <c r="N21" s="59"/>
    </row>
    <row r="22" spans="1:15" ht="16.5" customHeight="1" x14ac:dyDescent="0.2">
      <c r="A22" s="37" t="s">
        <v>116</v>
      </c>
      <c r="B22" s="40"/>
      <c r="C22" s="40"/>
      <c r="D22" s="40"/>
      <c r="E22" s="55"/>
      <c r="F22" s="62"/>
      <c r="G22" s="58">
        <f>(14.93331+18.49162+17.072273)*2.204622/60</f>
        <v>1.8554540778711002</v>
      </c>
      <c r="H22" s="59"/>
      <c r="I22" s="59"/>
      <c r="J22" s="59">
        <f>5.17404*2000/60</f>
        <v>172.46799999999999</v>
      </c>
      <c r="K22" s="63"/>
      <c r="L22" s="58">
        <f>(50.72778+2940.067)*2.204622/60</f>
        <v>109.892866157886</v>
      </c>
      <c r="M22" s="58"/>
      <c r="N22" s="59"/>
    </row>
    <row r="23" spans="1:15" ht="16.5" customHeight="1" x14ac:dyDescent="0.2">
      <c r="A23" s="37" t="s">
        <v>81</v>
      </c>
      <c r="B23" s="40"/>
      <c r="C23" s="40"/>
      <c r="D23" s="40"/>
      <c r="E23" s="55">
        <f>N19</f>
        <v>2109.3029999999999</v>
      </c>
      <c r="F23" s="62"/>
      <c r="G23" s="58">
        <f>SUM(G20:G22)</f>
        <v>6.4116702690684004</v>
      </c>
      <c r="H23" s="59">
        <f>E23+F23+G23</f>
        <v>2115.7146702690684</v>
      </c>
      <c r="I23" s="59"/>
      <c r="J23" s="59">
        <f>SUM(J20:J22)</f>
        <v>526.28089999999997</v>
      </c>
      <c r="K23" s="63">
        <f>M23-L23-J23</f>
        <v>61.577890486033994</v>
      </c>
      <c r="L23" s="58">
        <f>SUM(L20:L22)</f>
        <v>308.52687978303447</v>
      </c>
      <c r="M23" s="58">
        <f>H23-N23</f>
        <v>896.38567026906844</v>
      </c>
      <c r="N23" s="59">
        <v>1219.329</v>
      </c>
      <c r="O23" s="35"/>
    </row>
    <row r="24" spans="1:15" ht="16.5" customHeight="1" x14ac:dyDescent="0.2">
      <c r="A24" s="37" t="s">
        <v>65</v>
      </c>
      <c r="B24" s="40"/>
      <c r="C24" s="40"/>
      <c r="D24" s="40"/>
      <c r="E24" s="55"/>
      <c r="F24" s="62"/>
      <c r="G24" s="58">
        <f>(15.628801+28.563775+7.569622)*2.204622/60</f>
        <v>1.9019346746526002</v>
      </c>
      <c r="H24" s="59"/>
      <c r="I24" s="59"/>
      <c r="J24" s="59">
        <f>5.086941*2000/60</f>
        <v>169.56470000000002</v>
      </c>
      <c r="K24" s="63"/>
      <c r="L24" s="58">
        <f>(51.253059+3204.53)*2.204622/60</f>
        <v>119.62951598497831</v>
      </c>
      <c r="M24" s="58"/>
      <c r="N24" s="59"/>
    </row>
    <row r="25" spans="1:15" ht="16.5" customHeight="1" x14ac:dyDescent="0.2">
      <c r="A25" s="37" t="s">
        <v>67</v>
      </c>
      <c r="B25" s="40"/>
      <c r="C25" s="40"/>
      <c r="D25" s="40"/>
      <c r="E25" s="55"/>
      <c r="F25" s="62"/>
      <c r="G25" s="58">
        <f>(6.402652+44.065496+8.381982)*2.204622/60</f>
        <v>2.1623715216810004</v>
      </c>
      <c r="H25" s="59"/>
      <c r="I25" s="59"/>
      <c r="J25" s="59">
        <f>5.365828*2000/60</f>
        <v>178.86093333333332</v>
      </c>
      <c r="K25" s="63"/>
      <c r="L25" s="58">
        <f>(68.729166+3357.876)*2.204622/60</f>
        <v>125.90615223795422</v>
      </c>
      <c r="M25" s="58"/>
      <c r="N25" s="59"/>
    </row>
    <row r="26" spans="1:15" ht="16.5" customHeight="1" x14ac:dyDescent="0.2">
      <c r="A26" s="37" t="s">
        <v>68</v>
      </c>
      <c r="B26" s="40"/>
      <c r="C26" s="40"/>
      <c r="D26" s="40"/>
      <c r="E26" s="55"/>
      <c r="F26" s="62"/>
      <c r="G26" s="58">
        <f>(2.00037+12.691678+5.753656)*2.204622/60</f>
        <v>0.75125081406479999</v>
      </c>
      <c r="H26" s="59"/>
      <c r="I26" s="59"/>
      <c r="J26" s="59">
        <f>5.088884*2000/60</f>
        <v>169.62946666666667</v>
      </c>
      <c r="K26" s="63"/>
      <c r="L26" s="58">
        <f>(72.994883+3294.515)*2.204622/60</f>
        <v>123.73477288798709</v>
      </c>
      <c r="M26" s="58"/>
      <c r="N26" s="59"/>
    </row>
    <row r="27" spans="1:15" ht="16.5" customHeight="1" x14ac:dyDescent="0.2">
      <c r="A27" s="64" t="s">
        <v>82</v>
      </c>
      <c r="B27" s="40"/>
      <c r="C27" s="40"/>
      <c r="D27" s="40"/>
      <c r="E27" s="55">
        <f>N23</f>
        <v>1219.329</v>
      </c>
      <c r="F27" s="62"/>
      <c r="G27" s="58">
        <f>SUM(G24:G26)</f>
        <v>4.8155570103984005</v>
      </c>
      <c r="H27" s="59">
        <f>SUM(E27:G27)</f>
        <v>1224.1445570103983</v>
      </c>
      <c r="I27" s="59"/>
      <c r="J27" s="59">
        <f>SUM(J24:J26)</f>
        <v>518.05510000000004</v>
      </c>
      <c r="K27" s="63">
        <f>M27-L27-J27</f>
        <v>-101.28598410052138</v>
      </c>
      <c r="L27" s="58">
        <f>SUM(L24:L26)</f>
        <v>369.27044111091965</v>
      </c>
      <c r="M27" s="58">
        <f>+H27-N27</f>
        <v>786.03955701039831</v>
      </c>
      <c r="N27" s="59">
        <v>438.10500000000002</v>
      </c>
    </row>
    <row r="28" spans="1:15" ht="16.5" customHeight="1" x14ac:dyDescent="0.2">
      <c r="A28" s="37" t="s">
        <v>38</v>
      </c>
      <c r="B28" s="40"/>
      <c r="C28" s="40"/>
      <c r="D28" s="40"/>
      <c r="E28" s="55"/>
      <c r="F28" s="62">
        <f>F15+F19+F23+F27</f>
        <v>4411.6329999999998</v>
      </c>
      <c r="G28" s="58">
        <f>G15+G19+G23+G27</f>
        <v>21.821877959229603</v>
      </c>
      <c r="H28" s="59">
        <f>E15+F28+G28</f>
        <v>4735.0498779592299</v>
      </c>
      <c r="I28" s="59"/>
      <c r="J28" s="59">
        <f>J15+J19+J23+J27</f>
        <v>2054.9319999999998</v>
      </c>
      <c r="K28" s="63">
        <f>K15+K19+K23+K27</f>
        <v>112.91233346246395</v>
      </c>
      <c r="L28" s="58">
        <f>L15+L19+L23+L27</f>
        <v>2129.1005444967659</v>
      </c>
      <c r="M28" s="58">
        <f>M15+M19+M23+M27</f>
        <v>4296.9448779592294</v>
      </c>
      <c r="N28" s="59"/>
    </row>
    <row r="29" spans="1:15" ht="16.5" customHeight="1" x14ac:dyDescent="0.2">
      <c r="A29" s="40"/>
      <c r="B29" s="40"/>
      <c r="C29" s="40"/>
      <c r="D29" s="40"/>
      <c r="E29" s="55"/>
      <c r="F29" s="57"/>
      <c r="G29" s="58"/>
      <c r="H29" s="59"/>
      <c r="I29" s="59"/>
      <c r="J29" s="59"/>
      <c r="K29" s="60"/>
      <c r="L29" s="58"/>
      <c r="M29" s="58"/>
      <c r="N29" s="61"/>
    </row>
    <row r="30" spans="1:15" ht="16.5" customHeight="1" x14ac:dyDescent="0.2">
      <c r="A30" s="37" t="s">
        <v>164</v>
      </c>
      <c r="B30" s="40"/>
      <c r="C30" s="40"/>
      <c r="D30" s="40"/>
      <c r="E30" s="55"/>
      <c r="F30" s="57"/>
      <c r="G30" s="58"/>
      <c r="H30" s="59"/>
      <c r="I30" s="59"/>
      <c r="J30" s="59"/>
      <c r="K30" s="60"/>
      <c r="L30" s="58"/>
      <c r="M30" s="58"/>
      <c r="N30" s="61"/>
    </row>
    <row r="31" spans="1:15" ht="16.5" customHeight="1" x14ac:dyDescent="0.2">
      <c r="A31" s="40" t="s">
        <v>102</v>
      </c>
      <c r="B31" s="40"/>
      <c r="C31" s="40"/>
      <c r="D31" s="40"/>
      <c r="F31" s="57"/>
      <c r="G31" s="58">
        <f>(2.812927+19.605446+5.607091)*2.204622/60</f>
        <v>1.0297592415768002</v>
      </c>
      <c r="H31" s="59"/>
      <c r="I31" s="59"/>
      <c r="J31" s="59">
        <f>5.08948*2000/60</f>
        <v>169.64933333333332</v>
      </c>
      <c r="K31" s="60"/>
      <c r="L31" s="58">
        <f>(121.841427+3115.468)*2.204622/60</f>
        <v>118.95072639285989</v>
      </c>
      <c r="M31" s="58"/>
      <c r="N31" s="61"/>
    </row>
    <row r="32" spans="1:15" ht="16.5" customHeight="1" x14ac:dyDescent="0.2">
      <c r="A32" s="40" t="s">
        <v>108</v>
      </c>
      <c r="B32" s="40"/>
      <c r="C32" s="40"/>
      <c r="D32" s="40"/>
      <c r="E32" s="55"/>
      <c r="F32" s="57"/>
      <c r="G32" s="58">
        <f>(3.320708+14.646657+3.156093)*2.204622/60</f>
        <v>0.77615400371459997</v>
      </c>
      <c r="H32" s="59"/>
      <c r="I32" s="59"/>
      <c r="J32" s="59">
        <f>5.506753*2000/60</f>
        <v>183.55843333333331</v>
      </c>
      <c r="K32" s="60"/>
      <c r="L32" s="58">
        <f>(126.144882+5454.001)*2.204622/60</f>
        <v>205.0352062444434</v>
      </c>
      <c r="M32" s="58"/>
      <c r="N32" s="61"/>
    </row>
    <row r="33" spans="1:73" ht="16.5" customHeight="1" x14ac:dyDescent="0.2">
      <c r="A33" s="40" t="s">
        <v>110</v>
      </c>
      <c r="B33" s="140"/>
      <c r="C33" s="140"/>
      <c r="D33" s="140"/>
      <c r="E33" s="140"/>
      <c r="F33" s="140"/>
      <c r="G33" s="58">
        <f>(1.859304+43.030142+5.079898)*2.204622/60</f>
        <v>1.8360585851328002</v>
      </c>
      <c r="H33" s="59"/>
      <c r="I33" s="140"/>
      <c r="J33" s="59">
        <f>5.343053*2000/60</f>
        <v>178.10176666666666</v>
      </c>
      <c r="K33" s="140"/>
      <c r="L33" s="58">
        <f>(168.049869+4898.87)*2.204622/60</f>
        <v>186.17738359057532</v>
      </c>
      <c r="M33" s="140"/>
      <c r="N33" s="140"/>
    </row>
    <row r="34" spans="1:73" ht="16.5" customHeight="1" x14ac:dyDescent="0.2">
      <c r="A34" s="40" t="s">
        <v>79</v>
      </c>
      <c r="B34" s="140"/>
      <c r="C34" s="140"/>
      <c r="D34" s="140"/>
      <c r="E34" s="55">
        <f>N27</f>
        <v>438.10500000000002</v>
      </c>
      <c r="F34" s="57">
        <v>4543.8829999999998</v>
      </c>
      <c r="G34" s="58">
        <f>G31+G32+G33</f>
        <v>3.6419718304242004</v>
      </c>
      <c r="H34" s="59">
        <f>SUM(E34:G34)</f>
        <v>4985.6299718304235</v>
      </c>
      <c r="I34" s="140"/>
      <c r="J34" s="59">
        <f>J31+J32+J33</f>
        <v>531.30953333333332</v>
      </c>
      <c r="K34" s="60">
        <f>M34-L34-J34</f>
        <v>198.33312226921157</v>
      </c>
      <c r="L34" s="58">
        <f>L31+L32+L33</f>
        <v>510.16331622787857</v>
      </c>
      <c r="M34" s="58">
        <f>H34-N34</f>
        <v>1239.8059718304235</v>
      </c>
      <c r="N34" s="59">
        <v>3745.8240000000001</v>
      </c>
    </row>
    <row r="35" spans="1:73" ht="16.5" customHeight="1" x14ac:dyDescent="0.2">
      <c r="A35" s="37" t="s">
        <v>111</v>
      </c>
      <c r="B35" s="140"/>
      <c r="C35" s="140"/>
      <c r="D35" s="140"/>
      <c r="E35" s="55"/>
      <c r="F35" s="57"/>
      <c r="G35" s="58">
        <f>(0.250128+23.870515+6.809791)*2.204622/60</f>
        <v>1.1364985877658</v>
      </c>
      <c r="H35" s="59"/>
      <c r="I35" s="140"/>
      <c r="J35" s="59">
        <f>5.513266*2000/60</f>
        <v>183.77553333333333</v>
      </c>
      <c r="K35" s="140"/>
      <c r="L35" s="58">
        <f>(150.265459+3955.556)*2.204622/60</f>
        <v>150.86307194305832</v>
      </c>
      <c r="M35" s="140"/>
      <c r="N35" s="140"/>
    </row>
    <row r="36" spans="1:73" ht="16.5" customHeight="1" x14ac:dyDescent="0.2">
      <c r="A36" s="37" t="s">
        <v>112</v>
      </c>
      <c r="B36" s="140"/>
      <c r="C36" s="140"/>
      <c r="D36" s="140"/>
      <c r="E36" s="55"/>
      <c r="F36" s="57"/>
      <c r="G36" s="58">
        <f>(1.028736+20.235107+6.406535)*2.204622/60</f>
        <v>1.0167120681185999</v>
      </c>
      <c r="H36" s="59"/>
      <c r="I36" s="140"/>
      <c r="J36" s="59">
        <f>5.492127*2000/60</f>
        <v>183.07090000000002</v>
      </c>
      <c r="K36" s="140"/>
      <c r="L36" s="58">
        <f>(84.586634+4743.657)*2.204622/60</f>
        <v>177.40753561460582</v>
      </c>
      <c r="M36" s="140"/>
      <c r="N36" s="140"/>
    </row>
    <row r="37" spans="1:73" ht="16.5" customHeight="1" x14ac:dyDescent="0.2">
      <c r="A37" s="37" t="s">
        <v>113</v>
      </c>
      <c r="B37" s="140"/>
      <c r="C37" s="140"/>
      <c r="D37" s="140"/>
      <c r="E37" s="55"/>
      <c r="F37" s="57"/>
      <c r="G37" s="58">
        <f>(0.546152+34.232142+5.00264)*2.204622/60</f>
        <v>1.4616987046158001</v>
      </c>
      <c r="H37" s="59"/>
      <c r="I37" s="140"/>
      <c r="J37" s="59">
        <f>4.883434*2000/60</f>
        <v>162.78113333333334</v>
      </c>
      <c r="K37" s="140"/>
      <c r="L37" s="58">
        <f>(56.036225+4521.322)*2.204622/60</f>
        <v>168.18907741193249</v>
      </c>
      <c r="M37" s="140"/>
      <c r="N37" s="140"/>
    </row>
    <row r="38" spans="1:73" ht="16.5" customHeight="1" x14ac:dyDescent="0.2">
      <c r="A38" s="37" t="s">
        <v>80</v>
      </c>
      <c r="B38" s="140"/>
      <c r="C38" s="140"/>
      <c r="D38" s="140"/>
      <c r="E38" s="55">
        <f>N34</f>
        <v>3745.8240000000001</v>
      </c>
      <c r="F38" s="57"/>
      <c r="G38" s="58">
        <f>SUM(G35:G37)</f>
        <v>3.6149093605001998</v>
      </c>
      <c r="H38" s="59">
        <f>E38+F38+G38</f>
        <v>3749.4389093605005</v>
      </c>
      <c r="I38" s="140"/>
      <c r="J38" s="59">
        <f>SUM(J35:J37)</f>
        <v>529.62756666666678</v>
      </c>
      <c r="K38" s="60">
        <f>M38-L38-J38</f>
        <v>7.7996577242370222</v>
      </c>
      <c r="L38" s="58">
        <f>SUM(L35:L37)</f>
        <v>496.45968496959659</v>
      </c>
      <c r="M38" s="58">
        <f>H38-N38</f>
        <v>1033.8869093605003</v>
      </c>
      <c r="N38" s="59">
        <v>2715.5520000000001</v>
      </c>
    </row>
    <row r="39" spans="1:73" ht="16.5" customHeight="1" x14ac:dyDescent="0.2">
      <c r="A39" s="37" t="s">
        <v>114</v>
      </c>
      <c r="B39" s="140"/>
      <c r="C39" s="140"/>
      <c r="D39" s="140"/>
      <c r="E39" s="55"/>
      <c r="F39" s="57"/>
      <c r="G39" s="58">
        <f>(6.492695+27.784641+6.321608)*2.204622/60</f>
        <v>1.4917554186527999</v>
      </c>
      <c r="H39" s="59"/>
      <c r="I39" s="140"/>
      <c r="J39" s="59">
        <f>5.383008*2000/60</f>
        <v>179.43359999999998</v>
      </c>
      <c r="K39" s="140"/>
      <c r="L39" s="58">
        <f>(73.557782+3632.974)*2.204622/60</f>
        <v>136.19169183827341</v>
      </c>
      <c r="M39" s="140"/>
      <c r="N39" s="140"/>
    </row>
    <row r="40" spans="1:73" ht="16.5" customHeight="1" x14ac:dyDescent="0.2">
      <c r="A40" s="36" t="s">
        <v>165</v>
      </c>
      <c r="B40" s="133"/>
      <c r="C40" s="133"/>
      <c r="D40" s="133"/>
      <c r="E40" s="133"/>
      <c r="F40" s="149">
        <f>F34</f>
        <v>4543.8829999999998</v>
      </c>
      <c r="G40" s="65">
        <f>G34+G38+G39</f>
        <v>8.7486366095772006</v>
      </c>
      <c r="H40" s="133"/>
      <c r="I40" s="133"/>
      <c r="J40" s="135">
        <f>J34+J38+J39</f>
        <v>1240.3707000000002</v>
      </c>
      <c r="K40" s="133"/>
      <c r="L40" s="65">
        <f>L34+L38+L39</f>
        <v>1142.8146930357484</v>
      </c>
      <c r="M40" s="65">
        <f>M34+M38</f>
        <v>2273.6928811909238</v>
      </c>
      <c r="N40" s="133"/>
    </row>
    <row r="41" spans="1:73" ht="16.5" customHeight="1" x14ac:dyDescent="0.2">
      <c r="A41" s="66" t="s">
        <v>168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67"/>
      <c r="M41" s="40"/>
      <c r="N41" s="40"/>
    </row>
    <row r="42" spans="1:73" ht="16.5" customHeight="1" x14ac:dyDescent="0.2">
      <c r="A42" s="37" t="s">
        <v>125</v>
      </c>
      <c r="B42" s="37"/>
      <c r="C42" s="37"/>
      <c r="D42" s="37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73" ht="16.5" customHeight="1" x14ac:dyDescent="0.2">
      <c r="A43" s="69" t="s">
        <v>77</v>
      </c>
      <c r="B43" s="37"/>
      <c r="C43" s="37"/>
      <c r="D43" s="3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ht="16.5" customHeight="1" x14ac:dyDescent="0.2">
      <c r="A44" s="37" t="s">
        <v>26</v>
      </c>
      <c r="B44" s="70">
        <f ca="1">NOW()</f>
        <v>43599.371933449074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F48" s="15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23 K19 K15 K6 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1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14.25" x14ac:dyDescent="0.2">
      <c r="A2" s="37"/>
      <c r="B2" s="162" t="s">
        <v>0</v>
      </c>
      <c r="C2" s="162"/>
      <c r="D2" s="162"/>
      <c r="E2" s="162"/>
      <c r="F2" s="40"/>
      <c r="G2" s="162" t="s">
        <v>24</v>
      </c>
      <c r="H2" s="162"/>
      <c r="I2" s="162"/>
      <c r="J2" s="37"/>
    </row>
    <row r="3" spans="1:12" ht="14.25" x14ac:dyDescent="0.2">
      <c r="A3" s="37" t="s">
        <v>83</v>
      </c>
      <c r="B3" s="39" t="s">
        <v>8</v>
      </c>
      <c r="C3" s="41"/>
      <c r="D3" s="41"/>
      <c r="E3" s="41"/>
      <c r="F3" s="41"/>
      <c r="G3" s="41"/>
      <c r="H3" s="41"/>
      <c r="I3" s="41"/>
      <c r="J3" s="39" t="s">
        <v>34</v>
      </c>
    </row>
    <row r="4" spans="1:12" ht="14.25" x14ac:dyDescent="0.2">
      <c r="A4" s="42" t="s">
        <v>84</v>
      </c>
      <c r="B4" s="44" t="s">
        <v>33</v>
      </c>
      <c r="C4" s="44" t="s">
        <v>1</v>
      </c>
      <c r="D4" s="44" t="s">
        <v>2</v>
      </c>
      <c r="E4" s="46" t="s">
        <v>32</v>
      </c>
      <c r="F4" s="45"/>
      <c r="G4" s="44" t="s">
        <v>35</v>
      </c>
      <c r="H4" s="44" t="s">
        <v>31</v>
      </c>
      <c r="I4" s="44" t="s">
        <v>32</v>
      </c>
      <c r="J4" s="44" t="s">
        <v>95</v>
      </c>
    </row>
    <row r="5" spans="1:12" ht="14.25" x14ac:dyDescent="0.2">
      <c r="A5" s="37"/>
      <c r="B5" s="163" t="s">
        <v>103</v>
      </c>
      <c r="C5" s="163"/>
      <c r="D5" s="163"/>
      <c r="E5" s="163"/>
      <c r="F5" s="163"/>
      <c r="G5" s="163"/>
      <c r="H5" s="163"/>
      <c r="I5" s="163"/>
      <c r="J5" s="163"/>
    </row>
    <row r="6" spans="1:12" ht="16.5" x14ac:dyDescent="0.2">
      <c r="A6" s="37" t="s">
        <v>140</v>
      </c>
      <c r="B6" s="71">
        <v>400.63</v>
      </c>
      <c r="C6" s="72">
        <f>C23</f>
        <v>49225.606000000007</v>
      </c>
      <c r="D6" s="72">
        <f>D23</f>
        <v>495.14565941574295</v>
      </c>
      <c r="E6" s="72">
        <f>+B6+C6+D6</f>
        <v>50121.381659415747</v>
      </c>
      <c r="F6" s="72"/>
      <c r="G6" s="72">
        <f>+I6-H6</f>
        <v>35508.915428964567</v>
      </c>
      <c r="H6" s="72">
        <f>H23</f>
        <v>14057.042230451181</v>
      </c>
      <c r="I6" s="72">
        <f>+E6-J6</f>
        <v>49565.957659415748</v>
      </c>
      <c r="J6" s="72">
        <f>J22</f>
        <v>555.42399999999998</v>
      </c>
    </row>
    <row r="7" spans="1:12" ht="16.5" x14ac:dyDescent="0.2">
      <c r="A7" s="37" t="s">
        <v>163</v>
      </c>
      <c r="B7" s="71">
        <f>J6</f>
        <v>555.42399999999998</v>
      </c>
      <c r="C7" s="72">
        <v>49097</v>
      </c>
      <c r="D7" s="72">
        <v>500</v>
      </c>
      <c r="E7" s="72">
        <f>+B7+C7+D7</f>
        <v>50152.423999999999</v>
      </c>
      <c r="F7" s="72"/>
      <c r="G7" s="72">
        <f>+I7-H7</f>
        <v>35952.423999999999</v>
      </c>
      <c r="H7" s="72">
        <v>13750</v>
      </c>
      <c r="I7" s="72">
        <f>+E7-J7</f>
        <v>49702.423999999999</v>
      </c>
      <c r="J7" s="72">
        <v>450</v>
      </c>
    </row>
    <row r="8" spans="1:12" ht="16.5" x14ac:dyDescent="0.2">
      <c r="A8" s="37" t="s">
        <v>172</v>
      </c>
      <c r="B8" s="71">
        <f>J7</f>
        <v>450</v>
      </c>
      <c r="C8" s="72">
        <v>49800</v>
      </c>
      <c r="D8" s="72">
        <v>350</v>
      </c>
      <c r="E8" s="72">
        <f>+B8+C8+D8</f>
        <v>50600</v>
      </c>
      <c r="F8" s="72"/>
      <c r="G8" s="72">
        <f>+I8-H8</f>
        <v>36600</v>
      </c>
      <c r="H8" s="72">
        <v>13600</v>
      </c>
      <c r="I8" s="72">
        <f>+E8-J8</f>
        <v>50200</v>
      </c>
      <c r="J8" s="72">
        <v>400</v>
      </c>
    </row>
    <row r="9" spans="1:12" ht="14.25" x14ac:dyDescent="0.2">
      <c r="A9" s="37"/>
      <c r="B9" s="73"/>
      <c r="C9" s="73"/>
      <c r="D9" s="73"/>
      <c r="E9" s="73"/>
      <c r="F9" s="73"/>
      <c r="G9" s="73"/>
      <c r="H9" s="73"/>
      <c r="I9" s="73"/>
      <c r="J9" s="73"/>
    </row>
    <row r="10" spans="1:12" ht="15.75" x14ac:dyDescent="0.25">
      <c r="A10" s="37" t="s">
        <v>119</v>
      </c>
      <c r="B10" s="73"/>
      <c r="C10" s="58"/>
      <c r="D10" s="58"/>
      <c r="E10" s="58"/>
      <c r="F10" s="74"/>
      <c r="G10" s="58"/>
      <c r="H10" s="58"/>
      <c r="I10" s="58"/>
      <c r="J10" s="74"/>
      <c r="K10" s="20"/>
      <c r="L10" s="20"/>
    </row>
    <row r="11" spans="1:12" ht="15.75" x14ac:dyDescent="0.25">
      <c r="A11" s="40" t="s">
        <v>57</v>
      </c>
      <c r="B11" s="75">
        <v>400.63</v>
      </c>
      <c r="C11" s="58">
        <f>3847.77+276.055</f>
        <v>4123.8249999999998</v>
      </c>
      <c r="D11" s="58">
        <f>(22847.236+3613+112.237+227.84)*2.204622/2000</f>
        <v>29.542279823343005</v>
      </c>
      <c r="E11" s="58">
        <f t="shared" ref="E11:E16" si="0">SUM(B11:D11)</f>
        <v>4553.997279823343</v>
      </c>
      <c r="F11" s="74"/>
      <c r="G11" s="76">
        <f t="shared" ref="G11:G16" si="1">I11-H11</f>
        <v>3378.7416613199302</v>
      </c>
      <c r="H11" s="58">
        <f>((600.174309+9.196+100.005374))*(2.204622/2)</f>
        <v>781.95261850341296</v>
      </c>
      <c r="I11" s="74">
        <f>E11-J11</f>
        <v>4160.6942798233431</v>
      </c>
      <c r="J11" s="58">
        <f>350.935+42.368</f>
        <v>393.303</v>
      </c>
      <c r="K11" s="20"/>
      <c r="L11" s="20"/>
    </row>
    <row r="12" spans="1:12" ht="15.75" x14ac:dyDescent="0.25">
      <c r="A12" s="40" t="s">
        <v>58</v>
      </c>
      <c r="B12" s="75">
        <f>J11</f>
        <v>393.303</v>
      </c>
      <c r="C12" s="58">
        <f>3829.14+272.552</f>
        <v>4101.692</v>
      </c>
      <c r="D12" s="58">
        <f>(24089.253+6879+138.856+88.687)*2.204622/2000</f>
        <v>34.387469084556002</v>
      </c>
      <c r="E12" s="58">
        <f t="shared" si="0"/>
        <v>4529.3824690845559</v>
      </c>
      <c r="F12" s="74"/>
      <c r="G12" s="76">
        <f t="shared" si="1"/>
        <v>3025.7385579029396</v>
      </c>
      <c r="H12" s="58">
        <f>((805.972095+9.59+195.528161))*(2.204622/2)</f>
        <v>1114.535911181616</v>
      </c>
      <c r="I12" s="74">
        <f t="shared" ref="I12:I17" si="2">E12-J12</f>
        <v>4140.2744690845557</v>
      </c>
      <c r="J12" s="58">
        <f>354.998+34.11</f>
        <v>389.108</v>
      </c>
      <c r="K12" s="20"/>
      <c r="L12" s="20"/>
    </row>
    <row r="13" spans="1:12" ht="15.75" x14ac:dyDescent="0.25">
      <c r="A13" s="40" t="s">
        <v>59</v>
      </c>
      <c r="B13" s="75">
        <f t="shared" ref="B13:B18" si="3">J12</f>
        <v>389.108</v>
      </c>
      <c r="C13" s="58">
        <f>3904.161+268.856</f>
        <v>4173.0169999999998</v>
      </c>
      <c r="D13" s="58">
        <f>(24389.331+4562+327.365+22.939)*2.204622/2000</f>
        <v>32.299514578485002</v>
      </c>
      <c r="E13" s="58">
        <f t="shared" si="0"/>
        <v>4594.4245145784853</v>
      </c>
      <c r="F13" s="74"/>
      <c r="G13" s="76">
        <f t="shared" si="1"/>
        <v>2850.6246743459992</v>
      </c>
      <c r="H13" s="58">
        <f>((830.201079+4.499+243.868347))*(2.204622/2)</f>
        <v>1188.917840232486</v>
      </c>
      <c r="I13" s="74">
        <f t="shared" si="2"/>
        <v>4039.5425145784852</v>
      </c>
      <c r="J13" s="58">
        <f>506.203+48.679</f>
        <v>554.88199999999995</v>
      </c>
      <c r="K13" s="20"/>
      <c r="L13" s="20"/>
    </row>
    <row r="14" spans="1:12" ht="15.75" x14ac:dyDescent="0.25">
      <c r="A14" s="40" t="s">
        <v>60</v>
      </c>
      <c r="B14" s="75">
        <f t="shared" si="3"/>
        <v>554.88199999999995</v>
      </c>
      <c r="C14" s="58">
        <f>3859.849+268.466</f>
        <v>4128.3150000000005</v>
      </c>
      <c r="D14" s="58">
        <f>(36971.805+5379+529.766+155.003)*2.204622/2000</f>
        <v>47.438586611514005</v>
      </c>
      <c r="E14" s="58">
        <f t="shared" si="0"/>
        <v>4730.6355866115146</v>
      </c>
      <c r="F14" s="74"/>
      <c r="G14" s="76">
        <f t="shared" si="1"/>
        <v>3137.9027527343933</v>
      </c>
      <c r="H14" s="58">
        <f>((963.675889+8.332+100.939613))*(2.204622/2)</f>
        <v>1182.721833877122</v>
      </c>
      <c r="I14" s="74">
        <f t="shared" si="2"/>
        <v>4320.624586611515</v>
      </c>
      <c r="J14" s="58">
        <f>379.359+30.652</f>
        <v>410.01099999999997</v>
      </c>
      <c r="K14" s="20"/>
      <c r="L14" s="20"/>
    </row>
    <row r="15" spans="1:12" ht="15.75" x14ac:dyDescent="0.25">
      <c r="A15" s="40" t="s">
        <v>61</v>
      </c>
      <c r="B15" s="75">
        <f t="shared" si="3"/>
        <v>410.01099999999997</v>
      </c>
      <c r="C15" s="58">
        <f>3651.786+247.786</f>
        <v>3899.5720000000001</v>
      </c>
      <c r="D15" s="58">
        <f>(38660.509+4701+268.165+52.191)*2.204622/2000</f>
        <v>48.151000290014998</v>
      </c>
      <c r="E15" s="58">
        <f t="shared" si="0"/>
        <v>4357.7340002900155</v>
      </c>
      <c r="F15" s="74"/>
      <c r="G15" s="76">
        <f t="shared" si="1"/>
        <v>2658.6559813247736</v>
      </c>
      <c r="H15" s="58">
        <f>((928.305283+11.173+188.412139))*(2.204622/2)</f>
        <v>1243.286018965242</v>
      </c>
      <c r="I15" s="74">
        <f t="shared" si="2"/>
        <v>3901.9420002900156</v>
      </c>
      <c r="J15" s="58">
        <f>415.077+40.715</f>
        <v>455.79200000000003</v>
      </c>
      <c r="K15" s="20"/>
      <c r="L15" s="20"/>
    </row>
    <row r="16" spans="1:12" ht="15.75" x14ac:dyDescent="0.25">
      <c r="A16" s="40" t="s">
        <v>62</v>
      </c>
      <c r="B16" s="75">
        <f t="shared" si="3"/>
        <v>455.79200000000003</v>
      </c>
      <c r="C16" s="58">
        <f>4029.272+277.277</f>
        <v>4306.549</v>
      </c>
      <c r="D16" s="58">
        <f>(44293.716+6632+552.284+45.659)*2.204622/2000</f>
        <v>56.795096075949004</v>
      </c>
      <c r="E16" s="58">
        <f t="shared" si="0"/>
        <v>4819.1360960759494</v>
      </c>
      <c r="F16" s="74"/>
      <c r="G16" s="76">
        <f t="shared" si="1"/>
        <v>2938.5492005330943</v>
      </c>
      <c r="H16" s="58">
        <f>((1016.74134+8.669+186.947965))*(2.204622/2)</f>
        <v>1336.3958955428552</v>
      </c>
      <c r="I16" s="74">
        <f t="shared" si="2"/>
        <v>4274.9450960759496</v>
      </c>
      <c r="J16" s="58">
        <f>492.224+51.967</f>
        <v>544.19100000000003</v>
      </c>
      <c r="K16" s="20"/>
      <c r="L16" s="20"/>
    </row>
    <row r="17" spans="1:12" ht="15.75" x14ac:dyDescent="0.25">
      <c r="A17" s="40" t="s">
        <v>63</v>
      </c>
      <c r="B17" s="75">
        <f t="shared" si="3"/>
        <v>544.19100000000003</v>
      </c>
      <c r="C17" s="58">
        <f>3822.338+257.585</f>
        <v>4079.9230000000002</v>
      </c>
      <c r="D17" s="58">
        <f>(28045.93+7488+746.07+92.753)*2.204622/2000</f>
        <v>40.094085732182997</v>
      </c>
      <c r="E17" s="58">
        <f t="shared" ref="E17:E22" si="4">SUM(B17:D17)</f>
        <v>4664.2080857321835</v>
      </c>
      <c r="F17" s="74"/>
      <c r="G17" s="76">
        <f t="shared" ref="G17:G22" si="5">I17-H17</f>
        <v>2988.3558600621022</v>
      </c>
      <c r="H17" s="58">
        <f>((844.883785+12.285+252.977286))*(2.204622/2)</f>
        <v>1223.726225670081</v>
      </c>
      <c r="I17" s="74">
        <f t="shared" si="2"/>
        <v>4212.0820857321833</v>
      </c>
      <c r="J17" s="58">
        <f>404.468+47.658</f>
        <v>452.12600000000003</v>
      </c>
      <c r="K17" s="20"/>
      <c r="L17" s="20"/>
    </row>
    <row r="18" spans="1:12" ht="15.75" x14ac:dyDescent="0.25">
      <c r="A18" s="40" t="s">
        <v>64</v>
      </c>
      <c r="B18" s="75">
        <f t="shared" si="3"/>
        <v>452.12600000000003</v>
      </c>
      <c r="C18" s="58">
        <f>3846.687+262.574</f>
        <v>4109.2609999999995</v>
      </c>
      <c r="D18" s="58">
        <f>(30307.778+8732+999.903+277.738)*2.204622/2000</f>
        <v>44.442334455308995</v>
      </c>
      <c r="E18" s="58">
        <f t="shared" si="4"/>
        <v>4605.8293344553085</v>
      </c>
      <c r="F18" s="74"/>
      <c r="G18" s="76">
        <f t="shared" si="5"/>
        <v>2890.0305152816891</v>
      </c>
      <c r="H18" s="58">
        <f>((884.285524+14.292+265.043105))*(2.204622/2)</f>
        <v>1282.671819173619</v>
      </c>
      <c r="I18" s="74">
        <f>E18-J18</f>
        <v>4172.7023344553081</v>
      </c>
      <c r="J18" s="58">
        <f>391.812+41.315</f>
        <v>433.12700000000001</v>
      </c>
      <c r="K18" s="20"/>
      <c r="L18" s="20"/>
    </row>
    <row r="19" spans="1:12" ht="15.75" x14ac:dyDescent="0.25">
      <c r="A19" s="40" t="s">
        <v>65</v>
      </c>
      <c r="B19" s="75">
        <f>J18</f>
        <v>433.12700000000001</v>
      </c>
      <c r="C19" s="58">
        <f>3778.127+254.192</f>
        <v>4032.319</v>
      </c>
      <c r="D19" s="58">
        <f>(32240.674+5482+601.309+347.659)*2.204622/2000</f>
        <v>42.628176364662004</v>
      </c>
      <c r="E19" s="58">
        <f t="shared" si="4"/>
        <v>4508.074176364662</v>
      </c>
      <c r="F19" s="74"/>
      <c r="G19" s="76">
        <f t="shared" si="5"/>
        <v>2723.5609441495617</v>
      </c>
      <c r="H19" s="58">
        <f>((946.370149+13.178+297.795951))*(2.204622/2)</f>
        <v>1385.9842322151001</v>
      </c>
      <c r="I19" s="74">
        <f>E19-J19</f>
        <v>4109.5451763646615</v>
      </c>
      <c r="J19" s="58">
        <f>359.823+38.706</f>
        <v>398.529</v>
      </c>
      <c r="K19" s="20"/>
      <c r="L19" s="20"/>
    </row>
    <row r="20" spans="1:12" ht="15.75" x14ac:dyDescent="0.25">
      <c r="A20" s="40" t="s">
        <v>67</v>
      </c>
      <c r="B20" s="75">
        <f>J19</f>
        <v>398.529</v>
      </c>
      <c r="C20" s="58">
        <f>3979.12+265.562</f>
        <v>4244.6819999999998</v>
      </c>
      <c r="D20" s="58">
        <f>(25790.768+9506+404.699+474.826)*2.204622/2000</f>
        <v>39.877525713122992</v>
      </c>
      <c r="E20" s="58">
        <f t="shared" si="4"/>
        <v>4683.0885257131222</v>
      </c>
      <c r="F20" s="74"/>
      <c r="G20" s="76">
        <f t="shared" si="5"/>
        <v>3070.3867604815377</v>
      </c>
      <c r="H20" s="58">
        <f>((732.444464+16.308+249.39848))*(2.204622/2)</f>
        <v>1100.2727652315841</v>
      </c>
      <c r="I20" s="74">
        <f>E20-J20</f>
        <v>4170.6595257131221</v>
      </c>
      <c r="J20" s="58">
        <f>462.35+50.079</f>
        <v>512.42899999999997</v>
      </c>
      <c r="K20" s="20"/>
      <c r="L20" s="20"/>
    </row>
    <row r="21" spans="1:12" ht="15.75" x14ac:dyDescent="0.25">
      <c r="A21" s="40" t="s">
        <v>68</v>
      </c>
      <c r="B21" s="75">
        <f>J20</f>
        <v>512.42899999999997</v>
      </c>
      <c r="C21" s="58">
        <f>3771.727+259.078</f>
        <v>4030.8049999999998</v>
      </c>
      <c r="D21" s="58">
        <f>(30811.776+9784+380.962+375.799)*2.204622/2000</f>
        <v>45.583356413007003</v>
      </c>
      <c r="E21" s="58">
        <f t="shared" si="4"/>
        <v>4588.8173564130066</v>
      </c>
      <c r="F21" s="74"/>
      <c r="G21" s="76">
        <f t="shared" si="5"/>
        <v>3017.8763414954128</v>
      </c>
      <c r="H21" s="58">
        <f>((832.055025+14.522+214.727829))*(2.204622/2)</f>
        <v>1169.8880149175941</v>
      </c>
      <c r="I21" s="74">
        <f>E21-J21</f>
        <v>4187.7643564130067</v>
      </c>
      <c r="J21" s="58">
        <f>359.936+41.117</f>
        <v>401.053</v>
      </c>
      <c r="K21" s="20"/>
      <c r="L21" s="20"/>
    </row>
    <row r="22" spans="1:12" ht="15.75" x14ac:dyDescent="0.25">
      <c r="A22" s="40" t="s">
        <v>70</v>
      </c>
      <c r="B22" s="75">
        <f>J21</f>
        <v>401.053</v>
      </c>
      <c r="C22" s="58">
        <f>3740.681+254.965</f>
        <v>3995.6460000000002</v>
      </c>
      <c r="D22" s="58">
        <f>(21488.826+7910+984.314+376.087)*2.204622/2000</f>
        <v>33.906234273597001</v>
      </c>
      <c r="E22" s="58">
        <f t="shared" si="4"/>
        <v>4430.6052342735975</v>
      </c>
      <c r="F22" s="74"/>
      <c r="G22" s="76">
        <f t="shared" si="5"/>
        <v>2828.4921793331314</v>
      </c>
      <c r="H22" s="58">
        <f>((719.576313+16.362+213.602293))*(2.204622/2)</f>
        <v>1046.6890549404661</v>
      </c>
      <c r="I22" s="74">
        <f>E22-J22</f>
        <v>3875.1812342735975</v>
      </c>
      <c r="J22" s="58">
        <f>501.299+54.125</f>
        <v>555.42399999999998</v>
      </c>
      <c r="K22" s="20"/>
      <c r="L22" s="20"/>
    </row>
    <row r="23" spans="1:12" ht="15.75" x14ac:dyDescent="0.25">
      <c r="A23" s="40" t="s">
        <v>3</v>
      </c>
      <c r="B23" s="75"/>
      <c r="C23" s="58">
        <f>SUM(C11:C22)</f>
        <v>49225.606000000007</v>
      </c>
      <c r="D23" s="58">
        <f>SUM(D11:D22)</f>
        <v>495.14565941574295</v>
      </c>
      <c r="E23" s="58">
        <f>B11+C23+D23</f>
        <v>50121.381659415747</v>
      </c>
      <c r="F23" s="58"/>
      <c r="G23" s="58">
        <f>SUM(G11:G22)</f>
        <v>35508.915428964567</v>
      </c>
      <c r="H23" s="58">
        <f>SUM(H11:H22)</f>
        <v>14057.042230451181</v>
      </c>
      <c r="I23" s="58">
        <f>SUM(I11:I22)</f>
        <v>49565.957659415741</v>
      </c>
      <c r="J23" s="58"/>
      <c r="K23" s="20"/>
      <c r="L23" s="20"/>
    </row>
    <row r="24" spans="1:12" ht="14.25" x14ac:dyDescent="0.2">
      <c r="A24" s="40"/>
      <c r="B24" s="75"/>
      <c r="C24" s="58"/>
      <c r="D24" s="58"/>
      <c r="E24" s="58"/>
      <c r="F24" s="58"/>
      <c r="G24" s="58"/>
      <c r="H24" s="58"/>
      <c r="I24" s="58"/>
      <c r="J24" s="58"/>
    </row>
    <row r="25" spans="1:12" ht="15.75" x14ac:dyDescent="0.25">
      <c r="A25" s="40" t="s">
        <v>164</v>
      </c>
      <c r="B25" s="75"/>
      <c r="C25" s="58"/>
      <c r="D25" s="58"/>
      <c r="E25" s="58"/>
      <c r="F25" s="58"/>
      <c r="G25" s="58"/>
      <c r="H25" s="58"/>
      <c r="I25" s="58"/>
      <c r="J25" s="58"/>
      <c r="K25" s="20"/>
      <c r="L25" s="20"/>
    </row>
    <row r="26" spans="1:12" ht="15.75" x14ac:dyDescent="0.25">
      <c r="A26" s="40" t="s">
        <v>57</v>
      </c>
      <c r="B26" s="75">
        <f>J22</f>
        <v>555.42399999999998</v>
      </c>
      <c r="C26" s="58">
        <f>4020.038+270.986</f>
        <v>4291.0240000000003</v>
      </c>
      <c r="D26" s="58">
        <f>(38926.531+8534+588.568+342.761)*2.204622/2000</f>
        <v>53.342879588460001</v>
      </c>
      <c r="E26" s="58">
        <f>SUM(B26:D26)</f>
        <v>4899.7908795884605</v>
      </c>
      <c r="F26" s="74"/>
      <c r="G26" s="76">
        <f>I26-H26</f>
        <v>3347.2858142579053</v>
      </c>
      <c r="H26" s="58">
        <f>((777.632699+6.862+220.334306))*(2.204622/2)</f>
        <v>1107.6340653305549</v>
      </c>
      <c r="I26" s="74">
        <f>E26-J26</f>
        <v>4454.9198795884604</v>
      </c>
      <c r="J26" s="58">
        <f>399.414+45.457</f>
        <v>444.87099999999998</v>
      </c>
      <c r="K26" s="20"/>
      <c r="L26" s="20"/>
    </row>
    <row r="27" spans="1:12" ht="15.75" x14ac:dyDescent="0.25">
      <c r="A27" s="40" t="s">
        <v>58</v>
      </c>
      <c r="B27" s="75">
        <f>J26</f>
        <v>444.87099999999998</v>
      </c>
      <c r="C27" s="58">
        <f>3889.342+265.758</f>
        <v>4155.1000000000004</v>
      </c>
      <c r="D27" s="58">
        <f>(29362.973+4604+554.38+256.525)*2.204622/2000</f>
        <v>38.336037476058003</v>
      </c>
      <c r="E27" s="58">
        <f>SUM(B27:D27)</f>
        <v>4638.3070374760582</v>
      </c>
      <c r="F27" s="58"/>
      <c r="G27" s="76">
        <f>I27-H27</f>
        <v>3143.4787312929102</v>
      </c>
      <c r="H27" s="58">
        <f>((790.036891+14.219+247.510177))*(2.204622/2)</f>
        <v>1159.3733061831479</v>
      </c>
      <c r="I27" s="74">
        <f>E27-J27</f>
        <v>4302.8520374760583</v>
      </c>
      <c r="J27" s="58">
        <f>294.996+40.459</f>
        <v>335.45499999999998</v>
      </c>
      <c r="K27" s="20"/>
      <c r="L27" s="20"/>
    </row>
    <row r="28" spans="1:12" ht="15.75" x14ac:dyDescent="0.25">
      <c r="A28" s="40" t="s">
        <v>59</v>
      </c>
      <c r="B28" s="75">
        <f>J27</f>
        <v>335.45499999999998</v>
      </c>
      <c r="C28" s="58">
        <f>4016.547+279.141</f>
        <v>4295.6880000000001</v>
      </c>
      <c r="D28" s="58">
        <f>(42904.203+10294+518.4+271.062)*2.204622/2000</f>
        <v>59.511196993814998</v>
      </c>
      <c r="E28" s="58">
        <f>SUM(B28:D28)</f>
        <v>4690.6541969938153</v>
      </c>
      <c r="F28" s="58"/>
      <c r="G28" s="76">
        <f>I28-H28</f>
        <v>3062.1887004086857</v>
      </c>
      <c r="H28" s="76">
        <f>((818.494523+20.76+243.343307))*(2.204622/2)</f>
        <v>1193.35949658513</v>
      </c>
      <c r="I28" s="74">
        <f>E28-J28</f>
        <v>4255.5481969938155</v>
      </c>
      <c r="J28" s="76">
        <f>394.444+40.662</f>
        <v>435.10599999999999</v>
      </c>
      <c r="K28" s="20"/>
      <c r="L28" s="20"/>
    </row>
    <row r="29" spans="1:12" ht="15.75" x14ac:dyDescent="0.25">
      <c r="A29" s="40" t="s">
        <v>60</v>
      </c>
      <c r="B29" s="75">
        <f>J28</f>
        <v>435.10599999999999</v>
      </c>
      <c r="C29" s="58">
        <f>3988.737+280.766</f>
        <v>4269.5029999999997</v>
      </c>
      <c r="D29" s="58">
        <f>(51173.6+5010+707.464+348.119)*2.204622/2000</f>
        <v>63.095381051913002</v>
      </c>
      <c r="E29" s="58">
        <f>SUM(B29:D29)</f>
        <v>4767.7043810519126</v>
      </c>
      <c r="F29" s="58"/>
      <c r="G29" s="76">
        <f>I29-H29</f>
        <v>2820.1101323920802</v>
      </c>
      <c r="H29" s="76">
        <f>((1043.006958+38.887+304.097154))*(2.204622/2)</f>
        <v>1527.793248659832</v>
      </c>
      <c r="I29" s="74">
        <f>E29-J29</f>
        <v>4347.9033810519122</v>
      </c>
      <c r="J29" s="76">
        <f>380.224+39.577</f>
        <v>419.80099999999999</v>
      </c>
      <c r="K29" s="20"/>
      <c r="L29" s="20"/>
    </row>
    <row r="30" spans="1:12" ht="15.75" x14ac:dyDescent="0.25">
      <c r="A30" s="40" t="s">
        <v>61</v>
      </c>
      <c r="B30" s="75">
        <f>J29</f>
        <v>419.80099999999999</v>
      </c>
      <c r="C30" s="58">
        <f>3583.222+253.395</f>
        <v>3836.6170000000002</v>
      </c>
      <c r="D30" s="58">
        <f>(47749.769+5105+263.079+425.819)*2.204622/2000</f>
        <v>59.021773114437003</v>
      </c>
      <c r="E30" s="58">
        <f>SUM(B30:D30)</f>
        <v>4315.4397731144372</v>
      </c>
      <c r="F30" s="58"/>
      <c r="G30" s="76">
        <f>I30-H30</f>
        <v>2922.4511532268561</v>
      </c>
      <c r="H30" s="76">
        <f>((787.403738+7.924+200.860833))*(2.204622/2)</f>
        <v>1098.1096198875809</v>
      </c>
      <c r="I30" s="74">
        <f>E30-J30</f>
        <v>4020.5607731144373</v>
      </c>
      <c r="J30" s="76">
        <f>263.515+31.364</f>
        <v>294.87899999999996</v>
      </c>
      <c r="K30" s="20"/>
      <c r="L30" s="20"/>
    </row>
    <row r="31" spans="1:12" ht="15.75" x14ac:dyDescent="0.25">
      <c r="A31" s="40" t="s">
        <v>62</v>
      </c>
      <c r="B31" s="75">
        <f t="shared" ref="B31" si="6">J30</f>
        <v>294.87899999999996</v>
      </c>
      <c r="C31" s="58">
        <f>3926.558+274.26</f>
        <v>4200.8180000000002</v>
      </c>
      <c r="D31" s="58">
        <f>(61699.469+4364+411.923+224.341)*2.204622/2000</f>
        <v>73.523849382962993</v>
      </c>
      <c r="E31" s="58">
        <f t="shared" ref="E31" si="7">SUM(B31:D31)</f>
        <v>4569.220849382963</v>
      </c>
      <c r="F31" s="74"/>
      <c r="G31" s="76">
        <f t="shared" ref="G31" si="8">I31-H31</f>
        <v>2875.2304592468245</v>
      </c>
      <c r="H31" s="58">
        <f>((769.932135+5.972+298.109814))*(2.204622/2)</f>
        <v>1183.8973901361389</v>
      </c>
      <c r="I31" s="74">
        <f t="shared" ref="I31" si="9">E31-J31</f>
        <v>4059.1278493829632</v>
      </c>
      <c r="J31" s="58">
        <f>465.159+44.934</f>
        <v>510.09299999999996</v>
      </c>
      <c r="K31" s="20"/>
      <c r="L31" s="20"/>
    </row>
    <row r="32" spans="1:12" ht="15.75" x14ac:dyDescent="0.25">
      <c r="A32" s="36" t="s">
        <v>165</v>
      </c>
      <c r="B32" s="77"/>
      <c r="C32" s="65">
        <f>SUM(C26:C31)</f>
        <v>25048.75</v>
      </c>
      <c r="D32" s="65">
        <f>SUM(D26:D31)</f>
        <v>346.83111760764598</v>
      </c>
      <c r="E32" s="65">
        <f>B26+C32+D32</f>
        <v>25951.005117607645</v>
      </c>
      <c r="F32" s="65"/>
      <c r="G32" s="65">
        <f>SUM(G26:G31)</f>
        <v>18170.74499082526</v>
      </c>
      <c r="H32" s="65">
        <f t="shared" ref="H32:I32" si="10">SUM(H26:H31)</f>
        <v>7270.1671267823849</v>
      </c>
      <c r="I32" s="65">
        <f t="shared" si="10"/>
        <v>25440.912117607644</v>
      </c>
      <c r="J32" s="65"/>
      <c r="K32" s="20"/>
      <c r="L32" s="20"/>
    </row>
    <row r="33" spans="1:12" ht="17.25" x14ac:dyDescent="0.25">
      <c r="A33" s="78" t="s">
        <v>167</v>
      </c>
      <c r="B33" s="37"/>
      <c r="C33" s="37"/>
      <c r="D33" s="37"/>
      <c r="E33" s="37"/>
      <c r="F33" s="37"/>
      <c r="G33" s="37"/>
      <c r="H33" s="37"/>
      <c r="I33" s="37"/>
      <c r="J33" s="37"/>
      <c r="K33" s="20"/>
      <c r="L33" s="20"/>
    </row>
    <row r="34" spans="1:12" ht="15.75" x14ac:dyDescent="0.25">
      <c r="A34" s="37" t="s">
        <v>126</v>
      </c>
      <c r="B34" s="37"/>
      <c r="C34" s="37"/>
      <c r="D34" s="37"/>
      <c r="E34" s="37"/>
      <c r="F34" s="37"/>
      <c r="G34" s="37"/>
      <c r="H34" s="37"/>
      <c r="I34" s="37"/>
      <c r="J34" s="37"/>
      <c r="K34" s="20"/>
      <c r="L34" s="20"/>
    </row>
    <row r="35" spans="1:12" ht="15.75" x14ac:dyDescent="0.25">
      <c r="A35" s="37" t="s">
        <v>26</v>
      </c>
      <c r="B35" s="70">
        <f ca="1">NOW()</f>
        <v>43599.371933449074</v>
      </c>
      <c r="C35" s="57"/>
      <c r="D35" s="53"/>
      <c r="E35" s="53"/>
      <c r="F35" s="53"/>
      <c r="G35" s="53"/>
      <c r="H35" s="53"/>
      <c r="I35" s="53"/>
      <c r="J35" s="53"/>
      <c r="K35" s="20"/>
      <c r="L35" s="20"/>
    </row>
    <row r="36" spans="1:12" ht="15.75" x14ac:dyDescent="0.25">
      <c r="A36" s="1"/>
      <c r="B36" s="3"/>
      <c r="C36" s="4"/>
      <c r="D36" s="3"/>
      <c r="E36" s="3"/>
      <c r="F36" s="3"/>
      <c r="G36" s="3"/>
      <c r="H36" s="5"/>
      <c r="I36" s="3"/>
      <c r="J36" s="3"/>
      <c r="K36" s="20"/>
      <c r="L36" s="20"/>
    </row>
    <row r="37" spans="1:12" ht="15.75" x14ac:dyDescent="0.25">
      <c r="A37" s="1"/>
      <c r="B37" s="3"/>
      <c r="C37" s="3"/>
      <c r="D37" s="3"/>
      <c r="E37" s="3"/>
      <c r="F37" s="3"/>
      <c r="G37" s="3"/>
      <c r="H37" s="3"/>
      <c r="I37" s="3"/>
      <c r="J37" s="3"/>
      <c r="K37" s="20"/>
      <c r="L37" s="20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0"/>
      <c r="L38" s="20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0"/>
      <c r="L39" s="20"/>
    </row>
    <row r="40" spans="1:12" ht="15.75" x14ac:dyDescent="0.25">
      <c r="K40" s="20"/>
      <c r="L40" s="20"/>
    </row>
    <row r="41" spans="1:12" ht="15.75" x14ac:dyDescent="0.25">
      <c r="K41" s="20"/>
      <c r="L41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7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4.25" x14ac:dyDescent="0.2">
      <c r="A2" s="37"/>
      <c r="B2" s="162" t="s">
        <v>0</v>
      </c>
      <c r="C2" s="162"/>
      <c r="D2" s="162"/>
      <c r="E2" s="162"/>
      <c r="F2" s="40"/>
      <c r="G2" s="162" t="s">
        <v>24</v>
      </c>
      <c r="H2" s="162"/>
      <c r="I2" s="162"/>
      <c r="J2" s="38"/>
      <c r="K2" s="38"/>
      <c r="L2" s="37"/>
    </row>
    <row r="3" spans="1:13" ht="14.25" x14ac:dyDescent="0.2">
      <c r="A3" s="37" t="s">
        <v>83</v>
      </c>
      <c r="B3" s="39" t="s">
        <v>36</v>
      </c>
      <c r="C3" s="79" t="s">
        <v>1</v>
      </c>
      <c r="D3" s="79" t="s">
        <v>37</v>
      </c>
      <c r="E3" s="79" t="s">
        <v>32</v>
      </c>
      <c r="F3" s="79"/>
      <c r="G3" s="38" t="s">
        <v>35</v>
      </c>
      <c r="H3" s="38"/>
      <c r="I3" s="38"/>
      <c r="J3" s="79" t="s">
        <v>39</v>
      </c>
      <c r="K3" s="79" t="s">
        <v>32</v>
      </c>
      <c r="L3" s="79" t="s">
        <v>34</v>
      </c>
    </row>
    <row r="4" spans="1:13" ht="14.25" x14ac:dyDescent="0.2">
      <c r="A4" s="42" t="s">
        <v>84</v>
      </c>
      <c r="B4" s="44" t="s">
        <v>33</v>
      </c>
      <c r="C4" s="45"/>
      <c r="D4" s="45"/>
      <c r="E4" s="45"/>
      <c r="F4" s="45"/>
      <c r="G4" s="44" t="s">
        <v>3</v>
      </c>
      <c r="H4" s="44" t="s">
        <v>96</v>
      </c>
      <c r="I4" s="44" t="s">
        <v>118</v>
      </c>
      <c r="J4" s="45"/>
      <c r="K4" s="45"/>
      <c r="L4" s="79" t="s">
        <v>95</v>
      </c>
    </row>
    <row r="5" spans="1:13" ht="14.25" x14ac:dyDescent="0.2">
      <c r="A5" s="37"/>
      <c r="B5" s="164" t="s">
        <v>109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ht="14.25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16.5" x14ac:dyDescent="0.2">
      <c r="A7" s="37" t="s">
        <v>124</v>
      </c>
      <c r="B7" s="73">
        <f>B13</f>
        <v>1710.954</v>
      </c>
      <c r="C7" s="73">
        <f>C25</f>
        <v>23772.428000000004</v>
      </c>
      <c r="D7" s="73">
        <f>D25</f>
        <v>335.42550569064605</v>
      </c>
      <c r="E7" s="73">
        <f>+B7+C7+D7</f>
        <v>25818.807505690653</v>
      </c>
      <c r="F7" s="73"/>
      <c r="G7" s="73">
        <f>+K7-J7</f>
        <v>21376.264166286215</v>
      </c>
      <c r="H7" s="73">
        <f>H25</f>
        <v>7133.6900000000005</v>
      </c>
      <c r="I7" s="73">
        <f>G7-H7</f>
        <v>14242.574166286215</v>
      </c>
      <c r="J7" s="73">
        <f>J25</f>
        <v>2447.109339404436</v>
      </c>
      <c r="K7" s="73">
        <f>+E7-L7</f>
        <v>23823.373505690652</v>
      </c>
      <c r="L7" s="73">
        <f>L24</f>
        <v>1995.434</v>
      </c>
      <c r="M7" s="17"/>
    </row>
    <row r="8" spans="1:13" ht="16.5" x14ac:dyDescent="0.2">
      <c r="A8" s="37" t="s">
        <v>163</v>
      </c>
      <c r="B8" s="73">
        <f>+L7</f>
        <v>1995.434</v>
      </c>
      <c r="C8" s="73">
        <v>24570</v>
      </c>
      <c r="D8" s="73">
        <v>400</v>
      </c>
      <c r="E8" s="73">
        <f>+B8+C8+D8</f>
        <v>26965.434000000001</v>
      </c>
      <c r="F8" s="73"/>
      <c r="G8" s="73">
        <f>+K8-J8</f>
        <v>22950.434000000001</v>
      </c>
      <c r="H8" s="73">
        <v>8350</v>
      </c>
      <c r="I8" s="73">
        <f>G8-H8</f>
        <v>14600.434000000001</v>
      </c>
      <c r="J8" s="73">
        <v>2150</v>
      </c>
      <c r="K8" s="73">
        <f>+E8-L8</f>
        <v>25100.434000000001</v>
      </c>
      <c r="L8" s="73">
        <v>1865</v>
      </c>
      <c r="M8" s="17"/>
    </row>
    <row r="9" spans="1:13" ht="16.5" x14ac:dyDescent="0.2">
      <c r="A9" s="37" t="s">
        <v>172</v>
      </c>
      <c r="B9" s="73">
        <f>+L8</f>
        <v>1865</v>
      </c>
      <c r="C9" s="73">
        <v>24535</v>
      </c>
      <c r="D9" s="73">
        <v>450</v>
      </c>
      <c r="E9" s="73">
        <f>+B9+C9+D9</f>
        <v>26850</v>
      </c>
      <c r="F9" s="73"/>
      <c r="G9" s="73">
        <f>+K9-J9</f>
        <v>23600</v>
      </c>
      <c r="H9" s="73">
        <v>8700</v>
      </c>
      <c r="I9" s="73">
        <f>G9-H9</f>
        <v>14900</v>
      </c>
      <c r="J9" s="73">
        <v>1800</v>
      </c>
      <c r="K9" s="73">
        <f>+E9-L9</f>
        <v>25400</v>
      </c>
      <c r="L9" s="73">
        <v>1450</v>
      </c>
      <c r="M9" s="17"/>
    </row>
    <row r="10" spans="1:13" ht="14.25" x14ac:dyDescent="0.2">
      <c r="A10" s="37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7"/>
    </row>
    <row r="11" spans="1:13" ht="14.25" x14ac:dyDescent="0.2">
      <c r="A11" s="40"/>
      <c r="B11" s="74"/>
      <c r="C11" s="80"/>
      <c r="D11" s="74"/>
      <c r="E11" s="74"/>
      <c r="F11" s="74"/>
      <c r="G11" s="74"/>
      <c r="H11" s="74"/>
      <c r="I11" s="74"/>
      <c r="J11" s="74"/>
      <c r="K11" s="74"/>
      <c r="L11" s="74"/>
    </row>
    <row r="12" spans="1:13" ht="14.25" x14ac:dyDescent="0.2">
      <c r="A12" s="37" t="s">
        <v>119</v>
      </c>
      <c r="B12" s="73"/>
      <c r="C12" s="58"/>
      <c r="D12" s="58"/>
      <c r="E12" s="58"/>
      <c r="F12" s="74"/>
      <c r="G12" s="58"/>
      <c r="H12" s="58"/>
      <c r="I12" s="58"/>
      <c r="J12" s="58"/>
      <c r="K12" s="58"/>
      <c r="L12" s="74"/>
    </row>
    <row r="13" spans="1:13" ht="14.25" x14ac:dyDescent="0.2">
      <c r="A13" s="40" t="s">
        <v>57</v>
      </c>
      <c r="B13" s="74">
        <v>1710.954</v>
      </c>
      <c r="C13" s="80">
        <v>2016.8879999999999</v>
      </c>
      <c r="D13" s="74">
        <f>(0.663115+0+13.936652+0)*2.204622</f>
        <v>32.186967523074003</v>
      </c>
      <c r="E13" s="74">
        <f t="shared" ref="E13:E19" si="0">SUM(B13:D13)</f>
        <v>3760.0289675230738</v>
      </c>
      <c r="F13" s="74"/>
      <c r="G13" s="74">
        <f>K13-J13</f>
        <v>1921.1646905235377</v>
      </c>
      <c r="H13" s="74">
        <v>577.42999999999995</v>
      </c>
      <c r="I13" s="74">
        <f>G13-H13</f>
        <v>1343.7346905235377</v>
      </c>
      <c r="J13" s="74">
        <f>(80.225792+0.085525+15.875468+0.265703)*2.204622</f>
        <v>212.64127699953602</v>
      </c>
      <c r="K13" s="74">
        <f>E13-L13</f>
        <v>2133.8059675230738</v>
      </c>
      <c r="L13" s="74">
        <f>1300.36+325.863</f>
        <v>1626.223</v>
      </c>
    </row>
    <row r="14" spans="1:13" ht="14.25" x14ac:dyDescent="0.2">
      <c r="A14" s="40" t="s">
        <v>58</v>
      </c>
      <c r="B14" s="74">
        <f t="shared" ref="B14:B19" si="1">L13</f>
        <v>1626.223</v>
      </c>
      <c r="C14" s="58">
        <v>1977.0050000000001</v>
      </c>
      <c r="D14" s="74">
        <f>(0.66927+0+9.3206+0.0008)*2.204622</f>
        <v>22.025650876739999</v>
      </c>
      <c r="E14" s="74">
        <f t="shared" si="0"/>
        <v>3625.2536508767403</v>
      </c>
      <c r="F14" s="74"/>
      <c r="G14" s="74">
        <f t="shared" ref="G14:G19" si="2">K14-J14</f>
        <v>1802.5259723672164</v>
      </c>
      <c r="H14" s="74">
        <v>590.79999999999995</v>
      </c>
      <c r="I14" s="74">
        <f t="shared" ref="I14:I23" si="3">G14-H14</f>
        <v>1211.7259723672164</v>
      </c>
      <c r="J14" s="74">
        <f>(41.937459+0.208519+17.592609+0.202155)*2.204622</f>
        <v>132.14667850952398</v>
      </c>
      <c r="K14" s="74">
        <f t="shared" ref="K14:K19" si="4">E14-L14</f>
        <v>1934.6726508767404</v>
      </c>
      <c r="L14" s="74">
        <f>1379.223+311.358</f>
        <v>1690.5809999999999</v>
      </c>
    </row>
    <row r="15" spans="1:13" ht="14.25" x14ac:dyDescent="0.2">
      <c r="A15" s="40" t="s">
        <v>59</v>
      </c>
      <c r="B15" s="74">
        <f t="shared" si="1"/>
        <v>1690.5809999999999</v>
      </c>
      <c r="C15" s="58">
        <v>2015.2560000000001</v>
      </c>
      <c r="D15" s="74">
        <f>(0.611691+0+13.538281+0.0008)*2.204622</f>
        <v>31.197103268184001</v>
      </c>
      <c r="E15" s="74">
        <f t="shared" si="0"/>
        <v>3737.034103268184</v>
      </c>
      <c r="F15" s="74"/>
      <c r="G15" s="74">
        <f t="shared" si="2"/>
        <v>1613.4431539013021</v>
      </c>
      <c r="H15" s="74">
        <v>593.99</v>
      </c>
      <c r="I15" s="74">
        <f t="shared" si="3"/>
        <v>1019.4531539013021</v>
      </c>
      <c r="J15" s="74">
        <f>(60.89152+0.230156+17.166633+0.145522)*2.204622</f>
        <v>172.91694936688199</v>
      </c>
      <c r="K15" s="74">
        <f t="shared" si="4"/>
        <v>1786.360103268184</v>
      </c>
      <c r="L15" s="74">
        <f>1583.544+367.13</f>
        <v>1950.674</v>
      </c>
    </row>
    <row r="16" spans="1:13" ht="14.25" x14ac:dyDescent="0.2">
      <c r="A16" s="40" t="s">
        <v>60</v>
      </c>
      <c r="B16" s="74">
        <f t="shared" si="1"/>
        <v>1950.674</v>
      </c>
      <c r="C16" s="58">
        <v>1995.5889999999999</v>
      </c>
      <c r="D16" s="74">
        <f>(0.671011+0.001728+9.360229+0)*2.204622</f>
        <v>22.118901978096002</v>
      </c>
      <c r="E16" s="74">
        <f t="shared" si="0"/>
        <v>3968.3819019780958</v>
      </c>
      <c r="F16" s="74"/>
      <c r="G16" s="74">
        <f t="shared" si="2"/>
        <v>1547.9299381743697</v>
      </c>
      <c r="H16" s="74">
        <v>462.12</v>
      </c>
      <c r="I16" s="74">
        <f t="shared" si="3"/>
        <v>1085.8099381743696</v>
      </c>
      <c r="J16" s="74">
        <f>(67.939406+0.153133+13.644+0.213094)*2.204622</f>
        <v>180.66796380372602</v>
      </c>
      <c r="K16" s="74">
        <f t="shared" si="4"/>
        <v>1728.5979019780957</v>
      </c>
      <c r="L16" s="74">
        <f>1886.728+353.056</f>
        <v>2239.7840000000001</v>
      </c>
    </row>
    <row r="17" spans="1:12" ht="14.25" x14ac:dyDescent="0.2">
      <c r="A17" s="40" t="s">
        <v>61</v>
      </c>
      <c r="B17" s="74">
        <f t="shared" si="1"/>
        <v>2239.7840000000001</v>
      </c>
      <c r="C17" s="58">
        <v>1889.8409999999999</v>
      </c>
      <c r="D17" s="74">
        <f>(10.974745+0+7.681166+0.0008)*2.204622</f>
        <v>41.130995518242003</v>
      </c>
      <c r="E17" s="74">
        <f t="shared" si="0"/>
        <v>4170.7559955182423</v>
      </c>
      <c r="F17" s="74"/>
      <c r="G17" s="74">
        <f t="shared" si="2"/>
        <v>1564.2792080768288</v>
      </c>
      <c r="H17" s="74">
        <v>495.59</v>
      </c>
      <c r="I17" s="74">
        <f t="shared" si="3"/>
        <v>1068.6892080768289</v>
      </c>
      <c r="J17" s="74">
        <f>(68.827952+0.142344+12.955662+0.217279)*2.204622</f>
        <v>181.09478744141401</v>
      </c>
      <c r="K17" s="74">
        <f t="shared" si="4"/>
        <v>1745.3739955182427</v>
      </c>
      <c r="L17" s="74">
        <f>2049.644+375.738</f>
        <v>2425.3819999999996</v>
      </c>
    </row>
    <row r="18" spans="1:12" ht="14.25" x14ac:dyDescent="0.2">
      <c r="A18" s="40" t="s">
        <v>62</v>
      </c>
      <c r="B18" s="74">
        <f t="shared" si="1"/>
        <v>2425.3819999999996</v>
      </c>
      <c r="C18" s="58">
        <v>2079.123</v>
      </c>
      <c r="D18" s="74">
        <f>(1.613442+0+7.947498+0.0008)*2.204622</f>
        <v>21.080022362280001</v>
      </c>
      <c r="E18" s="74">
        <f t="shared" si="0"/>
        <v>4525.5850223622792</v>
      </c>
      <c r="F18" s="74"/>
      <c r="G18" s="74">
        <f t="shared" si="2"/>
        <v>1879.5722664204213</v>
      </c>
      <c r="H18" s="74">
        <v>624.15</v>
      </c>
      <c r="I18" s="74">
        <f t="shared" si="3"/>
        <v>1255.4222664204212</v>
      </c>
      <c r="J18" s="74">
        <f>(62.563038+0.255788+28.340078+0.253935)*2.204622</f>
        <v>201.53075594185802</v>
      </c>
      <c r="K18" s="74">
        <f t="shared" si="4"/>
        <v>2081.1030223622793</v>
      </c>
      <c r="L18" s="74">
        <f>2080.138+364.344</f>
        <v>2444.482</v>
      </c>
    </row>
    <row r="19" spans="1:12" ht="14.25" x14ac:dyDescent="0.2">
      <c r="A19" s="40" t="s">
        <v>63</v>
      </c>
      <c r="B19" s="74">
        <f t="shared" si="1"/>
        <v>2444.482</v>
      </c>
      <c r="C19" s="58">
        <v>1964.922</v>
      </c>
      <c r="D19" s="74">
        <f>(0.567115+0.103249+12.3464+0)*2.204622</f>
        <v>28.697044283207997</v>
      </c>
      <c r="E19" s="74">
        <f t="shared" si="0"/>
        <v>4438.1010442832085</v>
      </c>
      <c r="F19" s="74"/>
      <c r="G19" s="74">
        <f t="shared" si="2"/>
        <v>1537.0046059233325</v>
      </c>
      <c r="H19" s="74">
        <v>519.55999999999995</v>
      </c>
      <c r="I19" s="74">
        <f t="shared" si="3"/>
        <v>1017.4446059233326</v>
      </c>
      <c r="J19" s="74">
        <f>(74.547873+0.133339+21.342471+0.283275)*2.204622</f>
        <v>212.32043835987602</v>
      </c>
      <c r="K19" s="74">
        <f t="shared" si="4"/>
        <v>1749.3250442832086</v>
      </c>
      <c r="L19" s="74">
        <f>2316.192+372.584</f>
        <v>2688.7759999999998</v>
      </c>
    </row>
    <row r="20" spans="1:12" ht="14.25" x14ac:dyDescent="0.2">
      <c r="A20" s="40" t="s">
        <v>64</v>
      </c>
      <c r="B20" s="74">
        <f>L19</f>
        <v>2688.7759999999998</v>
      </c>
      <c r="C20" s="58">
        <v>1966.511</v>
      </c>
      <c r="D20" s="74">
        <f>(0.754842+0+14.709869+0.00128)*2.204622</f>
        <v>34.096664010402002</v>
      </c>
      <c r="E20" s="74">
        <f>SUM(B20:D20)</f>
        <v>4689.3836640104018</v>
      </c>
      <c r="F20" s="74"/>
      <c r="G20" s="74">
        <f>K20-J20</f>
        <v>1883.9005750484957</v>
      </c>
      <c r="H20" s="74">
        <v>581.33000000000004</v>
      </c>
      <c r="I20" s="74">
        <f t="shared" si="3"/>
        <v>1302.5705750484958</v>
      </c>
      <c r="J20" s="74">
        <f>(171.049084+0.572188+23.792737+0.275814)*2.204622</f>
        <v>431.42208896190601</v>
      </c>
      <c r="K20" s="74">
        <f>E20-L20</f>
        <v>2315.3226640104017</v>
      </c>
      <c r="L20" s="74">
        <f>2002.934+371.127</f>
        <v>2374.0610000000001</v>
      </c>
    </row>
    <row r="21" spans="1:12" ht="14.25" x14ac:dyDescent="0.2">
      <c r="A21" s="40" t="s">
        <v>65</v>
      </c>
      <c r="B21" s="74">
        <f>L20</f>
        <v>2374.0610000000001</v>
      </c>
      <c r="C21" s="58">
        <v>1936.9069999999999</v>
      </c>
      <c r="D21" s="74">
        <f>(2.305083+0+12.102798+0.0008)*2.204622</f>
        <v>31.765695123581999</v>
      </c>
      <c r="E21" s="74">
        <f>SUM(B21:D21)</f>
        <v>4342.733695123582</v>
      </c>
      <c r="F21" s="74"/>
      <c r="G21" s="74">
        <f>K21-J21</f>
        <v>1809.597328870434</v>
      </c>
      <c r="H21" s="74">
        <v>623.61</v>
      </c>
      <c r="I21" s="74">
        <f t="shared" si="3"/>
        <v>1185.9873288704339</v>
      </c>
      <c r="J21" s="74">
        <f>(86.703348+0.094936+16.432424+0.337326)*2.204622</f>
        <v>228.32836625314803</v>
      </c>
      <c r="K21" s="74">
        <f>E21-L21</f>
        <v>2037.925695123582</v>
      </c>
      <c r="L21" s="74">
        <f>1933.152+371.656</f>
        <v>2304.808</v>
      </c>
    </row>
    <row r="22" spans="1:12" ht="14.25" x14ac:dyDescent="0.2">
      <c r="A22" s="40" t="s">
        <v>67</v>
      </c>
      <c r="B22" s="74">
        <f>L21</f>
        <v>2304.808</v>
      </c>
      <c r="C22" s="58">
        <v>2043.3230000000001</v>
      </c>
      <c r="D22" s="74">
        <f>(2.90045+0+11.937917+0.0018)*2.204622</f>
        <v>32.716958651874002</v>
      </c>
      <c r="E22" s="74">
        <f>SUM(B22:D22)</f>
        <v>4380.8479586518743</v>
      </c>
      <c r="F22" s="74"/>
      <c r="G22" s="74">
        <f>K22-J22</f>
        <v>1822.4687116086945</v>
      </c>
      <c r="H22" s="74">
        <v>671.27</v>
      </c>
      <c r="I22" s="74">
        <f t="shared" si="3"/>
        <v>1151.1987116086946</v>
      </c>
      <c r="J22" s="74">
        <f>(61.380449+0.164409+17.366248+0.346584)*2.204622</f>
        <v>174.73324704318</v>
      </c>
      <c r="K22" s="74">
        <f>E22-L22</f>
        <v>1997.2019586518745</v>
      </c>
      <c r="L22" s="74">
        <f>1983.666+399.98</f>
        <v>2383.6459999999997</v>
      </c>
    </row>
    <row r="23" spans="1:12" ht="14.25" x14ac:dyDescent="0.2">
      <c r="A23" s="40" t="s">
        <v>68</v>
      </c>
      <c r="B23" s="74">
        <f>L22</f>
        <v>2383.6459999999997</v>
      </c>
      <c r="C23" s="58">
        <v>1944.9659999999999</v>
      </c>
      <c r="D23" s="74">
        <f>(1.713977+0+9.048481+0.0008)*2.204622</f>
        <v>23.728915378476003</v>
      </c>
      <c r="E23" s="74">
        <f>SUM(B23:D23)</f>
        <v>4352.3409153784751</v>
      </c>
      <c r="F23" s="74"/>
      <c r="G23" s="74">
        <f>K23-J23</f>
        <v>1939.9040015978251</v>
      </c>
      <c r="H23" s="74">
        <v>705.13</v>
      </c>
      <c r="I23" s="74">
        <f t="shared" si="3"/>
        <v>1234.7740015978252</v>
      </c>
      <c r="J23" s="74">
        <f>(73.253711+0.073925+16.111003+0.208436)*2.204622</f>
        <v>197.63791378065</v>
      </c>
      <c r="K23" s="74">
        <f>E23-L23</f>
        <v>2137.5419153784751</v>
      </c>
      <c r="L23" s="74">
        <f>1843.912+370.887</f>
        <v>2214.799</v>
      </c>
    </row>
    <row r="24" spans="1:12" ht="14.25" x14ac:dyDescent="0.2">
      <c r="A24" s="40" t="s">
        <v>70</v>
      </c>
      <c r="B24" s="74">
        <f>L23</f>
        <v>2214.799</v>
      </c>
      <c r="C24" s="58">
        <v>1942.097</v>
      </c>
      <c r="D24" s="74">
        <f>(2.178466+0.0007+4.471838+0.008)*2.204622</f>
        <v>14.680586716488001</v>
      </c>
      <c r="E24" s="74">
        <f>SUM(B24:D24)</f>
        <v>4171.5765867164873</v>
      </c>
      <c r="F24" s="74"/>
      <c r="G24" s="74">
        <f>K24-J24</f>
        <v>2054.4737137737511</v>
      </c>
      <c r="H24" s="74">
        <v>688.71</v>
      </c>
      <c r="I24" s="74">
        <f>G24-H24</f>
        <v>1365.7637137737511</v>
      </c>
      <c r="J24" s="74">
        <f>(41.653346+0.082871+13.184233+0.267638)*2.204622</f>
        <v>121.66887294273599</v>
      </c>
      <c r="K24" s="74">
        <f>E24-L24</f>
        <v>2176.1425867164871</v>
      </c>
      <c r="L24" s="74">
        <f>1648.347+347.087</f>
        <v>1995.434</v>
      </c>
    </row>
    <row r="25" spans="1:12" ht="14.25" x14ac:dyDescent="0.2">
      <c r="A25" s="40" t="s">
        <v>3</v>
      </c>
      <c r="B25" s="74"/>
      <c r="C25" s="58">
        <f>SUM(C13:C24)</f>
        <v>23772.428000000004</v>
      </c>
      <c r="D25" s="58">
        <f>SUM(D13:D24)</f>
        <v>335.42550569064605</v>
      </c>
      <c r="E25" s="58">
        <f>B13+C25+D25</f>
        <v>25818.807505690653</v>
      </c>
      <c r="F25" s="74"/>
      <c r="G25" s="58">
        <f>SUM(G13:G24)</f>
        <v>21376.264166286208</v>
      </c>
      <c r="H25" s="58">
        <f>SUM(H13:H24)</f>
        <v>7133.6900000000005</v>
      </c>
      <c r="I25" s="58">
        <f>SUM(I13:I24)</f>
        <v>14242.574166286209</v>
      </c>
      <c r="J25" s="58">
        <f>SUM(J13:J24)</f>
        <v>2447.109339404436</v>
      </c>
      <c r="K25" s="58">
        <f>SUM(K13:K24)</f>
        <v>23823.373505690644</v>
      </c>
      <c r="L25" s="74"/>
    </row>
    <row r="26" spans="1:12" ht="14.25" x14ac:dyDescent="0.2">
      <c r="A26" s="40"/>
      <c r="B26" s="74"/>
      <c r="C26" s="58"/>
      <c r="D26" s="58"/>
      <c r="E26" s="58"/>
      <c r="F26" s="74"/>
      <c r="G26" s="58"/>
      <c r="H26" s="58"/>
      <c r="I26" s="58"/>
      <c r="J26" s="58"/>
      <c r="K26" s="58"/>
      <c r="L26" s="74"/>
    </row>
    <row r="27" spans="1:12" ht="14.25" x14ac:dyDescent="0.2">
      <c r="A27" s="37" t="s">
        <v>164</v>
      </c>
      <c r="B27" s="74"/>
      <c r="C27" s="58"/>
      <c r="D27" s="58"/>
      <c r="E27" s="58"/>
      <c r="F27" s="74"/>
      <c r="G27" s="58"/>
      <c r="H27" s="58"/>
      <c r="I27" s="58"/>
      <c r="J27" s="58"/>
      <c r="K27" s="58"/>
      <c r="L27" s="74"/>
    </row>
    <row r="28" spans="1:12" ht="14.25" x14ac:dyDescent="0.2">
      <c r="A28" s="40" t="s">
        <v>57</v>
      </c>
      <c r="B28" s="74">
        <f>L24</f>
        <v>1995.434</v>
      </c>
      <c r="C28" s="58">
        <v>2134.5529999999999</v>
      </c>
      <c r="D28" s="74">
        <f>(1.737942+14.319564)*2.204622</f>
        <v>35.400730992732001</v>
      </c>
      <c r="E28" s="74">
        <f>SUM(B28:D28)</f>
        <v>4165.387730992732</v>
      </c>
      <c r="F28" s="74"/>
      <c r="G28" s="74">
        <f>K28-J28</f>
        <v>1971.7383887570682</v>
      </c>
      <c r="H28" s="74">
        <v>698.88</v>
      </c>
      <c r="I28" s="74">
        <f>G28-H28</f>
        <v>1272.858388757068</v>
      </c>
      <c r="J28" s="74">
        <f>(55.756858+0.092113+10.188836+0.231305)*2.204622</f>
        <v>146.09834223566403</v>
      </c>
      <c r="K28" s="74">
        <f>E28-L28</f>
        <v>2117.8367309927321</v>
      </c>
      <c r="L28" s="74">
        <f>1700.684+346.867</f>
        <v>2047.5509999999999</v>
      </c>
    </row>
    <row r="29" spans="1:12" ht="14.25" x14ac:dyDescent="0.2">
      <c r="A29" s="40" t="s">
        <v>58</v>
      </c>
      <c r="B29" s="74">
        <f>L28</f>
        <v>2047.5509999999999</v>
      </c>
      <c r="C29" s="58">
        <v>2060.5630000000001</v>
      </c>
      <c r="D29" s="74">
        <f>(0.865794+0.011057+15.151116+0.0008)*2.204622</f>
        <v>35.337372361074003</v>
      </c>
      <c r="E29" s="74">
        <f>SUM(B29:D29)</f>
        <v>4143.4513723610735</v>
      </c>
      <c r="F29" s="74"/>
      <c r="G29" s="74">
        <f>K29-J29</f>
        <v>2027.3313655344473</v>
      </c>
      <c r="H29" s="74">
        <v>703.79</v>
      </c>
      <c r="I29" s="74">
        <f>G29-H29</f>
        <v>1323.5413655344473</v>
      </c>
      <c r="J29" s="74">
        <f>(88.320359+0.165614+9.039986+0.380624)*2.204622</f>
        <v>215.847006826626</v>
      </c>
      <c r="K29" s="74">
        <f>E29-L29</f>
        <v>2243.1783723610733</v>
      </c>
      <c r="L29" s="74">
        <f>1582.363+317.91</f>
        <v>1900.2730000000001</v>
      </c>
    </row>
    <row r="30" spans="1:12" ht="14.25" x14ac:dyDescent="0.2">
      <c r="A30" s="40" t="s">
        <v>59</v>
      </c>
      <c r="B30" s="74">
        <f>L29</f>
        <v>1900.2730000000001</v>
      </c>
      <c r="C30" s="58">
        <v>2135.37</v>
      </c>
      <c r="D30" s="74">
        <f>(2.278714+0.102885+18.312218+0.0008)*2.204622</f>
        <v>45.623807919774009</v>
      </c>
      <c r="E30" s="74">
        <f>SUM(B30:D30)</f>
        <v>4081.2668079197742</v>
      </c>
      <c r="F30" s="58"/>
      <c r="G30" s="74">
        <f>K30-J30</f>
        <v>1964.9135320372664</v>
      </c>
      <c r="H30" s="74">
        <v>767.76</v>
      </c>
      <c r="I30" s="74">
        <f>G30-H30</f>
        <v>1197.1535320372664</v>
      </c>
      <c r="J30" s="74">
        <f>(67.662426+0.216942+9.105599+0.354947)*2.204622</f>
        <v>170.50527588250799</v>
      </c>
      <c r="K30" s="74">
        <f t="shared" ref="K30:K33" si="5">E30-L30</f>
        <v>2135.4188079197743</v>
      </c>
      <c r="L30" s="74">
        <f>1601.77+344.078</f>
        <v>1945.848</v>
      </c>
    </row>
    <row r="31" spans="1:12" ht="14.25" x14ac:dyDescent="0.2">
      <c r="A31" s="40" t="s">
        <v>60</v>
      </c>
      <c r="B31" s="74">
        <f>L30</f>
        <v>1945.848</v>
      </c>
      <c r="C31" s="58">
        <v>2115.799</v>
      </c>
      <c r="D31" s="74">
        <f>(1.232832+0.000565+12.844114+0.00048)*2.204622</f>
        <v>31.036648674401999</v>
      </c>
      <c r="E31" s="74">
        <f>SUM(B31:D31)</f>
        <v>4092.6836486744019</v>
      </c>
      <c r="F31" s="58"/>
      <c r="G31" s="74">
        <f>K31-J31</f>
        <v>1866.8960887065257</v>
      </c>
      <c r="H31" s="74">
        <v>622.80999999999995</v>
      </c>
      <c r="I31" s="74">
        <f>G31-H31</f>
        <v>1244.0860887065257</v>
      </c>
      <c r="J31" s="74">
        <f>(86.321768+0.169398+13.585229+0.194563)*2.204622</f>
        <v>221.05955996787603</v>
      </c>
      <c r="K31" s="74">
        <f t="shared" si="5"/>
        <v>2087.9556486744018</v>
      </c>
      <c r="L31" s="74">
        <f>1659.501+345.227</f>
        <v>2004.7280000000001</v>
      </c>
    </row>
    <row r="32" spans="1:12" ht="14.25" x14ac:dyDescent="0.2">
      <c r="A32" s="40" t="s">
        <v>61</v>
      </c>
      <c r="B32" s="74">
        <f>L31</f>
        <v>2004.7280000000001</v>
      </c>
      <c r="C32" s="58">
        <v>1899.1959999999999</v>
      </c>
      <c r="D32" s="74">
        <f>(1.036189+0+12.266298+0.0008)*2.204622</f>
        <v>29.328719192514004</v>
      </c>
      <c r="E32" s="74">
        <f>SUM(B32:D32)</f>
        <v>3933.2527191925142</v>
      </c>
      <c r="F32" s="58"/>
      <c r="G32" s="74">
        <f>K32-J32</f>
        <v>1692.3842773339961</v>
      </c>
      <c r="H32" s="74">
        <v>559.57000000000005</v>
      </c>
      <c r="I32" s="74">
        <f>G32-H32</f>
        <v>1132.814277333996</v>
      </c>
      <c r="J32" s="74">
        <f>(29.230159+0.074299+12.057246+0.250165)*2.204622</f>
        <v>91.738441858518016</v>
      </c>
      <c r="K32" s="74">
        <f t="shared" si="5"/>
        <v>1784.1227191925141</v>
      </c>
      <c r="L32" s="74">
        <f>1762.965+386.165</f>
        <v>2149.13</v>
      </c>
    </row>
    <row r="33" spans="1:12" ht="14.25" x14ac:dyDescent="0.2">
      <c r="A33" s="40" t="s">
        <v>62</v>
      </c>
      <c r="B33" s="74">
        <f t="shared" ref="B33" si="6">L32</f>
        <v>2149.13</v>
      </c>
      <c r="C33" s="58">
        <v>2094.4180000000001</v>
      </c>
      <c r="D33" s="74">
        <f>(0.61092+0.0008+13.177229+0.00082)*2.204622</f>
        <v>30.401228112318002</v>
      </c>
      <c r="E33" s="74">
        <f t="shared" ref="E33" si="7">SUM(B33:D33)</f>
        <v>4273.9492281123185</v>
      </c>
      <c r="F33" s="74"/>
      <c r="G33" s="74" t="s">
        <v>10</v>
      </c>
      <c r="H33" s="74" t="s">
        <v>10</v>
      </c>
      <c r="I33" s="74" t="s">
        <v>10</v>
      </c>
      <c r="J33" s="74">
        <f>(105.920622+0.129031+16.580273+0.67424)*2.204622</f>
        <v>271.83907705525195</v>
      </c>
      <c r="K33" s="74">
        <f t="shared" si="5"/>
        <v>2041.0202281123184</v>
      </c>
      <c r="L33" s="74">
        <f>1893.918+339.011</f>
        <v>2232.9290000000001</v>
      </c>
    </row>
    <row r="34" spans="1:12" ht="14.25" x14ac:dyDescent="0.2">
      <c r="A34" s="36" t="s">
        <v>165</v>
      </c>
      <c r="B34" s="134"/>
      <c r="C34" s="65">
        <f>SUM(C28:C33)</f>
        <v>12439.898999999999</v>
      </c>
      <c r="D34" s="65">
        <f>SUM(D28:D33)</f>
        <v>207.12850725281399</v>
      </c>
      <c r="E34" s="81">
        <f>B28+C34+D34</f>
        <v>14642.461507252812</v>
      </c>
      <c r="F34" s="81"/>
      <c r="G34" s="65">
        <f>SUM(G28:G33)</f>
        <v>9523.2636523693036</v>
      </c>
      <c r="H34" s="65">
        <f t="shared" ref="H34:K34" si="8">SUM(H28:H33)</f>
        <v>3352.8100000000004</v>
      </c>
      <c r="I34" s="65">
        <f t="shared" si="8"/>
        <v>6170.4536523693032</v>
      </c>
      <c r="J34" s="65">
        <f t="shared" si="8"/>
        <v>1117.0877038264439</v>
      </c>
      <c r="K34" s="65">
        <f t="shared" si="8"/>
        <v>12409.532507252814</v>
      </c>
      <c r="L34" s="81"/>
    </row>
    <row r="35" spans="1:12" ht="16.5" x14ac:dyDescent="0.2">
      <c r="A35" s="78" t="s">
        <v>127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14.25" x14ac:dyDescent="0.2">
      <c r="A36" s="37" t="s">
        <v>126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4.25" x14ac:dyDescent="0.2">
      <c r="A37" s="37" t="s">
        <v>26</v>
      </c>
      <c r="B37" s="70">
        <f ca="1">NOW()</f>
        <v>43599.371933449074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7"/>
      <c r="N1" s="37"/>
      <c r="O1" s="37"/>
    </row>
    <row r="2" spans="1:15" ht="14.25" x14ac:dyDescent="0.2">
      <c r="A2" s="37"/>
      <c r="B2" s="162" t="s">
        <v>0</v>
      </c>
      <c r="C2" s="162"/>
      <c r="D2" s="162"/>
      <c r="E2" s="162"/>
      <c r="F2" s="82"/>
      <c r="G2" s="162" t="s">
        <v>24</v>
      </c>
      <c r="H2" s="162"/>
      <c r="I2" s="162"/>
      <c r="J2" s="162"/>
      <c r="K2" s="82"/>
      <c r="L2" s="37"/>
      <c r="M2" s="37"/>
      <c r="N2" s="37"/>
      <c r="O2" s="37"/>
    </row>
    <row r="3" spans="1:15" ht="14.25" x14ac:dyDescent="0.2">
      <c r="A3" s="37" t="s">
        <v>83</v>
      </c>
      <c r="B3" s="41" t="s">
        <v>36</v>
      </c>
      <c r="C3" s="41"/>
      <c r="D3" s="41"/>
      <c r="E3" s="41"/>
      <c r="F3" s="83"/>
      <c r="G3" s="41"/>
      <c r="H3" s="41"/>
      <c r="I3" s="41"/>
      <c r="J3" s="41"/>
      <c r="K3" s="39" t="s">
        <v>34</v>
      </c>
      <c r="L3" s="37"/>
      <c r="M3" s="37"/>
      <c r="N3" s="37"/>
      <c r="O3" s="37"/>
    </row>
    <row r="4" spans="1:15" ht="14.25" x14ac:dyDescent="0.2">
      <c r="A4" s="42" t="s">
        <v>85</v>
      </c>
      <c r="B4" s="44" t="s">
        <v>53</v>
      </c>
      <c r="C4" s="84" t="s">
        <v>1</v>
      </c>
      <c r="D4" s="46" t="s">
        <v>37</v>
      </c>
      <c r="E4" s="44" t="s">
        <v>94</v>
      </c>
      <c r="F4" s="45"/>
      <c r="G4" s="44" t="s">
        <v>40</v>
      </c>
      <c r="H4" s="44" t="s">
        <v>4</v>
      </c>
      <c r="I4" s="44" t="s">
        <v>41</v>
      </c>
      <c r="J4" s="44" t="s">
        <v>38</v>
      </c>
      <c r="K4" s="44" t="s">
        <v>33</v>
      </c>
      <c r="L4" s="37"/>
      <c r="M4" s="37"/>
      <c r="N4" s="37"/>
      <c r="O4" s="37"/>
    </row>
    <row r="5" spans="1:15" ht="14.25" x14ac:dyDescent="0.2">
      <c r="A5" s="37"/>
      <c r="B5" s="163" t="s">
        <v>18</v>
      </c>
      <c r="C5" s="163"/>
      <c r="D5" s="163"/>
      <c r="E5" s="163"/>
      <c r="F5" s="163"/>
      <c r="G5" s="163"/>
      <c r="H5" s="163"/>
      <c r="I5" s="163"/>
      <c r="J5" s="163"/>
      <c r="K5" s="163"/>
      <c r="L5" s="37"/>
      <c r="M5" s="37"/>
      <c r="N5" s="37"/>
      <c r="O5" s="37"/>
    </row>
    <row r="6" spans="1:15" ht="14.25" x14ac:dyDescent="0.2">
      <c r="A6" s="37"/>
      <c r="B6" s="37"/>
      <c r="C6" s="37"/>
      <c r="D6" s="37"/>
      <c r="E6" s="37"/>
      <c r="F6" s="37"/>
      <c r="G6" s="79"/>
      <c r="H6" s="85"/>
      <c r="I6" s="79"/>
      <c r="J6" s="79"/>
      <c r="K6" s="37"/>
      <c r="L6" s="37"/>
      <c r="M6" s="37"/>
      <c r="N6" s="37"/>
      <c r="O6" s="37"/>
    </row>
    <row r="7" spans="1:15" ht="16.5" x14ac:dyDescent="0.2">
      <c r="A7" s="37" t="s">
        <v>140</v>
      </c>
      <c r="B7" s="86">
        <v>400</v>
      </c>
      <c r="C7" s="86">
        <v>6422</v>
      </c>
      <c r="D7" s="87">
        <v>0</v>
      </c>
      <c r="E7" s="86">
        <f>+B7+C7+D7</f>
        <v>6822</v>
      </c>
      <c r="F7" s="52"/>
      <c r="G7" s="86">
        <v>1853.576</v>
      </c>
      <c r="H7" s="88">
        <v>478.38499999999999</v>
      </c>
      <c r="I7" s="86">
        <f>J7-G7-H7</f>
        <v>4040.0389999999998</v>
      </c>
      <c r="J7" s="86">
        <f>E7-K7</f>
        <v>6372</v>
      </c>
      <c r="K7" s="86">
        <v>450</v>
      </c>
      <c r="L7" s="37"/>
      <c r="M7" s="37"/>
      <c r="N7" s="37"/>
      <c r="O7" s="37"/>
    </row>
    <row r="8" spans="1:15" ht="16.5" x14ac:dyDescent="0.2">
      <c r="A8" s="37" t="s">
        <v>163</v>
      </c>
      <c r="B8" s="86">
        <f>K7</f>
        <v>450</v>
      </c>
      <c r="C8" s="86">
        <v>5631</v>
      </c>
      <c r="D8" s="87">
        <v>2</v>
      </c>
      <c r="E8" s="86">
        <f>+B8+C8+D8</f>
        <v>6083</v>
      </c>
      <c r="F8" s="52"/>
      <c r="G8" s="86">
        <v>1900</v>
      </c>
      <c r="H8" s="88">
        <v>425</v>
      </c>
      <c r="I8" s="86">
        <f>J8-G8-H8</f>
        <v>3458</v>
      </c>
      <c r="J8" s="86">
        <f>E8-K8</f>
        <v>5783</v>
      </c>
      <c r="K8" s="86">
        <v>300</v>
      </c>
      <c r="L8" s="37"/>
      <c r="M8" s="37"/>
      <c r="N8" s="37"/>
      <c r="O8" s="37"/>
    </row>
    <row r="9" spans="1:15" ht="16.5" x14ac:dyDescent="0.2">
      <c r="A9" s="36" t="s">
        <v>172</v>
      </c>
      <c r="B9" s="89">
        <f>K8</f>
        <v>300</v>
      </c>
      <c r="C9" s="89">
        <v>6930</v>
      </c>
      <c r="D9" s="90">
        <v>2</v>
      </c>
      <c r="E9" s="89">
        <f>+B9+C9+D9</f>
        <v>7232</v>
      </c>
      <c r="F9" s="91"/>
      <c r="G9" s="89">
        <v>2100</v>
      </c>
      <c r="H9" s="92">
        <v>450</v>
      </c>
      <c r="I9" s="89">
        <f>J9-G9-H9</f>
        <v>4296</v>
      </c>
      <c r="J9" s="89">
        <f>E9-K9</f>
        <v>6846</v>
      </c>
      <c r="K9" s="89">
        <v>386</v>
      </c>
      <c r="L9" s="37"/>
      <c r="M9" s="37"/>
      <c r="N9" s="37"/>
      <c r="O9" s="37"/>
    </row>
    <row r="10" spans="1:15" ht="16.5" x14ac:dyDescent="0.2">
      <c r="A10" s="78" t="s">
        <v>128</v>
      </c>
      <c r="B10" s="37"/>
      <c r="C10" s="52"/>
      <c r="D10" s="52"/>
      <c r="E10" s="52"/>
      <c r="F10" s="52"/>
      <c r="G10" s="52"/>
      <c r="H10" s="52"/>
      <c r="I10" s="52"/>
      <c r="J10" s="52"/>
      <c r="K10" s="37"/>
      <c r="L10" s="37"/>
      <c r="M10" s="37"/>
      <c r="N10" s="37"/>
      <c r="O10" s="37"/>
    </row>
    <row r="11" spans="1:15" ht="14.25" x14ac:dyDescent="0.2">
      <c r="A11" s="37" t="s">
        <v>129</v>
      </c>
      <c r="B11" s="53"/>
      <c r="C11" s="57"/>
      <c r="D11" s="37"/>
      <c r="E11" s="53"/>
      <c r="F11" s="53"/>
      <c r="G11" s="53"/>
      <c r="H11" s="53"/>
      <c r="I11" s="53"/>
      <c r="J11" s="53"/>
      <c r="K11" s="37"/>
      <c r="L11" s="37"/>
      <c r="M11" s="37"/>
      <c r="N11" s="37"/>
      <c r="O11" s="37"/>
    </row>
    <row r="12" spans="1:15" ht="14.25" x14ac:dyDescent="0.2">
      <c r="A12" s="37" t="s">
        <v>130</v>
      </c>
      <c r="B12" s="53"/>
      <c r="C12" s="57"/>
      <c r="D12" s="37"/>
      <c r="E12" s="53"/>
      <c r="F12" s="53"/>
      <c r="G12" s="53"/>
      <c r="H12" s="53"/>
      <c r="I12" s="53"/>
      <c r="J12" s="53"/>
      <c r="K12" s="37"/>
      <c r="L12" s="37"/>
      <c r="M12" s="37"/>
      <c r="N12" s="37"/>
      <c r="O12" s="37"/>
    </row>
    <row r="13" spans="1:15" ht="14.2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14.25" x14ac:dyDescent="0.2">
      <c r="A14" s="36" t="s">
        <v>12</v>
      </c>
      <c r="B14" s="36"/>
      <c r="C14" s="36"/>
      <c r="D14" s="36"/>
      <c r="E14" s="36"/>
      <c r="F14" s="36"/>
      <c r="G14" s="36"/>
      <c r="H14" s="36"/>
      <c r="I14" s="37"/>
      <c r="J14" s="36"/>
      <c r="K14" s="37"/>
      <c r="L14" s="37"/>
      <c r="M14" s="37"/>
      <c r="N14" s="37"/>
      <c r="O14" s="37"/>
    </row>
    <row r="15" spans="1:15" ht="14.25" x14ac:dyDescent="0.2">
      <c r="A15" s="37"/>
      <c r="B15" s="162" t="s">
        <v>0</v>
      </c>
      <c r="C15" s="162"/>
      <c r="D15" s="162"/>
      <c r="E15" s="162"/>
      <c r="F15" s="37"/>
      <c r="G15" s="162" t="s">
        <v>24</v>
      </c>
      <c r="H15" s="162"/>
      <c r="I15" s="162"/>
      <c r="J15" s="37"/>
      <c r="K15" s="37"/>
      <c r="L15" s="37"/>
      <c r="M15" s="37"/>
      <c r="N15" s="37"/>
      <c r="O15" s="37"/>
    </row>
    <row r="16" spans="1:15" ht="14.25" x14ac:dyDescent="0.2">
      <c r="A16" s="37" t="s">
        <v>83</v>
      </c>
      <c r="B16" s="39" t="s">
        <v>36</v>
      </c>
      <c r="C16" s="41"/>
      <c r="D16" s="41"/>
      <c r="E16" s="41"/>
      <c r="F16" s="41"/>
      <c r="G16" s="41"/>
      <c r="H16" s="41"/>
      <c r="I16" s="41"/>
      <c r="J16" s="39" t="s">
        <v>34</v>
      </c>
      <c r="K16" s="37"/>
      <c r="L16" s="37"/>
      <c r="M16" s="37"/>
      <c r="N16" s="37"/>
      <c r="O16" s="37"/>
    </row>
    <row r="17" spans="1:15" ht="14.25" x14ac:dyDescent="0.2">
      <c r="A17" s="42" t="s">
        <v>84</v>
      </c>
      <c r="B17" s="44" t="s">
        <v>33</v>
      </c>
      <c r="C17" s="84" t="s">
        <v>1</v>
      </c>
      <c r="D17" s="46" t="s">
        <v>37</v>
      </c>
      <c r="E17" s="44" t="s">
        <v>38</v>
      </c>
      <c r="F17" s="45"/>
      <c r="G17" s="93" t="s">
        <v>9</v>
      </c>
      <c r="H17" s="44" t="s">
        <v>4</v>
      </c>
      <c r="I17" s="46" t="s">
        <v>32</v>
      </c>
      <c r="J17" s="44" t="s">
        <v>33</v>
      </c>
      <c r="K17" s="37"/>
      <c r="L17" s="37"/>
      <c r="M17" s="37"/>
      <c r="N17" s="37"/>
      <c r="O17" s="37"/>
    </row>
    <row r="18" spans="1:15" ht="14.25" x14ac:dyDescent="0.2">
      <c r="A18" s="37"/>
      <c r="B18" s="163" t="s">
        <v>19</v>
      </c>
      <c r="C18" s="163"/>
      <c r="D18" s="163"/>
      <c r="E18" s="163"/>
      <c r="F18" s="163"/>
      <c r="G18" s="163"/>
      <c r="H18" s="163"/>
      <c r="I18" s="163"/>
      <c r="J18" s="163"/>
      <c r="K18" s="37"/>
      <c r="L18" s="37"/>
      <c r="M18" s="37"/>
      <c r="N18" s="37"/>
      <c r="O18" s="37"/>
    </row>
    <row r="19" spans="1:15" ht="14.25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6.5" x14ac:dyDescent="0.2">
      <c r="A20" s="37" t="s">
        <v>140</v>
      </c>
      <c r="B20" s="86">
        <v>27.736000000000001</v>
      </c>
      <c r="C20" s="88">
        <v>845</v>
      </c>
      <c r="D20" s="87">
        <v>0</v>
      </c>
      <c r="E20" s="88">
        <f>+B20+D20+C20</f>
        <v>872.73599999999999</v>
      </c>
      <c r="F20" s="37"/>
      <c r="G20" s="88">
        <f>+I20-H20</f>
        <v>708.27932965001094</v>
      </c>
      <c r="H20" s="88">
        <v>119.45667034998903</v>
      </c>
      <c r="I20" s="88">
        <f>+E20-J20</f>
        <v>827.73599999999999</v>
      </c>
      <c r="J20" s="86">
        <v>45</v>
      </c>
      <c r="K20" s="37"/>
      <c r="L20" s="37"/>
      <c r="M20" s="37"/>
      <c r="N20" s="37"/>
      <c r="O20" s="37"/>
    </row>
    <row r="21" spans="1:15" ht="16.5" x14ac:dyDescent="0.2">
      <c r="A21" s="37" t="s">
        <v>163</v>
      </c>
      <c r="B21" s="86">
        <f>+J20</f>
        <v>45</v>
      </c>
      <c r="C21" s="88">
        <v>855</v>
      </c>
      <c r="D21" s="87">
        <v>0</v>
      </c>
      <c r="E21" s="88">
        <f>+B21+D21+C21</f>
        <v>900</v>
      </c>
      <c r="F21" s="37"/>
      <c r="G21" s="88">
        <f>+I21-H21</f>
        <v>750</v>
      </c>
      <c r="H21" s="88">
        <v>110</v>
      </c>
      <c r="I21" s="88">
        <f>+E21-J21</f>
        <v>860</v>
      </c>
      <c r="J21" s="86">
        <v>40</v>
      </c>
      <c r="K21" s="37"/>
      <c r="L21" s="37"/>
      <c r="M21" s="37"/>
      <c r="N21" s="37"/>
      <c r="O21" s="37"/>
    </row>
    <row r="22" spans="1:15" ht="16.5" x14ac:dyDescent="0.2">
      <c r="A22" s="36" t="s">
        <v>172</v>
      </c>
      <c r="B22" s="89">
        <f>+J21</f>
        <v>40</v>
      </c>
      <c r="C22" s="92">
        <v>945</v>
      </c>
      <c r="D22" s="90">
        <v>0</v>
      </c>
      <c r="E22" s="92">
        <f>+B22+D22+C22</f>
        <v>985</v>
      </c>
      <c r="F22" s="91"/>
      <c r="G22" s="92">
        <f>+I22-H22</f>
        <v>835</v>
      </c>
      <c r="H22" s="92">
        <v>110</v>
      </c>
      <c r="I22" s="92">
        <f>+E22-J22</f>
        <v>945</v>
      </c>
      <c r="J22" s="89">
        <v>40</v>
      </c>
      <c r="K22" s="37"/>
      <c r="L22" s="37"/>
      <c r="M22" s="37"/>
      <c r="N22" s="37"/>
      <c r="O22" s="37"/>
    </row>
    <row r="23" spans="1:15" ht="16.5" x14ac:dyDescent="0.2">
      <c r="A23" s="78" t="s">
        <v>128</v>
      </c>
      <c r="B23" s="37"/>
      <c r="C23" s="52"/>
      <c r="D23" s="52"/>
      <c r="E23" s="52"/>
      <c r="F23" s="52"/>
      <c r="G23" s="52"/>
      <c r="H23" s="52"/>
      <c r="I23" s="37"/>
      <c r="J23" s="37"/>
      <c r="K23" s="37"/>
      <c r="L23" s="37"/>
      <c r="M23" s="37"/>
      <c r="N23" s="37"/>
      <c r="O23" s="37"/>
    </row>
    <row r="24" spans="1:15" ht="14.25" x14ac:dyDescent="0.2">
      <c r="A24" s="37" t="s">
        <v>131</v>
      </c>
      <c r="B24" s="94"/>
      <c r="C24" s="94"/>
      <c r="D24" s="94"/>
      <c r="E24" s="94"/>
      <c r="F24" s="94"/>
      <c r="G24" s="94"/>
      <c r="H24" s="94"/>
      <c r="I24" s="37"/>
      <c r="J24" s="37"/>
      <c r="K24" s="37"/>
      <c r="L24" s="37"/>
      <c r="M24" s="37"/>
      <c r="N24" s="37"/>
      <c r="O24" s="37"/>
    </row>
    <row r="25" spans="1:15" ht="14.25" x14ac:dyDescent="0.2">
      <c r="A25" s="40"/>
      <c r="B25" s="53"/>
      <c r="C25" s="53"/>
      <c r="D25" s="53"/>
      <c r="E25" s="53"/>
      <c r="F25" s="53"/>
      <c r="G25" s="53"/>
      <c r="H25" s="53"/>
      <c r="I25" s="37"/>
      <c r="J25" s="37"/>
      <c r="K25" s="37"/>
      <c r="L25" s="37"/>
      <c r="M25" s="37"/>
      <c r="N25" s="37"/>
      <c r="O25" s="37"/>
    </row>
    <row r="26" spans="1:15" ht="14.25" x14ac:dyDescent="0.2">
      <c r="A26" s="40"/>
      <c r="B26" s="53"/>
      <c r="C26" s="57"/>
      <c r="D26" s="53"/>
      <c r="E26" s="53"/>
      <c r="F26" s="53"/>
      <c r="G26" s="53"/>
      <c r="H26" s="53"/>
      <c r="I26" s="37"/>
      <c r="J26" s="37"/>
      <c r="K26" s="37"/>
      <c r="L26" s="37"/>
      <c r="M26" s="37"/>
      <c r="N26" s="37"/>
      <c r="O26" s="37"/>
    </row>
    <row r="27" spans="1:15" ht="14.25" x14ac:dyDescent="0.2">
      <c r="A27" s="36" t="s">
        <v>13</v>
      </c>
      <c r="B27" s="36"/>
      <c r="C27" s="36"/>
      <c r="D27" s="36"/>
      <c r="E27" s="36"/>
      <c r="F27" s="36"/>
      <c r="G27" s="36"/>
      <c r="H27" s="36"/>
      <c r="I27" s="37"/>
      <c r="J27" s="36"/>
      <c r="K27" s="37"/>
      <c r="L27" s="37"/>
      <c r="M27" s="37"/>
      <c r="N27" s="37"/>
      <c r="O27" s="37"/>
    </row>
    <row r="28" spans="1:15" ht="14.25" x14ac:dyDescent="0.2">
      <c r="A28" s="37"/>
      <c r="B28" s="162" t="s">
        <v>0</v>
      </c>
      <c r="C28" s="162"/>
      <c r="D28" s="162"/>
      <c r="E28" s="162"/>
      <c r="F28" s="37"/>
      <c r="G28" s="162" t="s">
        <v>24</v>
      </c>
      <c r="H28" s="162"/>
      <c r="I28" s="162"/>
      <c r="J28" s="37"/>
      <c r="K28" s="37"/>
      <c r="L28" s="37"/>
      <c r="M28" s="37"/>
      <c r="N28" s="37"/>
      <c r="O28" s="37"/>
    </row>
    <row r="29" spans="1:15" ht="14.25" x14ac:dyDescent="0.2">
      <c r="A29" s="37" t="s">
        <v>83</v>
      </c>
      <c r="B29" s="39" t="s">
        <v>36</v>
      </c>
      <c r="C29" s="41"/>
      <c r="D29" s="41"/>
      <c r="E29" s="41"/>
      <c r="F29" s="41"/>
      <c r="G29" s="41"/>
      <c r="H29" s="41"/>
      <c r="I29" s="41"/>
      <c r="J29" s="39" t="s">
        <v>34</v>
      </c>
      <c r="K29" s="37"/>
      <c r="L29" s="37"/>
      <c r="M29" s="37"/>
      <c r="N29" s="37"/>
      <c r="O29" s="37"/>
    </row>
    <row r="30" spans="1:15" ht="14.25" x14ac:dyDescent="0.2">
      <c r="A30" s="42" t="s">
        <v>84</v>
      </c>
      <c r="B30" s="44" t="s">
        <v>33</v>
      </c>
      <c r="C30" s="44" t="s">
        <v>1</v>
      </c>
      <c r="D30" s="46" t="s">
        <v>37</v>
      </c>
      <c r="E30" s="44" t="s">
        <v>38</v>
      </c>
      <c r="F30" s="45"/>
      <c r="G30" s="44" t="s">
        <v>35</v>
      </c>
      <c r="H30" s="44" t="s">
        <v>4</v>
      </c>
      <c r="I30" s="44" t="s">
        <v>32</v>
      </c>
      <c r="J30" s="44" t="s">
        <v>95</v>
      </c>
      <c r="K30" s="37"/>
      <c r="L30" s="37"/>
      <c r="M30" s="37"/>
      <c r="N30" s="37"/>
      <c r="O30" s="37"/>
    </row>
    <row r="31" spans="1:15" ht="14.25" x14ac:dyDescent="0.2">
      <c r="A31" s="37"/>
      <c r="B31" s="163" t="s">
        <v>20</v>
      </c>
      <c r="C31" s="163"/>
      <c r="D31" s="163"/>
      <c r="E31" s="163"/>
      <c r="F31" s="163"/>
      <c r="G31" s="163"/>
      <c r="H31" s="163"/>
      <c r="I31" s="163"/>
      <c r="J31" s="163"/>
      <c r="K31" s="37"/>
      <c r="L31" s="37"/>
      <c r="M31" s="37"/>
      <c r="N31" s="37"/>
      <c r="O31" s="37"/>
    </row>
    <row r="32" spans="1:15" ht="14.25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6.5" x14ac:dyDescent="0.2">
      <c r="A33" s="37" t="s">
        <v>140</v>
      </c>
      <c r="B33" s="87">
        <v>44.128999999999998</v>
      </c>
      <c r="C33" s="88">
        <v>561</v>
      </c>
      <c r="D33" s="87">
        <v>0.161</v>
      </c>
      <c r="E33" s="95">
        <f>+B33+D33+C33</f>
        <v>605.29</v>
      </c>
      <c r="F33" s="37"/>
      <c r="G33" s="88">
        <f>+I33-H33</f>
        <v>461.46999999999997</v>
      </c>
      <c r="H33" s="88">
        <v>111.82</v>
      </c>
      <c r="I33" s="88">
        <f>+E33-J33</f>
        <v>573.29</v>
      </c>
      <c r="J33" s="96">
        <v>32</v>
      </c>
      <c r="K33" s="37"/>
      <c r="L33" s="37"/>
      <c r="M33" s="37"/>
      <c r="N33" s="37"/>
      <c r="O33" s="37"/>
    </row>
    <row r="34" spans="1:15" ht="16.5" x14ac:dyDescent="0.2">
      <c r="A34" s="37" t="s">
        <v>163</v>
      </c>
      <c r="B34" s="87">
        <f>+J33</f>
        <v>32</v>
      </c>
      <c r="C34" s="88">
        <v>530</v>
      </c>
      <c r="D34" s="87">
        <v>1</v>
      </c>
      <c r="E34" s="95">
        <f>+B34+D34+C34</f>
        <v>563</v>
      </c>
      <c r="F34" s="37"/>
      <c r="G34" s="88">
        <f>+I34-H34</f>
        <v>406</v>
      </c>
      <c r="H34" s="88">
        <v>125</v>
      </c>
      <c r="I34" s="88">
        <f>+E34-J34</f>
        <v>531</v>
      </c>
      <c r="J34" s="96">
        <v>32</v>
      </c>
      <c r="K34" s="37"/>
      <c r="L34" s="37"/>
      <c r="M34" s="37"/>
      <c r="N34" s="37"/>
      <c r="O34" s="37"/>
    </row>
    <row r="35" spans="1:15" ht="16.5" x14ac:dyDescent="0.2">
      <c r="A35" s="36" t="s">
        <v>172</v>
      </c>
      <c r="B35" s="90">
        <f>+J34</f>
        <v>32</v>
      </c>
      <c r="C35" s="92">
        <v>610</v>
      </c>
      <c r="D35" s="90">
        <v>1</v>
      </c>
      <c r="E35" s="97">
        <f>+B35+D35+C35</f>
        <v>643</v>
      </c>
      <c r="F35" s="91"/>
      <c r="G35" s="92">
        <f>+I35-H35</f>
        <v>478</v>
      </c>
      <c r="H35" s="92">
        <v>125</v>
      </c>
      <c r="I35" s="92">
        <f>+E35-J35</f>
        <v>603</v>
      </c>
      <c r="J35" s="92">
        <v>40</v>
      </c>
      <c r="K35" s="37"/>
      <c r="L35" s="37"/>
      <c r="M35" s="37"/>
      <c r="N35" s="37"/>
      <c r="O35" s="37"/>
    </row>
    <row r="36" spans="1:15" ht="16.5" x14ac:dyDescent="0.2">
      <c r="A36" s="78" t="s">
        <v>128</v>
      </c>
      <c r="B36" s="37"/>
      <c r="C36" s="52"/>
      <c r="D36" s="52"/>
      <c r="E36" s="52"/>
      <c r="F36" s="52"/>
      <c r="G36" s="52"/>
      <c r="H36" s="52"/>
      <c r="I36" s="37"/>
      <c r="J36" s="37"/>
      <c r="K36" s="37"/>
      <c r="L36" s="37"/>
      <c r="M36" s="37"/>
      <c r="N36" s="37"/>
      <c r="O36" s="37"/>
    </row>
    <row r="37" spans="1:15" ht="14.25" x14ac:dyDescent="0.2">
      <c r="A37" s="37" t="s">
        <v>132</v>
      </c>
      <c r="B37" s="53"/>
      <c r="C37" s="57"/>
      <c r="D37" s="53"/>
      <c r="E37" s="53"/>
      <c r="F37" s="53"/>
      <c r="G37" s="53"/>
      <c r="H37" s="53"/>
      <c r="I37" s="37"/>
      <c r="J37" s="37"/>
      <c r="K37" s="37"/>
      <c r="L37" s="37"/>
      <c r="M37" s="37"/>
      <c r="N37" s="37"/>
      <c r="O37" s="37"/>
    </row>
    <row r="38" spans="1:15" ht="14.25" x14ac:dyDescent="0.2">
      <c r="A38" s="40"/>
      <c r="B38" s="40"/>
      <c r="C38" s="40"/>
      <c r="D38" s="40"/>
      <c r="E38" s="40"/>
      <c r="F38" s="40"/>
      <c r="G38" s="40"/>
      <c r="H38" s="40"/>
      <c r="I38" s="37"/>
      <c r="J38" s="37"/>
      <c r="K38" s="37"/>
      <c r="L38" s="37"/>
      <c r="M38" s="37"/>
      <c r="N38" s="37"/>
      <c r="O38" s="37"/>
    </row>
    <row r="39" spans="1:15" ht="14.25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4.25" x14ac:dyDescent="0.2">
      <c r="A40" s="36" t="s">
        <v>14</v>
      </c>
      <c r="B40" s="36"/>
      <c r="C40" s="36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6"/>
    </row>
    <row r="41" spans="1:15" ht="14.25" x14ac:dyDescent="0.2">
      <c r="A41" s="37"/>
      <c r="B41" s="162" t="s">
        <v>27</v>
      </c>
      <c r="C41" s="162"/>
      <c r="D41" s="39" t="s">
        <v>30</v>
      </c>
      <c r="E41" s="162" t="s">
        <v>91</v>
      </c>
      <c r="F41" s="162"/>
      <c r="G41" s="162"/>
      <c r="H41" s="162"/>
      <c r="I41" s="37"/>
      <c r="J41" s="162" t="s">
        <v>24</v>
      </c>
      <c r="K41" s="162"/>
      <c r="L41" s="162"/>
      <c r="M41" s="162"/>
      <c r="N41" s="162"/>
      <c r="O41" s="37"/>
    </row>
    <row r="42" spans="1:15" ht="14.25" x14ac:dyDescent="0.2">
      <c r="A42" s="37" t="s">
        <v>83</v>
      </c>
      <c r="B42" s="39" t="s">
        <v>28</v>
      </c>
      <c r="C42" s="39" t="s">
        <v>29</v>
      </c>
      <c r="D42" s="37"/>
      <c r="E42" s="39" t="s">
        <v>36</v>
      </c>
      <c r="F42" s="39"/>
      <c r="G42" s="39"/>
      <c r="H42" s="39"/>
      <c r="I42" s="37"/>
      <c r="J42" s="39" t="s">
        <v>9</v>
      </c>
      <c r="K42" s="39"/>
      <c r="L42" s="39" t="s">
        <v>98</v>
      </c>
      <c r="M42" s="39"/>
      <c r="N42" s="39"/>
      <c r="O42" s="39" t="s">
        <v>34</v>
      </c>
    </row>
    <row r="43" spans="1:15" ht="14.25" x14ac:dyDescent="0.2">
      <c r="A43" s="42" t="s">
        <v>85</v>
      </c>
      <c r="B43" s="43"/>
      <c r="C43" s="43"/>
      <c r="D43" s="43"/>
      <c r="E43" s="44" t="s">
        <v>33</v>
      </c>
      <c r="F43" s="44" t="s">
        <v>1</v>
      </c>
      <c r="G43" s="44" t="s">
        <v>37</v>
      </c>
      <c r="H43" s="44" t="s">
        <v>38</v>
      </c>
      <c r="I43" s="44"/>
      <c r="J43" s="44" t="s">
        <v>42</v>
      </c>
      <c r="K43" s="44" t="s">
        <v>40</v>
      </c>
      <c r="L43" s="44" t="s">
        <v>5</v>
      </c>
      <c r="M43" s="46" t="s">
        <v>4</v>
      </c>
      <c r="N43" s="44" t="s">
        <v>32</v>
      </c>
      <c r="O43" s="44" t="s">
        <v>95</v>
      </c>
    </row>
    <row r="44" spans="1:15" ht="14.25" x14ac:dyDescent="0.2">
      <c r="A44" s="37"/>
      <c r="B44" s="164" t="s">
        <v>93</v>
      </c>
      <c r="C44" s="163"/>
      <c r="D44" s="98" t="s">
        <v>78</v>
      </c>
      <c r="E44" s="163" t="s">
        <v>21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15" ht="14.25" x14ac:dyDescent="0.2">
      <c r="A45" s="37"/>
      <c r="B45" s="39"/>
      <c r="C45" s="39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6.5" x14ac:dyDescent="0.2">
      <c r="A46" s="37" t="s">
        <v>140</v>
      </c>
      <c r="B46" s="86">
        <v>1871.6</v>
      </c>
      <c r="C46" s="86">
        <v>1775.6</v>
      </c>
      <c r="D46" s="86">
        <f>F46*1000/C46</f>
        <v>4007.3271006983555</v>
      </c>
      <c r="E46" s="86">
        <v>1441.5920000000001</v>
      </c>
      <c r="F46" s="86">
        <v>7115.41</v>
      </c>
      <c r="G46" s="96">
        <v>171.48</v>
      </c>
      <c r="H46" s="86">
        <f>+E46+G46+F46</f>
        <v>8728.482</v>
      </c>
      <c r="I46" s="86"/>
      <c r="J46" s="86">
        <v>3148.9827068371601</v>
      </c>
      <c r="K46" s="86">
        <f>1.333*528.75</f>
        <v>704.82375000000002</v>
      </c>
      <c r="L46" s="88">
        <f>+N46-J46-K46-M46</f>
        <v>884.88454316283992</v>
      </c>
      <c r="M46" s="96">
        <v>1272.711</v>
      </c>
      <c r="N46" s="86">
        <f>+H46-O46</f>
        <v>6011.402</v>
      </c>
      <c r="O46" s="86">
        <v>2717.08</v>
      </c>
    </row>
    <row r="47" spans="1:15" ht="16.5" x14ac:dyDescent="0.2">
      <c r="A47" s="37" t="s">
        <v>163</v>
      </c>
      <c r="B47" s="86">
        <v>1425.5</v>
      </c>
      <c r="C47" s="86">
        <v>1368.5</v>
      </c>
      <c r="D47" s="86">
        <f>F47*1000/C47</f>
        <v>3990.9389842893679</v>
      </c>
      <c r="E47" s="86">
        <f>O46</f>
        <v>2717.08</v>
      </c>
      <c r="F47" s="86">
        <v>5461.6</v>
      </c>
      <c r="G47" s="96">
        <v>110</v>
      </c>
      <c r="H47" s="86">
        <f>+E47+G47+F47</f>
        <v>8288.68</v>
      </c>
      <c r="I47" s="86"/>
      <c r="J47" s="86">
        <v>3078</v>
      </c>
      <c r="K47" s="86">
        <v>650</v>
      </c>
      <c r="L47" s="88">
        <f>+N47-J47-K47-M47</f>
        <v>881.68000000000029</v>
      </c>
      <c r="M47" s="88">
        <v>1250</v>
      </c>
      <c r="N47" s="86">
        <f>+H47-O47</f>
        <v>5859.68</v>
      </c>
      <c r="O47" s="86">
        <v>2429</v>
      </c>
    </row>
    <row r="48" spans="1:15" ht="16.5" x14ac:dyDescent="0.2">
      <c r="A48" s="36" t="s">
        <v>172</v>
      </c>
      <c r="B48" s="89">
        <v>1449</v>
      </c>
      <c r="C48" s="89">
        <v>1391</v>
      </c>
      <c r="D48" s="89">
        <f>F48*1000/C48</f>
        <v>4051.0424155283968</v>
      </c>
      <c r="E48" s="89">
        <f>O47</f>
        <v>2429</v>
      </c>
      <c r="F48" s="89">
        <v>5635</v>
      </c>
      <c r="G48" s="92">
        <v>100</v>
      </c>
      <c r="H48" s="89">
        <f>+E48+G48+F48</f>
        <v>8164</v>
      </c>
      <c r="I48" s="89"/>
      <c r="J48" s="89">
        <v>3128</v>
      </c>
      <c r="K48" s="89">
        <v>704</v>
      </c>
      <c r="L48" s="92">
        <f>+N48-J48-K48-M48</f>
        <v>804</v>
      </c>
      <c r="M48" s="92">
        <v>1275</v>
      </c>
      <c r="N48" s="89">
        <f>+H48-O48</f>
        <v>5911</v>
      </c>
      <c r="O48" s="89">
        <v>2253</v>
      </c>
    </row>
    <row r="49" spans="1:15" ht="16.5" x14ac:dyDescent="0.2">
      <c r="A49" s="78" t="s">
        <v>128</v>
      </c>
      <c r="B49" s="37"/>
      <c r="C49" s="52"/>
      <c r="D49" s="52"/>
      <c r="E49" s="52"/>
      <c r="F49" s="52"/>
      <c r="G49" s="52"/>
      <c r="H49" s="52"/>
      <c r="I49" s="37"/>
      <c r="J49" s="37"/>
      <c r="K49" s="37"/>
      <c r="L49" s="37"/>
      <c r="M49" s="37"/>
      <c r="N49" s="37"/>
      <c r="O49" s="37"/>
    </row>
    <row r="50" spans="1:15" ht="14.25" x14ac:dyDescent="0.2">
      <c r="A50" s="37" t="s">
        <v>133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4.25" x14ac:dyDescent="0.2">
      <c r="A51" s="37" t="s">
        <v>130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4.25" x14ac:dyDescent="0.2">
      <c r="A52" s="37" t="s">
        <v>26</v>
      </c>
      <c r="B52" s="99">
        <f ca="1">NOW()</f>
        <v>43599.371933449074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3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6" t="s">
        <v>51</v>
      </c>
      <c r="B1" s="36"/>
      <c r="C1" s="36"/>
      <c r="D1" s="36"/>
      <c r="E1" s="36"/>
      <c r="F1" s="36"/>
      <c r="G1" s="36"/>
      <c r="H1" s="1"/>
      <c r="I1" s="1"/>
      <c r="J1" s="1"/>
      <c r="K1" s="1"/>
    </row>
    <row r="2" spans="1:11" ht="15.6" customHeight="1" x14ac:dyDescent="0.2">
      <c r="A2" s="40" t="s">
        <v>15</v>
      </c>
      <c r="B2" s="79" t="s">
        <v>134</v>
      </c>
      <c r="C2" s="79" t="s">
        <v>135</v>
      </c>
      <c r="D2" s="79" t="s">
        <v>136</v>
      </c>
      <c r="E2" s="79" t="s">
        <v>137</v>
      </c>
      <c r="F2" s="79" t="s">
        <v>138</v>
      </c>
      <c r="G2" s="79" t="s">
        <v>139</v>
      </c>
      <c r="H2" s="1"/>
      <c r="I2" s="1"/>
      <c r="J2" s="1"/>
      <c r="K2" s="1"/>
    </row>
    <row r="3" spans="1:11" ht="15.6" customHeight="1" x14ac:dyDescent="0.2">
      <c r="A3" s="36" t="s">
        <v>16</v>
      </c>
      <c r="B3" s="45"/>
      <c r="C3" s="100"/>
      <c r="D3" s="100"/>
      <c r="E3" s="100"/>
      <c r="F3" s="100"/>
      <c r="G3" s="100"/>
      <c r="H3" s="1"/>
      <c r="I3" s="1"/>
      <c r="J3" s="1"/>
      <c r="K3" s="2"/>
    </row>
    <row r="4" spans="1:11" ht="14.25" x14ac:dyDescent="0.2">
      <c r="A4" s="101"/>
      <c r="B4" s="102" t="s">
        <v>76</v>
      </c>
      <c r="C4" s="102" t="s">
        <v>86</v>
      </c>
      <c r="D4" s="102" t="s">
        <v>104</v>
      </c>
      <c r="E4" s="102" t="s">
        <v>50</v>
      </c>
      <c r="F4" s="102" t="s">
        <v>75</v>
      </c>
      <c r="G4" s="102" t="s">
        <v>76</v>
      </c>
      <c r="H4" s="1"/>
      <c r="I4" s="2"/>
      <c r="J4" s="2"/>
      <c r="K4" s="2"/>
    </row>
    <row r="5" spans="1:11" ht="14.25" x14ac:dyDescent="0.2">
      <c r="A5" s="37"/>
      <c r="B5" s="37"/>
      <c r="C5" s="37"/>
      <c r="D5" s="39"/>
      <c r="E5" s="37"/>
      <c r="F5" s="37"/>
      <c r="G5" s="37"/>
      <c r="H5" s="1"/>
      <c r="I5" s="1"/>
      <c r="J5" s="1"/>
      <c r="K5" s="1"/>
    </row>
    <row r="6" spans="1:11" ht="14.25" x14ac:dyDescent="0.2">
      <c r="A6" s="37" t="s">
        <v>54</v>
      </c>
      <c r="B6" s="103">
        <v>9.59</v>
      </c>
      <c r="C6" s="103">
        <v>158</v>
      </c>
      <c r="D6" s="103">
        <v>15.1</v>
      </c>
      <c r="E6" s="103">
        <v>16.2</v>
      </c>
      <c r="F6" s="103">
        <v>21.7</v>
      </c>
      <c r="G6" s="103">
        <v>8.15</v>
      </c>
      <c r="H6" s="1"/>
      <c r="I6" s="3"/>
      <c r="J6" s="3"/>
      <c r="K6" s="3"/>
    </row>
    <row r="7" spans="1:11" ht="14.25" x14ac:dyDescent="0.2">
      <c r="A7" s="37" t="s">
        <v>55</v>
      </c>
      <c r="B7" s="103">
        <v>11.3</v>
      </c>
      <c r="C7" s="103">
        <v>161</v>
      </c>
      <c r="D7" s="103">
        <v>23.3</v>
      </c>
      <c r="E7" s="103">
        <v>19.3</v>
      </c>
      <c r="F7" s="103">
        <v>22.5</v>
      </c>
      <c r="G7" s="103">
        <v>12.2</v>
      </c>
      <c r="H7" s="1"/>
      <c r="I7" s="3"/>
      <c r="J7" s="3"/>
      <c r="K7" s="3"/>
    </row>
    <row r="8" spans="1:11" ht="14.25" x14ac:dyDescent="0.2">
      <c r="A8" s="37" t="s">
        <v>66</v>
      </c>
      <c r="B8" s="103">
        <v>12.5</v>
      </c>
      <c r="C8" s="103">
        <v>260</v>
      </c>
      <c r="D8" s="103">
        <v>29.1</v>
      </c>
      <c r="E8" s="103">
        <v>24</v>
      </c>
      <c r="F8" s="103">
        <v>31.8</v>
      </c>
      <c r="G8" s="103">
        <v>13.9</v>
      </c>
      <c r="H8" s="1"/>
      <c r="I8" s="3"/>
      <c r="J8" s="3"/>
      <c r="K8" s="3"/>
    </row>
    <row r="9" spans="1:11" ht="14.25" x14ac:dyDescent="0.2">
      <c r="A9" s="37" t="s">
        <v>90</v>
      </c>
      <c r="B9" s="103">
        <v>14.4</v>
      </c>
      <c r="C9" s="103">
        <v>252</v>
      </c>
      <c r="D9" s="103">
        <v>25.4</v>
      </c>
      <c r="E9" s="103">
        <v>26.5</v>
      </c>
      <c r="F9" s="103">
        <v>30.1</v>
      </c>
      <c r="G9" s="103">
        <v>13.8</v>
      </c>
      <c r="H9" s="1"/>
      <c r="I9" s="3"/>
      <c r="J9" s="3"/>
      <c r="K9" s="3"/>
    </row>
    <row r="10" spans="1:11" ht="14.25" x14ac:dyDescent="0.2">
      <c r="A10" s="37" t="s">
        <v>97</v>
      </c>
      <c r="B10" s="103">
        <v>13</v>
      </c>
      <c r="C10" s="103">
        <v>246</v>
      </c>
      <c r="D10" s="103">
        <v>21.4</v>
      </c>
      <c r="E10" s="103">
        <v>20.6</v>
      </c>
      <c r="F10" s="103">
        <v>24.9</v>
      </c>
      <c r="G10" s="103">
        <v>13.8</v>
      </c>
      <c r="H10" s="1"/>
      <c r="I10" s="3"/>
      <c r="J10" s="3"/>
      <c r="K10" s="3"/>
    </row>
    <row r="11" spans="1:11" ht="14.25" x14ac:dyDescent="0.2">
      <c r="A11" s="37" t="s">
        <v>100</v>
      </c>
      <c r="B11" s="103">
        <v>10.1</v>
      </c>
      <c r="C11" s="103">
        <v>194</v>
      </c>
      <c r="D11" s="103">
        <v>21.7</v>
      </c>
      <c r="E11" s="103">
        <v>16.899999999999999</v>
      </c>
      <c r="F11" s="103">
        <v>22</v>
      </c>
      <c r="G11" s="103">
        <v>11.8</v>
      </c>
      <c r="H11" s="1"/>
      <c r="I11" s="3"/>
      <c r="J11" s="3"/>
      <c r="K11" s="3"/>
    </row>
    <row r="12" spans="1:11" ht="14.25" x14ac:dyDescent="0.2">
      <c r="A12" s="37" t="s">
        <v>101</v>
      </c>
      <c r="B12" s="103">
        <v>8.9499999999999993</v>
      </c>
      <c r="C12" s="103">
        <v>227</v>
      </c>
      <c r="D12" s="103">
        <v>19.600000000000001</v>
      </c>
      <c r="E12" s="103">
        <v>15.6</v>
      </c>
      <c r="F12" s="103">
        <v>19.3</v>
      </c>
      <c r="G12" s="103">
        <v>8.9499999999999993</v>
      </c>
      <c r="H12" s="1"/>
      <c r="I12" s="3"/>
      <c r="J12" s="3"/>
      <c r="K12" s="3"/>
    </row>
    <row r="13" spans="1:11" ht="14.25" x14ac:dyDescent="0.2">
      <c r="A13" s="37" t="s">
        <v>117</v>
      </c>
      <c r="B13" s="103">
        <v>9.4700000000000006</v>
      </c>
      <c r="C13" s="103">
        <v>195</v>
      </c>
      <c r="D13" s="103">
        <v>17.399999999999999</v>
      </c>
      <c r="E13" s="103">
        <v>16.600000000000001</v>
      </c>
      <c r="F13" s="103">
        <v>19.7</v>
      </c>
      <c r="G13" s="103">
        <v>8</v>
      </c>
      <c r="H13" s="1"/>
      <c r="I13" s="3"/>
      <c r="J13" s="3"/>
      <c r="K13" s="3"/>
    </row>
    <row r="14" spans="1:11" ht="14.25" x14ac:dyDescent="0.2">
      <c r="A14" s="37" t="s">
        <v>119</v>
      </c>
      <c r="B14" s="103">
        <v>9.33</v>
      </c>
      <c r="C14" s="103">
        <v>142</v>
      </c>
      <c r="D14" s="103">
        <v>17.2</v>
      </c>
      <c r="E14" s="103">
        <v>17.5</v>
      </c>
      <c r="F14" s="103">
        <v>22.9</v>
      </c>
      <c r="G14" s="103">
        <v>9.5299999999999994</v>
      </c>
      <c r="H14" s="1"/>
      <c r="I14" s="3"/>
      <c r="J14" s="3"/>
      <c r="K14" s="3"/>
    </row>
    <row r="15" spans="1:11" ht="16.5" x14ac:dyDescent="0.2">
      <c r="A15" s="37" t="s">
        <v>162</v>
      </c>
      <c r="B15" s="103">
        <v>8.5500000000000007</v>
      </c>
      <c r="C15" s="103">
        <v>152</v>
      </c>
      <c r="D15" s="103">
        <v>17.25</v>
      </c>
      <c r="E15" s="103">
        <v>16</v>
      </c>
      <c r="F15" s="103">
        <v>21.3</v>
      </c>
      <c r="G15" s="103">
        <v>9.8000000000000007</v>
      </c>
      <c r="H15" s="1"/>
      <c r="I15" s="7"/>
      <c r="J15" s="3"/>
      <c r="K15" s="3"/>
    </row>
    <row r="16" spans="1:11" ht="16.5" x14ac:dyDescent="0.2">
      <c r="A16" s="37" t="s">
        <v>171</v>
      </c>
      <c r="B16" s="103">
        <v>8.1</v>
      </c>
      <c r="C16" s="103">
        <v>145</v>
      </c>
      <c r="D16" s="103">
        <v>16.75</v>
      </c>
      <c r="E16" s="103">
        <v>15.35</v>
      </c>
      <c r="F16" s="103">
        <v>21</v>
      </c>
      <c r="G16" s="103">
        <v>9</v>
      </c>
      <c r="H16" s="1"/>
      <c r="I16" s="7"/>
      <c r="J16" s="3"/>
      <c r="K16" s="3"/>
    </row>
    <row r="17" spans="1:11" ht="14.25" x14ac:dyDescent="0.2">
      <c r="A17" s="40"/>
      <c r="B17" s="105"/>
      <c r="C17" s="106"/>
      <c r="D17" s="107"/>
      <c r="E17" s="107"/>
      <c r="F17" s="104"/>
      <c r="G17" s="108"/>
      <c r="H17" s="3"/>
      <c r="I17" s="7"/>
      <c r="J17" s="3"/>
      <c r="K17" s="3"/>
    </row>
    <row r="18" spans="1:11" ht="14.25" x14ac:dyDescent="0.2">
      <c r="A18" s="64" t="s">
        <v>119</v>
      </c>
      <c r="B18" s="103"/>
      <c r="C18" s="103"/>
      <c r="D18" s="103"/>
      <c r="E18" s="103"/>
      <c r="F18" s="103"/>
      <c r="G18" s="103"/>
      <c r="H18" s="1"/>
    </row>
    <row r="19" spans="1:11" ht="14.25" x14ac:dyDescent="0.2">
      <c r="A19" s="37" t="s">
        <v>70</v>
      </c>
      <c r="B19" s="103">
        <v>9.35</v>
      </c>
      <c r="C19" s="103">
        <v>127</v>
      </c>
      <c r="D19" s="103">
        <v>17.399999999999999</v>
      </c>
      <c r="E19" s="103">
        <v>17.3</v>
      </c>
      <c r="F19" s="103">
        <v>23</v>
      </c>
      <c r="G19" s="103">
        <v>9.5500000000000007</v>
      </c>
      <c r="H19" s="1"/>
    </row>
    <row r="20" spans="1:11" ht="14.25" x14ac:dyDescent="0.2">
      <c r="A20" s="37" t="s">
        <v>57</v>
      </c>
      <c r="B20" s="103">
        <v>9.18</v>
      </c>
      <c r="C20" s="103">
        <v>141</v>
      </c>
      <c r="D20" s="103">
        <v>16.8</v>
      </c>
      <c r="E20" s="103">
        <v>16.600000000000001</v>
      </c>
      <c r="F20" s="103">
        <v>23.2</v>
      </c>
      <c r="G20" s="103">
        <v>9.23</v>
      </c>
      <c r="H20" s="1"/>
    </row>
    <row r="21" spans="1:11" ht="14.25" x14ac:dyDescent="0.2">
      <c r="A21" s="37" t="s">
        <v>58</v>
      </c>
      <c r="B21" s="103">
        <v>9.2200000000000006</v>
      </c>
      <c r="C21" s="103">
        <v>144</v>
      </c>
      <c r="D21" s="103">
        <v>16.600000000000001</v>
      </c>
      <c r="E21" s="103">
        <v>17.2</v>
      </c>
      <c r="F21" s="103">
        <v>22.7</v>
      </c>
      <c r="G21" s="103">
        <v>9.2100000000000009</v>
      </c>
      <c r="H21" s="1"/>
    </row>
    <row r="22" spans="1:11" ht="14.25" x14ac:dyDescent="0.2">
      <c r="A22" s="37" t="s">
        <v>59</v>
      </c>
      <c r="B22" s="103">
        <v>9.3000000000000007</v>
      </c>
      <c r="C22" s="103">
        <v>143</v>
      </c>
      <c r="D22" s="103">
        <v>17</v>
      </c>
      <c r="E22" s="103">
        <v>16.7</v>
      </c>
      <c r="F22" s="103">
        <v>23</v>
      </c>
      <c r="G22" s="103">
        <v>9.34</v>
      </c>
      <c r="H22" s="1"/>
    </row>
    <row r="23" spans="1:11" ht="14.25" x14ac:dyDescent="0.2">
      <c r="A23" s="37" t="s">
        <v>60</v>
      </c>
      <c r="B23" s="103">
        <v>9.3000000000000007</v>
      </c>
      <c r="C23" s="103">
        <v>139</v>
      </c>
      <c r="D23" s="103">
        <v>17.600000000000001</v>
      </c>
      <c r="E23" s="103">
        <v>17.7</v>
      </c>
      <c r="F23" s="103">
        <v>22.9</v>
      </c>
      <c r="G23" s="103">
        <v>9.39</v>
      </c>
      <c r="H23" s="1"/>
    </row>
    <row r="24" spans="1:11" ht="14.25" x14ac:dyDescent="0.2">
      <c r="A24" s="37" t="s">
        <v>61</v>
      </c>
      <c r="B24" s="103">
        <v>9.5</v>
      </c>
      <c r="C24" s="103">
        <v>156</v>
      </c>
      <c r="D24" s="103">
        <v>17.7</v>
      </c>
      <c r="E24" s="103">
        <v>18.3</v>
      </c>
      <c r="F24" s="103">
        <v>22.7</v>
      </c>
      <c r="G24" s="103">
        <v>9.81</v>
      </c>
      <c r="H24" s="1"/>
    </row>
    <row r="25" spans="1:11" ht="14.25" x14ac:dyDescent="0.2">
      <c r="A25" s="37" t="s">
        <v>62</v>
      </c>
      <c r="B25" s="103">
        <v>9.81</v>
      </c>
      <c r="C25" s="103" t="s">
        <v>10</v>
      </c>
      <c r="D25" s="103">
        <v>17.3</v>
      </c>
      <c r="E25" s="103">
        <v>18.2</v>
      </c>
      <c r="F25" s="103">
        <v>24.4</v>
      </c>
      <c r="G25" s="103">
        <v>9.76</v>
      </c>
      <c r="H25" s="1"/>
    </row>
    <row r="26" spans="1:11" ht="14.25" x14ac:dyDescent="0.2">
      <c r="A26" s="37" t="s">
        <v>63</v>
      </c>
      <c r="B26" s="103">
        <v>9.85</v>
      </c>
      <c r="C26" s="103" t="s">
        <v>10</v>
      </c>
      <c r="D26" s="103">
        <v>18</v>
      </c>
      <c r="E26" s="103">
        <v>17.5</v>
      </c>
      <c r="F26" s="103">
        <v>23.3</v>
      </c>
      <c r="G26" s="103">
        <v>9.92</v>
      </c>
      <c r="H26" s="1"/>
    </row>
    <row r="27" spans="1:11" ht="14.25" x14ac:dyDescent="0.2">
      <c r="A27" s="37" t="s">
        <v>64</v>
      </c>
      <c r="B27" s="103">
        <v>9.84</v>
      </c>
      <c r="C27" s="103" t="s">
        <v>10</v>
      </c>
      <c r="D27" s="103">
        <v>17.899999999999999</v>
      </c>
      <c r="E27" s="103">
        <v>18.5</v>
      </c>
      <c r="F27" s="103">
        <v>22.7</v>
      </c>
      <c r="G27" s="103">
        <v>10.1</v>
      </c>
      <c r="H27" s="1"/>
    </row>
    <row r="28" spans="1:11" ht="14.25" x14ac:dyDescent="0.2">
      <c r="A28" s="37" t="s">
        <v>65</v>
      </c>
      <c r="B28" s="103">
        <v>9.5500000000000007</v>
      </c>
      <c r="C28" s="103" t="s">
        <v>10</v>
      </c>
      <c r="D28" s="103">
        <v>17.7</v>
      </c>
      <c r="E28" s="103">
        <v>17.2</v>
      </c>
      <c r="F28" s="103">
        <v>22.7</v>
      </c>
      <c r="G28" s="103">
        <v>9.98</v>
      </c>
      <c r="H28" s="1"/>
    </row>
    <row r="29" spans="1:11" ht="14.25" x14ac:dyDescent="0.2">
      <c r="A29" s="37" t="s">
        <v>67</v>
      </c>
      <c r="B29" s="103">
        <v>9.08</v>
      </c>
      <c r="C29" s="103" t="s">
        <v>10</v>
      </c>
      <c r="D29" s="103">
        <v>17.399999999999999</v>
      </c>
      <c r="E29" s="103">
        <v>17.100000000000001</v>
      </c>
      <c r="F29" s="103">
        <v>22.4</v>
      </c>
      <c r="G29" s="103">
        <v>9.9600000000000009</v>
      </c>
      <c r="H29" s="1"/>
    </row>
    <row r="30" spans="1:11" ht="14.25" x14ac:dyDescent="0.2">
      <c r="A30" s="37" t="s">
        <v>68</v>
      </c>
      <c r="B30" s="103">
        <v>8.59</v>
      </c>
      <c r="C30" s="103">
        <v>134</v>
      </c>
      <c r="D30" s="103">
        <v>16.899999999999999</v>
      </c>
      <c r="E30" s="103">
        <v>15.3</v>
      </c>
      <c r="F30" s="103">
        <v>22</v>
      </c>
      <c r="G30" s="103">
        <v>10.199999999999999</v>
      </c>
      <c r="H30" s="1"/>
    </row>
    <row r="31" spans="1:11" ht="14.25" x14ac:dyDescent="0.2">
      <c r="A31" s="40"/>
      <c r="B31" s="103"/>
      <c r="C31" s="103"/>
      <c r="D31" s="103"/>
      <c r="E31" s="103"/>
      <c r="F31" s="103"/>
      <c r="G31" s="103"/>
    </row>
    <row r="32" spans="1:11" ht="14.25" x14ac:dyDescent="0.2">
      <c r="A32" s="64" t="s">
        <v>164</v>
      </c>
      <c r="B32" s="103"/>
      <c r="C32" s="103"/>
      <c r="D32" s="103"/>
      <c r="E32" s="103"/>
      <c r="F32" s="103"/>
      <c r="G32" s="103"/>
    </row>
    <row r="33" spans="1:7" ht="14.25" x14ac:dyDescent="0.2">
      <c r="A33" s="40" t="s">
        <v>70</v>
      </c>
      <c r="B33" s="103">
        <v>8.77</v>
      </c>
      <c r="C33" s="103">
        <v>141</v>
      </c>
      <c r="D33" s="103">
        <v>16.7</v>
      </c>
      <c r="E33" s="103">
        <v>15.2</v>
      </c>
      <c r="F33" s="103">
        <v>22.2</v>
      </c>
      <c r="G33" s="103">
        <v>9.7899999999999991</v>
      </c>
    </row>
    <row r="34" spans="1:7" ht="14.25" x14ac:dyDescent="0.2">
      <c r="A34" s="40" t="s">
        <v>57</v>
      </c>
      <c r="B34" s="103">
        <v>8.58</v>
      </c>
      <c r="C34" s="103">
        <v>146</v>
      </c>
      <c r="D34" s="103">
        <v>16.7</v>
      </c>
      <c r="E34" s="103">
        <v>15.6</v>
      </c>
      <c r="F34" s="103">
        <v>22.103000000000002</v>
      </c>
      <c r="G34" s="103">
        <v>9.7899999999999991</v>
      </c>
    </row>
    <row r="35" spans="1:7" ht="14.25" x14ac:dyDescent="0.2">
      <c r="A35" s="40" t="s">
        <v>58</v>
      </c>
      <c r="B35" s="103">
        <v>8.3699999999999992</v>
      </c>
      <c r="C35" s="103">
        <v>152</v>
      </c>
      <c r="D35" s="103">
        <v>17</v>
      </c>
      <c r="E35" s="103">
        <v>16</v>
      </c>
      <c r="F35" s="103">
        <v>21.2</v>
      </c>
      <c r="G35" s="103">
        <v>9.76</v>
      </c>
    </row>
    <row r="36" spans="1:7" ht="14.25" x14ac:dyDescent="0.2">
      <c r="A36" s="40" t="s">
        <v>59</v>
      </c>
      <c r="B36" s="103">
        <v>8.57</v>
      </c>
      <c r="C36" s="103">
        <v>163</v>
      </c>
      <c r="D36" s="103">
        <v>16.399999999999999</v>
      </c>
      <c r="E36" s="103">
        <v>16.3</v>
      </c>
      <c r="F36" s="103">
        <v>17.8</v>
      </c>
      <c r="G36" s="103">
        <v>9.66</v>
      </c>
    </row>
    <row r="37" spans="1:7" ht="14.25" x14ac:dyDescent="0.2">
      <c r="A37" s="40" t="s">
        <v>60</v>
      </c>
      <c r="B37" s="103">
        <v>8.6300000000000008</v>
      </c>
      <c r="C37" s="103">
        <v>165</v>
      </c>
      <c r="D37" s="103">
        <v>17.399999999999999</v>
      </c>
      <c r="E37" s="103">
        <v>16.7</v>
      </c>
      <c r="F37" s="103">
        <v>22.2</v>
      </c>
      <c r="G37" s="103">
        <v>9.75</v>
      </c>
    </row>
    <row r="38" spans="1:7" ht="14.25" x14ac:dyDescent="0.2">
      <c r="A38" s="40" t="s">
        <v>61</v>
      </c>
      <c r="B38" s="103">
        <v>8.52</v>
      </c>
      <c r="C38" s="103">
        <v>174</v>
      </c>
      <c r="D38" s="103">
        <v>18</v>
      </c>
      <c r="E38" s="103">
        <v>16.2</v>
      </c>
      <c r="F38" s="103">
        <v>21.5</v>
      </c>
      <c r="G38" s="103">
        <v>9.7899999999999991</v>
      </c>
    </row>
    <row r="39" spans="1:7" ht="14.25" x14ac:dyDescent="0.2">
      <c r="A39" s="36" t="s">
        <v>62</v>
      </c>
      <c r="B39" s="109">
        <v>8.52</v>
      </c>
      <c r="C39" s="109" t="s">
        <v>10</v>
      </c>
      <c r="D39" s="109">
        <v>17.8</v>
      </c>
      <c r="E39" s="109">
        <v>15.8</v>
      </c>
      <c r="F39" s="109">
        <v>16</v>
      </c>
      <c r="G39" s="109">
        <v>10.1</v>
      </c>
    </row>
    <row r="40" spans="1:7" ht="16.5" x14ac:dyDescent="0.2">
      <c r="A40" s="37" t="s">
        <v>141</v>
      </c>
      <c r="B40" s="37"/>
      <c r="C40" s="37"/>
      <c r="D40" s="37"/>
      <c r="E40" s="37"/>
      <c r="F40" s="37"/>
      <c r="G40" s="37"/>
    </row>
    <row r="41" spans="1:7" ht="14.25" x14ac:dyDescent="0.2">
      <c r="A41" s="37" t="s">
        <v>56</v>
      </c>
      <c r="B41" s="110"/>
      <c r="C41" s="110" t="s">
        <v>105</v>
      </c>
      <c r="D41" s="110"/>
      <c r="E41" s="110"/>
      <c r="F41" s="110"/>
      <c r="G41" s="110"/>
    </row>
    <row r="42" spans="1:7" ht="14.25" x14ac:dyDescent="0.2">
      <c r="A42" s="37" t="s">
        <v>142</v>
      </c>
      <c r="B42" s="37"/>
      <c r="C42" s="37"/>
      <c r="D42" s="37"/>
      <c r="E42" s="37"/>
      <c r="F42" s="37"/>
      <c r="G42" s="37"/>
    </row>
    <row r="43" spans="1:7" ht="14.25" x14ac:dyDescent="0.2">
      <c r="A43" s="37" t="s">
        <v>26</v>
      </c>
      <c r="B43" s="70">
        <f ca="1">NOW()</f>
        <v>43599.371933449074</v>
      </c>
      <c r="C43" s="37"/>
      <c r="D43" s="37"/>
      <c r="E43" s="37"/>
      <c r="F43" s="37"/>
      <c r="G43" s="37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3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6" t="s">
        <v>22</v>
      </c>
      <c r="B1" s="36"/>
      <c r="C1" s="36"/>
      <c r="D1" s="36"/>
      <c r="E1" s="36"/>
      <c r="F1" s="36"/>
      <c r="G1" s="36"/>
      <c r="H1" s="36"/>
      <c r="I1" s="37"/>
    </row>
    <row r="2" spans="1:9" ht="15.6" customHeight="1" x14ac:dyDescent="0.2">
      <c r="A2" s="111" t="s">
        <v>15</v>
      </c>
      <c r="B2" s="79" t="s">
        <v>44</v>
      </c>
      <c r="C2" s="79" t="s">
        <v>17</v>
      </c>
      <c r="D2" s="79" t="s">
        <v>88</v>
      </c>
      <c r="E2" s="112" t="s">
        <v>52</v>
      </c>
      <c r="F2" s="112" t="s">
        <v>45</v>
      </c>
      <c r="G2" s="79" t="s">
        <v>49</v>
      </c>
      <c r="H2" s="79" t="s">
        <v>143</v>
      </c>
      <c r="I2" s="113" t="s">
        <v>48</v>
      </c>
    </row>
    <row r="3" spans="1:9" ht="15.6" customHeight="1" x14ac:dyDescent="0.2">
      <c r="A3" s="84" t="s">
        <v>16</v>
      </c>
      <c r="B3" s="44" t="s">
        <v>144</v>
      </c>
      <c r="C3" s="44" t="s">
        <v>145</v>
      </c>
      <c r="D3" s="44" t="s">
        <v>146</v>
      </c>
      <c r="E3" s="44" t="s">
        <v>146</v>
      </c>
      <c r="F3" s="44" t="s">
        <v>147</v>
      </c>
      <c r="G3" s="44" t="s">
        <v>148</v>
      </c>
      <c r="H3" s="44"/>
      <c r="I3" s="44" t="s">
        <v>149</v>
      </c>
    </row>
    <row r="4" spans="1:9" ht="14.25" x14ac:dyDescent="0.2">
      <c r="A4" s="37"/>
      <c r="B4" s="56" t="s">
        <v>106</v>
      </c>
      <c r="C4" s="114"/>
      <c r="D4" s="114"/>
      <c r="E4" s="114"/>
      <c r="F4" s="114"/>
      <c r="G4" s="114"/>
      <c r="H4" s="114"/>
      <c r="I4" s="114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ht="14.25" x14ac:dyDescent="0.2">
      <c r="A6" s="37" t="s">
        <v>54</v>
      </c>
      <c r="B6" s="103">
        <v>35.950000000000003</v>
      </c>
      <c r="C6" s="103">
        <v>40.270000000000003</v>
      </c>
      <c r="D6" s="103">
        <v>52.8</v>
      </c>
      <c r="E6" s="103">
        <v>42.88</v>
      </c>
      <c r="F6" s="103">
        <v>59.62</v>
      </c>
      <c r="G6" s="103">
        <v>39.29</v>
      </c>
      <c r="H6" s="103">
        <v>31.99</v>
      </c>
      <c r="I6" s="103">
        <v>32.26</v>
      </c>
    </row>
    <row r="7" spans="1:9" ht="14.25" x14ac:dyDescent="0.2">
      <c r="A7" s="37" t="s">
        <v>55</v>
      </c>
      <c r="B7" s="103">
        <v>53.2</v>
      </c>
      <c r="C7" s="103">
        <v>54.5</v>
      </c>
      <c r="D7" s="103">
        <v>86.12</v>
      </c>
      <c r="E7" s="103">
        <v>58.68</v>
      </c>
      <c r="F7" s="103">
        <v>77.239999999999995</v>
      </c>
      <c r="G7" s="103">
        <v>60.76</v>
      </c>
      <c r="H7" s="103">
        <v>51.52</v>
      </c>
      <c r="I7" s="103">
        <v>51.34</v>
      </c>
    </row>
    <row r="8" spans="1:9" ht="14.25" x14ac:dyDescent="0.2">
      <c r="A8" s="37" t="s">
        <v>66</v>
      </c>
      <c r="B8" s="103">
        <v>51.9</v>
      </c>
      <c r="C8" s="103">
        <v>53.22</v>
      </c>
      <c r="D8" s="103">
        <v>83.2</v>
      </c>
      <c r="E8" s="103">
        <v>57.19</v>
      </c>
      <c r="F8" s="103">
        <v>100.15</v>
      </c>
      <c r="G8" s="103">
        <v>56.09</v>
      </c>
      <c r="H8" s="103">
        <v>48.11</v>
      </c>
      <c r="I8" s="103">
        <v>50.33</v>
      </c>
    </row>
    <row r="9" spans="1:9" ht="14.25" x14ac:dyDescent="0.2">
      <c r="A9" s="37" t="s">
        <v>90</v>
      </c>
      <c r="B9" s="103">
        <v>47.13</v>
      </c>
      <c r="C9" s="103">
        <v>48.6</v>
      </c>
      <c r="D9" s="103">
        <v>65.87</v>
      </c>
      <c r="E9" s="103">
        <v>56.17</v>
      </c>
      <c r="F9" s="103">
        <v>91.83</v>
      </c>
      <c r="G9" s="103">
        <v>46.66</v>
      </c>
      <c r="H9" s="103">
        <v>51.8</v>
      </c>
      <c r="I9" s="103">
        <v>43.24</v>
      </c>
    </row>
    <row r="10" spans="1:9" ht="14.25" x14ac:dyDescent="0.2">
      <c r="A10" s="37" t="s">
        <v>97</v>
      </c>
      <c r="B10" s="103">
        <v>38.229999999999997</v>
      </c>
      <c r="C10" s="103">
        <v>60.66</v>
      </c>
      <c r="D10" s="103">
        <v>59.12</v>
      </c>
      <c r="E10" s="103">
        <v>43.7</v>
      </c>
      <c r="F10" s="103">
        <v>68.23</v>
      </c>
      <c r="G10" s="103">
        <v>39.43</v>
      </c>
      <c r="H10" s="103">
        <v>43.93</v>
      </c>
      <c r="I10" s="103">
        <v>39.76</v>
      </c>
    </row>
    <row r="11" spans="1:9" ht="14.25" x14ac:dyDescent="0.2">
      <c r="A11" s="37" t="s">
        <v>100</v>
      </c>
      <c r="B11" s="103">
        <v>31.6</v>
      </c>
      <c r="C11" s="103">
        <v>45.74</v>
      </c>
      <c r="D11" s="103">
        <v>66.72</v>
      </c>
      <c r="E11" s="103">
        <v>37.81</v>
      </c>
      <c r="F11" s="103">
        <v>57.96</v>
      </c>
      <c r="G11" s="103">
        <v>37.479999999999997</v>
      </c>
      <c r="H11" s="103">
        <v>33.43</v>
      </c>
      <c r="I11" s="103">
        <v>31.36</v>
      </c>
    </row>
    <row r="12" spans="1:9" ht="14.25" x14ac:dyDescent="0.2">
      <c r="A12" s="37" t="s">
        <v>101</v>
      </c>
      <c r="B12" s="103">
        <v>29.86</v>
      </c>
      <c r="C12" s="103">
        <v>45.87</v>
      </c>
      <c r="D12" s="103">
        <v>57.81</v>
      </c>
      <c r="E12" s="103">
        <v>35.270000000000003</v>
      </c>
      <c r="F12" s="103">
        <v>58.26</v>
      </c>
      <c r="G12" s="103">
        <v>39.25</v>
      </c>
      <c r="H12" s="103">
        <v>32.229999999999997</v>
      </c>
      <c r="I12" s="103">
        <v>30.07</v>
      </c>
    </row>
    <row r="13" spans="1:9" ht="14.25" x14ac:dyDescent="0.2">
      <c r="A13" s="37" t="s">
        <v>117</v>
      </c>
      <c r="B13" s="103">
        <v>32.549999999999997</v>
      </c>
      <c r="C13" s="103">
        <v>40.92</v>
      </c>
      <c r="D13" s="103">
        <v>53.54</v>
      </c>
      <c r="E13" s="103">
        <v>38.729999999999997</v>
      </c>
      <c r="F13" s="103">
        <v>66.73</v>
      </c>
      <c r="G13" s="103">
        <v>37.43</v>
      </c>
      <c r="H13" s="103">
        <v>33.07</v>
      </c>
      <c r="I13" s="103">
        <v>34.75</v>
      </c>
    </row>
    <row r="14" spans="1:9" ht="14.25" x14ac:dyDescent="0.2">
      <c r="A14" s="37" t="s">
        <v>119</v>
      </c>
      <c r="B14" s="103">
        <v>30.04</v>
      </c>
      <c r="C14" s="103">
        <v>31.87</v>
      </c>
      <c r="D14" s="103">
        <v>54.57</v>
      </c>
      <c r="E14" s="103">
        <v>38.270000000000003</v>
      </c>
      <c r="F14" s="103">
        <v>66.72</v>
      </c>
      <c r="G14" s="103">
        <v>30.35</v>
      </c>
      <c r="H14" s="103">
        <v>34.159999999999997</v>
      </c>
      <c r="I14" s="103">
        <v>31.21</v>
      </c>
    </row>
    <row r="15" spans="1:9" ht="16.5" x14ac:dyDescent="0.2">
      <c r="A15" s="37" t="s">
        <v>162</v>
      </c>
      <c r="B15" s="103">
        <v>28</v>
      </c>
      <c r="C15" s="103">
        <v>33.5</v>
      </c>
      <c r="D15" s="103">
        <v>53</v>
      </c>
      <c r="E15" s="103">
        <v>36.5</v>
      </c>
      <c r="F15" s="103">
        <v>64.5</v>
      </c>
      <c r="G15" s="103">
        <v>27</v>
      </c>
      <c r="H15" s="103">
        <v>31.5</v>
      </c>
      <c r="I15" s="103">
        <v>31.5</v>
      </c>
    </row>
    <row r="16" spans="1:9" ht="16.5" x14ac:dyDescent="0.2">
      <c r="A16" s="37" t="s">
        <v>171</v>
      </c>
      <c r="B16" s="103">
        <v>29.5</v>
      </c>
      <c r="C16" s="103">
        <v>34</v>
      </c>
      <c r="D16" s="103">
        <v>54</v>
      </c>
      <c r="E16" s="103">
        <v>36.5</v>
      </c>
      <c r="F16" s="103">
        <v>66.5</v>
      </c>
      <c r="G16" s="103">
        <v>31.5</v>
      </c>
      <c r="H16" s="103">
        <v>32.5</v>
      </c>
      <c r="I16" s="103">
        <v>32</v>
      </c>
    </row>
    <row r="17" spans="1:15" ht="14.25" x14ac:dyDescent="0.2">
      <c r="A17" s="37"/>
      <c r="B17" s="53"/>
      <c r="C17" s="106"/>
      <c r="D17" s="115"/>
      <c r="E17" s="115"/>
      <c r="F17" s="115"/>
      <c r="G17" s="115"/>
      <c r="H17" s="37"/>
      <c r="I17" s="37"/>
    </row>
    <row r="18" spans="1:15" ht="14.25" x14ac:dyDescent="0.2">
      <c r="A18" s="37" t="s">
        <v>119</v>
      </c>
      <c r="B18" s="103"/>
      <c r="C18" s="103"/>
      <c r="D18" s="103"/>
      <c r="E18" s="103"/>
      <c r="F18" s="103"/>
      <c r="G18" s="103"/>
      <c r="H18" s="103"/>
      <c r="I18" s="103"/>
    </row>
    <row r="19" spans="1:15" ht="14.25" x14ac:dyDescent="0.2">
      <c r="A19" s="37" t="s">
        <v>57</v>
      </c>
      <c r="B19" s="103">
        <v>32.35</v>
      </c>
      <c r="C19" s="103">
        <v>37.06</v>
      </c>
      <c r="D19" s="103">
        <v>56</v>
      </c>
      <c r="E19" s="103">
        <v>39.06</v>
      </c>
      <c r="F19" s="103">
        <v>65.44</v>
      </c>
      <c r="G19" s="103">
        <v>34.96</v>
      </c>
      <c r="H19" s="103">
        <v>36</v>
      </c>
      <c r="I19" s="103">
        <v>32.06</v>
      </c>
      <c r="K19" s="7"/>
      <c r="L19" s="7"/>
      <c r="M19" s="7"/>
      <c r="N19" s="7"/>
      <c r="O19" s="7"/>
    </row>
    <row r="20" spans="1:15" ht="14.25" x14ac:dyDescent="0.2">
      <c r="A20" s="37" t="s">
        <v>58</v>
      </c>
      <c r="B20" s="103">
        <v>33.43</v>
      </c>
      <c r="C20" s="103">
        <v>37</v>
      </c>
      <c r="D20" s="103">
        <v>55.5</v>
      </c>
      <c r="E20" s="103">
        <v>39.69</v>
      </c>
      <c r="F20" s="103">
        <v>65</v>
      </c>
      <c r="G20" s="103">
        <v>34.46</v>
      </c>
      <c r="H20" s="103">
        <v>38.17</v>
      </c>
      <c r="I20" s="103">
        <v>33.44</v>
      </c>
      <c r="K20" s="7"/>
      <c r="L20" s="7"/>
      <c r="M20" s="7"/>
      <c r="N20" s="7"/>
      <c r="O20" s="7"/>
    </row>
    <row r="21" spans="1:15" ht="14.25" x14ac:dyDescent="0.2">
      <c r="A21" s="37" t="s">
        <v>59</v>
      </c>
      <c r="B21" s="103">
        <v>32.270000000000003</v>
      </c>
      <c r="C21" s="103">
        <v>34.25</v>
      </c>
      <c r="D21" s="103">
        <v>54.8</v>
      </c>
      <c r="E21" s="103">
        <v>38.65</v>
      </c>
      <c r="F21" s="103">
        <v>65.2</v>
      </c>
      <c r="G21" s="103">
        <v>33.96</v>
      </c>
      <c r="H21" s="103">
        <v>37</v>
      </c>
      <c r="I21" s="103">
        <v>31.63</v>
      </c>
    </row>
    <row r="22" spans="1:15" ht="14.25" x14ac:dyDescent="0.2">
      <c r="A22" s="37" t="s">
        <v>60</v>
      </c>
      <c r="B22" s="103">
        <v>31.61</v>
      </c>
      <c r="C22" s="103">
        <v>32.75</v>
      </c>
      <c r="D22" s="103">
        <v>55.5</v>
      </c>
      <c r="E22" s="103">
        <v>38.31</v>
      </c>
      <c r="F22" s="103">
        <v>66.13</v>
      </c>
      <c r="G22" s="103">
        <v>30.68</v>
      </c>
      <c r="H22" s="103">
        <v>32.08</v>
      </c>
      <c r="I22" s="103" t="s">
        <v>10</v>
      </c>
    </row>
    <row r="23" spans="1:15" ht="14.25" x14ac:dyDescent="0.2">
      <c r="A23" s="37" t="s">
        <v>61</v>
      </c>
      <c r="B23" s="103">
        <v>30.63</v>
      </c>
      <c r="C23" s="103">
        <v>31.44</v>
      </c>
      <c r="D23" s="103">
        <v>55</v>
      </c>
      <c r="E23" s="103">
        <v>37.44</v>
      </c>
      <c r="F23" s="103">
        <v>66.63</v>
      </c>
      <c r="G23" s="103">
        <v>29.72</v>
      </c>
      <c r="H23" s="103">
        <v>32.200000000000003</v>
      </c>
      <c r="I23" s="103">
        <v>31</v>
      </c>
    </row>
    <row r="24" spans="1:15" ht="14.25" x14ac:dyDescent="0.2">
      <c r="A24" s="37" t="s">
        <v>62</v>
      </c>
      <c r="B24" s="103">
        <v>30.28</v>
      </c>
      <c r="C24" s="103">
        <v>31.35</v>
      </c>
      <c r="D24" s="103">
        <v>54</v>
      </c>
      <c r="E24" s="103">
        <v>37.1</v>
      </c>
      <c r="F24" s="103">
        <v>67</v>
      </c>
      <c r="G24" s="103">
        <v>29.66</v>
      </c>
      <c r="H24" s="103" t="s">
        <v>10</v>
      </c>
      <c r="I24" s="103" t="s">
        <v>10</v>
      </c>
    </row>
    <row r="25" spans="1:15" ht="14.25" x14ac:dyDescent="0.2">
      <c r="A25" s="37" t="s">
        <v>63</v>
      </c>
      <c r="B25" s="103">
        <v>29.7</v>
      </c>
      <c r="C25" s="103">
        <v>31.19</v>
      </c>
      <c r="D25" s="103">
        <v>54</v>
      </c>
      <c r="E25" s="103">
        <v>37.31</v>
      </c>
      <c r="F25" s="103">
        <v>66.88</v>
      </c>
      <c r="G25" s="103">
        <v>29.5</v>
      </c>
      <c r="H25" s="103" t="s">
        <v>10</v>
      </c>
      <c r="I25" s="103">
        <v>29.5</v>
      </c>
    </row>
    <row r="26" spans="1:15" ht="14.25" x14ac:dyDescent="0.2">
      <c r="A26" s="37" t="s">
        <v>64</v>
      </c>
      <c r="B26" s="103">
        <v>29.4</v>
      </c>
      <c r="C26" s="103">
        <v>31.25</v>
      </c>
      <c r="D26" s="103">
        <v>54</v>
      </c>
      <c r="E26" s="103">
        <v>38.25</v>
      </c>
      <c r="F26" s="103">
        <v>66.5</v>
      </c>
      <c r="G26" s="103">
        <v>29.65</v>
      </c>
      <c r="H26" s="103" t="s">
        <v>10</v>
      </c>
      <c r="I26" s="103">
        <v>29</v>
      </c>
    </row>
    <row r="27" spans="1:15" ht="14.25" x14ac:dyDescent="0.2">
      <c r="A27" s="37" t="s">
        <v>65</v>
      </c>
      <c r="B27" s="103">
        <v>28.3</v>
      </c>
      <c r="C27" s="103">
        <v>29.9</v>
      </c>
      <c r="D27" s="103">
        <v>54</v>
      </c>
      <c r="E27" s="103">
        <v>37.75</v>
      </c>
      <c r="F27" s="103">
        <v>67.7</v>
      </c>
      <c r="G27" s="103">
        <v>29.54</v>
      </c>
      <c r="H27" s="103">
        <v>32.5</v>
      </c>
      <c r="I27" s="103">
        <v>30</v>
      </c>
    </row>
    <row r="28" spans="1:15" ht="14.25" x14ac:dyDescent="0.2">
      <c r="A28" s="37" t="s">
        <v>67</v>
      </c>
      <c r="B28" s="103">
        <v>27.21</v>
      </c>
      <c r="C28" s="103">
        <v>28.75</v>
      </c>
      <c r="D28" s="103">
        <v>54</v>
      </c>
      <c r="E28" s="103">
        <v>38.69</v>
      </c>
      <c r="F28" s="103">
        <v>68</v>
      </c>
      <c r="G28" s="103">
        <v>28.76</v>
      </c>
      <c r="H28" s="103" t="s">
        <v>10</v>
      </c>
      <c r="I28" s="103">
        <v>32.47</v>
      </c>
    </row>
    <row r="29" spans="1:15" ht="14.25" x14ac:dyDescent="0.2">
      <c r="A29" s="37" t="s">
        <v>68</v>
      </c>
      <c r="B29" s="103">
        <v>27.6</v>
      </c>
      <c r="C29" s="103">
        <v>28.6</v>
      </c>
      <c r="D29" s="103">
        <v>54</v>
      </c>
      <c r="E29" s="103">
        <v>38.75</v>
      </c>
      <c r="F29" s="103">
        <v>68</v>
      </c>
      <c r="G29" s="103">
        <v>26.8</v>
      </c>
      <c r="H29" s="103">
        <v>32.380000000000003</v>
      </c>
      <c r="I29" s="103">
        <v>32</v>
      </c>
    </row>
    <row r="30" spans="1:15" ht="14.25" x14ac:dyDescent="0.2">
      <c r="A30" s="37" t="s">
        <v>70</v>
      </c>
      <c r="B30" s="103">
        <v>27.73</v>
      </c>
      <c r="C30" s="103">
        <v>28.88</v>
      </c>
      <c r="D30" s="103">
        <v>54</v>
      </c>
      <c r="E30" s="103">
        <v>38.19</v>
      </c>
      <c r="F30" s="103">
        <v>67.63</v>
      </c>
      <c r="G30" s="103">
        <v>26.46</v>
      </c>
      <c r="H30" s="103">
        <v>32.93</v>
      </c>
      <c r="I30" s="103">
        <v>31</v>
      </c>
    </row>
    <row r="31" spans="1:15" ht="14.25" x14ac:dyDescent="0.2">
      <c r="A31" s="40"/>
      <c r="B31" s="103"/>
      <c r="C31" s="103"/>
      <c r="D31" s="103"/>
      <c r="E31" s="103"/>
      <c r="F31" s="103"/>
      <c r="G31" s="103"/>
      <c r="H31" s="103"/>
      <c r="I31" s="103"/>
    </row>
    <row r="32" spans="1:15" ht="14.25" x14ac:dyDescent="0.2">
      <c r="A32" s="37" t="s">
        <v>164</v>
      </c>
      <c r="B32" s="103"/>
      <c r="C32" s="103"/>
      <c r="D32" s="103"/>
      <c r="E32" s="103"/>
      <c r="F32" s="103"/>
      <c r="G32" s="103"/>
      <c r="H32" s="103"/>
      <c r="I32" s="103"/>
    </row>
    <row r="33" spans="1:9" ht="14.25" x14ac:dyDescent="0.2">
      <c r="A33" s="40" t="s">
        <v>57</v>
      </c>
      <c r="B33" s="103">
        <v>28.89</v>
      </c>
      <c r="C33" s="103">
        <v>30.56</v>
      </c>
      <c r="D33" s="103">
        <v>54</v>
      </c>
      <c r="E33" s="103">
        <v>38.94</v>
      </c>
      <c r="F33" s="103">
        <v>66.63</v>
      </c>
      <c r="G33" s="103">
        <v>27.18</v>
      </c>
      <c r="H33" s="103">
        <v>33</v>
      </c>
      <c r="I33" s="103">
        <v>31.29</v>
      </c>
    </row>
    <row r="34" spans="1:9" ht="14.25" x14ac:dyDescent="0.2">
      <c r="A34" s="40" t="s">
        <v>58</v>
      </c>
      <c r="B34" s="103">
        <v>27.492999999999999</v>
      </c>
      <c r="C34" s="103">
        <v>31.45</v>
      </c>
      <c r="D34" s="103">
        <v>52.8</v>
      </c>
      <c r="E34" s="103">
        <v>37.450000000000003</v>
      </c>
      <c r="F34" s="103">
        <v>64.8</v>
      </c>
      <c r="G34" s="103">
        <v>26.37</v>
      </c>
      <c r="H34" s="103">
        <v>34.33</v>
      </c>
      <c r="I34" s="103">
        <v>35</v>
      </c>
    </row>
    <row r="35" spans="1:9" ht="14.25" x14ac:dyDescent="0.2">
      <c r="A35" s="40" t="s">
        <v>59</v>
      </c>
      <c r="B35" s="103">
        <v>28.14</v>
      </c>
      <c r="C35" s="103">
        <v>32.06</v>
      </c>
      <c r="D35" s="103">
        <v>53.5</v>
      </c>
      <c r="E35" s="103">
        <v>36.75</v>
      </c>
      <c r="F35" s="103">
        <v>62.25</v>
      </c>
      <c r="G35" s="103">
        <v>26.46</v>
      </c>
      <c r="H35" s="103">
        <v>31</v>
      </c>
      <c r="I35" s="103">
        <v>32.5</v>
      </c>
    </row>
    <row r="36" spans="1:9" ht="14.25" x14ac:dyDescent="0.2">
      <c r="A36" s="40" t="s">
        <v>60</v>
      </c>
      <c r="B36" s="103">
        <v>28.44</v>
      </c>
      <c r="C36" s="103">
        <v>33.94</v>
      </c>
      <c r="D36" s="103">
        <v>53.5</v>
      </c>
      <c r="E36" s="103">
        <v>37.130000000000003</v>
      </c>
      <c r="F36" s="103">
        <v>61.88</v>
      </c>
      <c r="G36" s="103">
        <v>26.21</v>
      </c>
      <c r="H36" s="103" t="s">
        <v>10</v>
      </c>
      <c r="I36" s="103">
        <v>33.130000000000003</v>
      </c>
    </row>
    <row r="37" spans="1:9" ht="14.25" x14ac:dyDescent="0.2">
      <c r="A37" s="40" t="s">
        <v>61</v>
      </c>
      <c r="B37" s="103">
        <v>29.58</v>
      </c>
      <c r="C37" s="103">
        <v>36.44</v>
      </c>
      <c r="D37" s="103">
        <v>53</v>
      </c>
      <c r="E37" s="103">
        <v>37.75</v>
      </c>
      <c r="F37" s="103">
        <v>61.13</v>
      </c>
      <c r="G37" s="103">
        <v>25.65</v>
      </c>
      <c r="H37" s="103" t="s">
        <v>10</v>
      </c>
      <c r="I37" s="103">
        <v>33</v>
      </c>
    </row>
    <row r="38" spans="1:9" ht="14.25" x14ac:dyDescent="0.2">
      <c r="A38" s="40" t="s">
        <v>62</v>
      </c>
      <c r="B38" s="103">
        <v>28.62</v>
      </c>
      <c r="C38" s="103">
        <v>35.700000000000003</v>
      </c>
      <c r="D38" s="103">
        <v>53.2</v>
      </c>
      <c r="E38" s="103">
        <v>36.15</v>
      </c>
      <c r="F38" s="103">
        <v>61</v>
      </c>
      <c r="G38" s="103">
        <v>26.72</v>
      </c>
      <c r="H38" s="103" t="s">
        <v>10</v>
      </c>
      <c r="I38" s="103">
        <v>32.15</v>
      </c>
    </row>
    <row r="39" spans="1:9" ht="14.25" x14ac:dyDescent="0.2">
      <c r="A39" s="36" t="s">
        <v>63</v>
      </c>
      <c r="B39" s="109">
        <v>27.86</v>
      </c>
      <c r="C39" s="109">
        <v>37.130000000000003</v>
      </c>
      <c r="D39" s="109">
        <v>54</v>
      </c>
      <c r="E39" s="109">
        <v>35.44</v>
      </c>
      <c r="F39" s="109">
        <v>65.25</v>
      </c>
      <c r="G39" s="109">
        <v>27.94</v>
      </c>
      <c r="H39" s="109">
        <v>28.25</v>
      </c>
      <c r="I39" s="109">
        <v>31.86</v>
      </c>
    </row>
    <row r="40" spans="1:9" ht="16.5" x14ac:dyDescent="0.2">
      <c r="A40" s="78" t="s">
        <v>159</v>
      </c>
      <c r="B40" s="116"/>
      <c r="C40" s="116"/>
      <c r="D40" s="116"/>
      <c r="E40" s="116"/>
      <c r="F40" s="116"/>
      <c r="G40" s="116"/>
      <c r="H40" s="116"/>
      <c r="I40" s="116"/>
    </row>
    <row r="41" spans="1:9" ht="16.5" x14ac:dyDescent="0.2">
      <c r="A41" s="37" t="s">
        <v>160</v>
      </c>
      <c r="B41" s="116"/>
      <c r="C41" s="116"/>
      <c r="D41" s="116"/>
      <c r="E41" s="116"/>
      <c r="F41" s="116"/>
      <c r="G41" s="116"/>
      <c r="H41" s="116"/>
      <c r="I41" s="116"/>
    </row>
    <row r="42" spans="1:9" ht="14.25" x14ac:dyDescent="0.2">
      <c r="A42" s="37" t="s">
        <v>150</v>
      </c>
      <c r="B42" s="37"/>
      <c r="C42" s="37"/>
      <c r="D42" s="37"/>
      <c r="E42" s="37"/>
      <c r="F42" s="116"/>
      <c r="G42" s="37"/>
      <c r="H42" s="37"/>
      <c r="I42" s="37"/>
    </row>
    <row r="43" spans="1:9" ht="14.25" x14ac:dyDescent="0.2">
      <c r="A43" s="37" t="s">
        <v>26</v>
      </c>
      <c r="B43" s="70">
        <f ca="1">NOW()</f>
        <v>43599.371933449074</v>
      </c>
      <c r="C43" s="37"/>
      <c r="D43" s="37"/>
      <c r="E43" s="37"/>
      <c r="F43" s="37"/>
      <c r="G43" s="37"/>
      <c r="H43" s="37"/>
      <c r="I43" s="37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G59" s="14"/>
      <c r="H59" s="14"/>
      <c r="I59" s="14"/>
    </row>
    <row r="60" spans="3:9" ht="15.75" x14ac:dyDescent="0.25">
      <c r="C60" s="14"/>
      <c r="H60" s="14"/>
      <c r="I60" s="14"/>
    </row>
    <row r="61" spans="3:9" ht="15.75" x14ac:dyDescent="0.25">
      <c r="C61" s="14"/>
      <c r="H61" s="14"/>
      <c r="I61" s="14"/>
    </row>
    <row r="62" spans="3:9" ht="15.75" x14ac:dyDescent="0.25">
      <c r="C62" s="14"/>
      <c r="F62" s="16"/>
      <c r="H62" s="14"/>
      <c r="I62" s="14"/>
    </row>
    <row r="63" spans="3:9" ht="15.75" x14ac:dyDescent="0.25">
      <c r="F63" s="16"/>
      <c r="H63" s="14"/>
      <c r="I63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5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6" t="s">
        <v>43</v>
      </c>
      <c r="B1" s="36"/>
      <c r="C1" s="36"/>
      <c r="D1" s="36"/>
      <c r="E1" s="36"/>
      <c r="F1" s="36"/>
      <c r="G1" s="36"/>
    </row>
    <row r="2" spans="1:8" ht="15.6" customHeight="1" x14ac:dyDescent="0.2">
      <c r="A2" s="40" t="s">
        <v>15</v>
      </c>
      <c r="B2" s="79" t="s">
        <v>44</v>
      </c>
      <c r="C2" s="117" t="s">
        <v>17</v>
      </c>
      <c r="D2" s="117" t="s">
        <v>88</v>
      </c>
      <c r="E2" s="117" t="s">
        <v>45</v>
      </c>
      <c r="F2" s="79" t="s">
        <v>46</v>
      </c>
      <c r="G2" s="39" t="s">
        <v>47</v>
      </c>
    </row>
    <row r="3" spans="1:8" ht="15.6" customHeight="1" x14ac:dyDescent="0.2">
      <c r="A3" s="36" t="s">
        <v>16</v>
      </c>
      <c r="B3" s="44" t="s">
        <v>151</v>
      </c>
      <c r="C3" s="44" t="s">
        <v>152</v>
      </c>
      <c r="D3" s="44" t="s">
        <v>153</v>
      </c>
      <c r="E3" s="44" t="s">
        <v>154</v>
      </c>
      <c r="F3" s="44" t="s">
        <v>155</v>
      </c>
      <c r="G3" s="44" t="s">
        <v>156</v>
      </c>
    </row>
    <row r="4" spans="1:8" ht="14.25" x14ac:dyDescent="0.2">
      <c r="A4" s="37"/>
      <c r="B4" s="56" t="s">
        <v>107</v>
      </c>
      <c r="C4" s="114"/>
      <c r="D4" s="114"/>
      <c r="E4" s="114"/>
      <c r="F4" s="114"/>
      <c r="G4" s="114"/>
    </row>
    <row r="5" spans="1:8" ht="14.25" x14ac:dyDescent="0.2">
      <c r="A5" s="37"/>
      <c r="B5" s="37"/>
      <c r="C5" s="37"/>
      <c r="D5" s="37"/>
      <c r="E5" s="37"/>
      <c r="F5" s="37"/>
      <c r="G5" s="37"/>
    </row>
    <row r="6" spans="1:8" ht="14.25" x14ac:dyDescent="0.2">
      <c r="A6" s="37" t="s">
        <v>54</v>
      </c>
      <c r="B6" s="103">
        <v>311.27</v>
      </c>
      <c r="C6" s="103">
        <v>220.9</v>
      </c>
      <c r="D6" s="103">
        <v>151.04</v>
      </c>
      <c r="E6" s="118" t="s">
        <v>10</v>
      </c>
      <c r="F6" s="103">
        <v>224.92</v>
      </c>
      <c r="G6" s="103">
        <v>209.23</v>
      </c>
      <c r="H6" s="16"/>
    </row>
    <row r="7" spans="1:8" ht="14.25" x14ac:dyDescent="0.2">
      <c r="A7" s="37" t="s">
        <v>55</v>
      </c>
      <c r="B7" s="103">
        <v>345.52</v>
      </c>
      <c r="C7" s="103">
        <v>273.83999999999997</v>
      </c>
      <c r="D7" s="103">
        <v>219.72</v>
      </c>
      <c r="E7" s="118" t="s">
        <v>10</v>
      </c>
      <c r="F7" s="103">
        <v>263.63</v>
      </c>
      <c r="G7" s="103">
        <v>240.65</v>
      </c>
      <c r="H7" s="16"/>
    </row>
    <row r="8" spans="1:8" ht="14.25" x14ac:dyDescent="0.2">
      <c r="A8" s="37" t="s">
        <v>66</v>
      </c>
      <c r="B8" s="103">
        <v>393.53</v>
      </c>
      <c r="C8" s="103">
        <v>275.13</v>
      </c>
      <c r="D8" s="103">
        <v>246.75</v>
      </c>
      <c r="E8" s="118" t="s">
        <v>10</v>
      </c>
      <c r="F8" s="103">
        <v>307.58999999999997</v>
      </c>
      <c r="G8" s="103">
        <v>265.68</v>
      </c>
      <c r="H8" s="16"/>
    </row>
    <row r="9" spans="1:8" ht="14.25" x14ac:dyDescent="0.2">
      <c r="A9" s="37" t="s">
        <v>90</v>
      </c>
      <c r="B9" s="103">
        <v>468.11</v>
      </c>
      <c r="C9" s="103">
        <v>331.52</v>
      </c>
      <c r="D9" s="103">
        <v>241.57</v>
      </c>
      <c r="E9" s="118" t="s">
        <v>10</v>
      </c>
      <c r="F9" s="103">
        <v>354.22</v>
      </c>
      <c r="G9" s="103">
        <v>329.31</v>
      </c>
      <c r="H9" s="16"/>
    </row>
    <row r="10" spans="1:8" ht="14.25" x14ac:dyDescent="0.2">
      <c r="A10" s="37" t="s">
        <v>97</v>
      </c>
      <c r="B10" s="103">
        <v>489.94</v>
      </c>
      <c r="C10" s="103">
        <v>377.71</v>
      </c>
      <c r="D10" s="103">
        <v>238.87</v>
      </c>
      <c r="E10" s="118" t="s">
        <v>10</v>
      </c>
      <c r="F10" s="103">
        <v>359.7</v>
      </c>
      <c r="G10" s="103">
        <v>337.23</v>
      </c>
      <c r="H10" s="16"/>
    </row>
    <row r="11" spans="1:8" ht="14.25" x14ac:dyDescent="0.2">
      <c r="A11" s="37" t="s">
        <v>100</v>
      </c>
      <c r="B11" s="103">
        <v>368.49</v>
      </c>
      <c r="C11" s="103">
        <v>304.27</v>
      </c>
      <c r="D11" s="103">
        <v>209.97</v>
      </c>
      <c r="E11" s="118" t="s">
        <v>10</v>
      </c>
      <c r="F11" s="103">
        <v>301.2</v>
      </c>
      <c r="G11" s="103">
        <v>256.58</v>
      </c>
      <c r="H11" s="16"/>
    </row>
    <row r="12" spans="1:8" ht="14.25" x14ac:dyDescent="0.2">
      <c r="A12" s="37" t="s">
        <v>101</v>
      </c>
      <c r="B12" s="103">
        <v>324.56</v>
      </c>
      <c r="C12" s="103">
        <v>261.19</v>
      </c>
      <c r="D12" s="103">
        <v>153.16999999999999</v>
      </c>
      <c r="E12" s="118" t="s">
        <v>10</v>
      </c>
      <c r="F12" s="103">
        <v>262.2</v>
      </c>
      <c r="G12" s="103">
        <v>260.23</v>
      </c>
    </row>
    <row r="13" spans="1:8" ht="14.25" x14ac:dyDescent="0.2">
      <c r="A13" s="37" t="s">
        <v>117</v>
      </c>
      <c r="B13" s="103">
        <v>316.88</v>
      </c>
      <c r="C13" s="103">
        <v>208.61</v>
      </c>
      <c r="D13" s="103">
        <v>145.1</v>
      </c>
      <c r="E13" s="118" t="s">
        <v>10</v>
      </c>
      <c r="F13" s="103">
        <v>267.94</v>
      </c>
      <c r="G13" s="103">
        <v>282.49</v>
      </c>
    </row>
    <row r="14" spans="1:8" ht="14.25" x14ac:dyDescent="0.2">
      <c r="A14" s="37" t="s">
        <v>119</v>
      </c>
      <c r="B14" s="103">
        <v>345.02</v>
      </c>
      <c r="C14" s="103">
        <v>260.88</v>
      </c>
      <c r="D14" s="103">
        <v>173.53</v>
      </c>
      <c r="E14" s="118" t="s">
        <v>10</v>
      </c>
      <c r="F14" s="103">
        <v>291.14999999999998</v>
      </c>
      <c r="G14" s="103">
        <v>239.15</v>
      </c>
    </row>
    <row r="15" spans="1:8" ht="16.5" x14ac:dyDescent="0.2">
      <c r="A15" s="37" t="s">
        <v>162</v>
      </c>
      <c r="B15" s="103">
        <v>305</v>
      </c>
      <c r="C15" s="103">
        <v>230</v>
      </c>
      <c r="D15" s="127">
        <v>175</v>
      </c>
      <c r="E15" s="118" t="s">
        <v>10</v>
      </c>
      <c r="F15" s="103">
        <v>275</v>
      </c>
      <c r="G15" s="103">
        <v>220</v>
      </c>
    </row>
    <row r="16" spans="1:8" ht="16.5" x14ac:dyDescent="0.2">
      <c r="A16" s="37" t="s">
        <v>171</v>
      </c>
      <c r="B16" s="103">
        <v>290</v>
      </c>
      <c r="C16" s="103">
        <v>222</v>
      </c>
      <c r="D16" s="127">
        <v>160</v>
      </c>
      <c r="E16" s="118" t="s">
        <v>10</v>
      </c>
      <c r="F16" s="103">
        <v>240</v>
      </c>
      <c r="G16" s="103">
        <v>205</v>
      </c>
    </row>
    <row r="17" spans="1:13" ht="14.25" x14ac:dyDescent="0.2">
      <c r="A17" s="119"/>
      <c r="B17" s="103"/>
      <c r="C17" s="103"/>
      <c r="D17" s="103"/>
      <c r="E17" s="118"/>
      <c r="F17" s="103"/>
      <c r="G17" s="103"/>
      <c r="H17" s="13"/>
    </row>
    <row r="18" spans="1:13" ht="14.25" x14ac:dyDescent="0.2">
      <c r="A18" s="37" t="s">
        <v>119</v>
      </c>
      <c r="B18" s="103"/>
      <c r="C18" s="103"/>
      <c r="D18" s="103"/>
      <c r="E18" s="118"/>
      <c r="F18" s="103"/>
      <c r="G18" s="103"/>
      <c r="H18" s="13"/>
    </row>
    <row r="19" spans="1:13" ht="14.25" x14ac:dyDescent="0.2">
      <c r="A19" s="37" t="s">
        <v>57</v>
      </c>
      <c r="B19" s="103">
        <v>315.23</v>
      </c>
      <c r="C19" s="103">
        <v>229</v>
      </c>
      <c r="D19" s="103">
        <v>153</v>
      </c>
      <c r="E19" s="118" t="s">
        <v>10</v>
      </c>
      <c r="F19" s="103">
        <v>257.73</v>
      </c>
      <c r="G19" s="103">
        <v>214</v>
      </c>
      <c r="H19" s="13"/>
      <c r="I19" s="7"/>
      <c r="J19" s="7"/>
      <c r="K19" s="7"/>
      <c r="L19" s="7"/>
      <c r="M19" s="7"/>
    </row>
    <row r="20" spans="1:13" ht="14.25" x14ac:dyDescent="0.2">
      <c r="A20" s="37" t="s">
        <v>58</v>
      </c>
      <c r="B20" s="103">
        <v>313.52</v>
      </c>
      <c r="C20" s="103">
        <v>228.75</v>
      </c>
      <c r="D20" s="103">
        <v>165</v>
      </c>
      <c r="E20" s="118" t="s">
        <v>10</v>
      </c>
      <c r="F20" s="103">
        <v>255.74</v>
      </c>
      <c r="G20" s="103">
        <v>205</v>
      </c>
      <c r="H20" s="13"/>
      <c r="I20" s="7"/>
      <c r="J20" s="7"/>
      <c r="K20" s="7"/>
      <c r="L20" s="7"/>
      <c r="M20" s="7"/>
    </row>
    <row r="21" spans="1:13" ht="14.25" x14ac:dyDescent="0.2">
      <c r="A21" s="37" t="s">
        <v>59</v>
      </c>
      <c r="B21" s="103">
        <v>319.22000000000003</v>
      </c>
      <c r="C21" s="103">
        <v>232.5</v>
      </c>
      <c r="D21" s="103">
        <v>185</v>
      </c>
      <c r="E21" s="118" t="s">
        <v>10</v>
      </c>
      <c r="F21" s="103">
        <v>266.52999999999997</v>
      </c>
      <c r="G21" s="103">
        <v>209.17</v>
      </c>
      <c r="H21" s="13"/>
    </row>
    <row r="22" spans="1:13" ht="14.25" x14ac:dyDescent="0.2">
      <c r="A22" s="37" t="s">
        <v>60</v>
      </c>
      <c r="B22" s="103">
        <v>322.60000000000002</v>
      </c>
      <c r="C22" s="103">
        <v>259</v>
      </c>
      <c r="D22" s="103">
        <v>178</v>
      </c>
      <c r="E22" s="118" t="s">
        <v>10</v>
      </c>
      <c r="F22" s="103">
        <v>270.2</v>
      </c>
      <c r="G22" s="103">
        <v>215.5</v>
      </c>
      <c r="H22" s="13"/>
    </row>
    <row r="23" spans="1:13" ht="14.25" x14ac:dyDescent="0.2">
      <c r="A23" s="37" t="s">
        <v>61</v>
      </c>
      <c r="B23" s="103">
        <v>362.85</v>
      </c>
      <c r="C23" s="103">
        <v>303.13</v>
      </c>
      <c r="D23" s="103">
        <v>185.63</v>
      </c>
      <c r="E23" s="118" t="s">
        <v>10</v>
      </c>
      <c r="F23" s="103">
        <v>315.95</v>
      </c>
      <c r="G23" s="103">
        <v>233.13</v>
      </c>
      <c r="H23" s="13"/>
    </row>
    <row r="24" spans="1:13" ht="14.25" x14ac:dyDescent="0.2">
      <c r="A24" s="37" t="s">
        <v>62</v>
      </c>
      <c r="B24" s="103">
        <v>379.85</v>
      </c>
      <c r="C24" s="103">
        <v>323.13</v>
      </c>
      <c r="D24" s="103">
        <v>187.5</v>
      </c>
      <c r="E24" s="118" t="s">
        <v>10</v>
      </c>
      <c r="F24" s="103">
        <v>334.58</v>
      </c>
      <c r="G24" s="103">
        <v>237.5</v>
      </c>
      <c r="H24" s="13"/>
    </row>
    <row r="25" spans="1:13" ht="14.25" x14ac:dyDescent="0.2">
      <c r="A25" s="37" t="s">
        <v>63</v>
      </c>
      <c r="B25" s="103">
        <v>385.84</v>
      </c>
      <c r="C25" s="103">
        <v>263.13</v>
      </c>
      <c r="D25" s="103">
        <v>191.88</v>
      </c>
      <c r="E25" s="118" t="s">
        <v>10</v>
      </c>
      <c r="F25" s="103">
        <v>332.16</v>
      </c>
      <c r="G25" s="103">
        <v>238.13</v>
      </c>
      <c r="H25" s="13"/>
    </row>
    <row r="26" spans="1:13" ht="14.25" x14ac:dyDescent="0.2">
      <c r="A26" s="37" t="s">
        <v>64</v>
      </c>
      <c r="B26" s="103">
        <v>393.55</v>
      </c>
      <c r="C26" s="103">
        <v>262.5</v>
      </c>
      <c r="D26" s="103">
        <v>201.5</v>
      </c>
      <c r="E26" s="118" t="s">
        <v>10</v>
      </c>
      <c r="F26" s="103">
        <v>336.93</v>
      </c>
      <c r="G26" s="103">
        <v>267.5</v>
      </c>
      <c r="H26" s="13"/>
    </row>
    <row r="27" spans="1:13" ht="14.25" x14ac:dyDescent="0.2">
      <c r="A27" s="37" t="s">
        <v>65</v>
      </c>
      <c r="B27" s="103">
        <v>355.71</v>
      </c>
      <c r="C27" s="103">
        <v>257.5</v>
      </c>
      <c r="D27" s="103">
        <v>175.63</v>
      </c>
      <c r="E27" s="118" t="s">
        <v>10</v>
      </c>
      <c r="F27" s="103">
        <v>302.75</v>
      </c>
      <c r="G27" s="103">
        <v>271.25</v>
      </c>
      <c r="H27" s="13"/>
    </row>
    <row r="28" spans="1:13" ht="14.25" x14ac:dyDescent="0.2">
      <c r="A28" s="37" t="s">
        <v>67</v>
      </c>
      <c r="B28" s="103">
        <v>341.08</v>
      </c>
      <c r="C28" s="103">
        <v>253.13</v>
      </c>
      <c r="D28" s="103">
        <v>155.5</v>
      </c>
      <c r="E28" s="118" t="s">
        <v>10</v>
      </c>
      <c r="F28" s="103">
        <v>279.83999999999997</v>
      </c>
      <c r="G28" s="103">
        <v>278</v>
      </c>
      <c r="H28" s="13"/>
    </row>
    <row r="29" spans="1:13" ht="14.25" x14ac:dyDescent="0.2">
      <c r="A29" s="37" t="s">
        <v>68</v>
      </c>
      <c r="B29" s="103">
        <v>332.5</v>
      </c>
      <c r="C29" s="103">
        <v>260</v>
      </c>
      <c r="D29" s="103">
        <v>153.13</v>
      </c>
      <c r="E29" s="118" t="s">
        <v>10</v>
      </c>
      <c r="F29" s="103">
        <v>274.55</v>
      </c>
      <c r="G29" s="103">
        <v>265.63</v>
      </c>
      <c r="H29" s="13"/>
    </row>
    <row r="30" spans="1:13" ht="14.25" x14ac:dyDescent="0.2">
      <c r="A30" s="37" t="s">
        <v>70</v>
      </c>
      <c r="B30" s="103">
        <v>318.32</v>
      </c>
      <c r="C30" s="103">
        <v>258.75</v>
      </c>
      <c r="D30" s="103">
        <v>150.63</v>
      </c>
      <c r="E30" s="118" t="s">
        <v>10</v>
      </c>
      <c r="F30" s="103">
        <v>266.86</v>
      </c>
      <c r="G30" s="103">
        <v>235</v>
      </c>
      <c r="H30" s="13"/>
    </row>
    <row r="31" spans="1:13" ht="14.25" x14ac:dyDescent="0.2">
      <c r="A31" s="119"/>
      <c r="B31" s="103"/>
      <c r="C31" s="103"/>
      <c r="D31" s="103"/>
      <c r="E31" s="118"/>
      <c r="F31" s="103"/>
      <c r="G31" s="103"/>
      <c r="I31" s="6"/>
      <c r="J31" s="6"/>
      <c r="K31" s="6"/>
      <c r="L31" s="6"/>
      <c r="M31" s="6"/>
    </row>
    <row r="32" spans="1:13" ht="14.25" x14ac:dyDescent="0.2">
      <c r="A32" s="37" t="s">
        <v>164</v>
      </c>
      <c r="B32" s="103"/>
      <c r="C32" s="103"/>
      <c r="D32" s="103"/>
      <c r="E32" s="118"/>
      <c r="F32" s="103"/>
      <c r="G32" s="103"/>
      <c r="I32" s="6"/>
      <c r="J32" s="6"/>
      <c r="K32" s="6"/>
      <c r="L32" s="6"/>
      <c r="M32" s="6"/>
    </row>
    <row r="33" spans="1:13" ht="14.25" x14ac:dyDescent="0.2">
      <c r="A33" s="119" t="s">
        <v>57</v>
      </c>
      <c r="B33" s="103">
        <v>319.14999999999998</v>
      </c>
      <c r="C33" s="103">
        <v>249</v>
      </c>
      <c r="D33" s="103">
        <v>164</v>
      </c>
      <c r="E33" s="118" t="s">
        <v>10</v>
      </c>
      <c r="F33" s="103">
        <v>279.39999999999998</v>
      </c>
      <c r="G33" s="103">
        <v>196.5</v>
      </c>
      <c r="I33" s="6"/>
      <c r="J33" s="6"/>
      <c r="K33" s="6"/>
      <c r="L33" s="6"/>
      <c r="M33" s="6"/>
    </row>
    <row r="34" spans="1:13" ht="14.25" x14ac:dyDescent="0.2">
      <c r="A34" s="119" t="s">
        <v>58</v>
      </c>
      <c r="B34" s="103">
        <v>310.61500000000001</v>
      </c>
      <c r="C34" s="103">
        <v>240</v>
      </c>
      <c r="D34" s="103">
        <v>171.25</v>
      </c>
      <c r="E34" s="118" t="s">
        <v>10</v>
      </c>
      <c r="F34" s="103">
        <v>279.16250000000002</v>
      </c>
      <c r="G34" s="103">
        <v>209.38</v>
      </c>
      <c r="I34" s="6"/>
      <c r="J34" s="6"/>
      <c r="K34" s="6"/>
      <c r="L34" s="6"/>
      <c r="M34" s="6"/>
    </row>
    <row r="35" spans="1:13" ht="14.25" x14ac:dyDescent="0.2">
      <c r="A35" s="37" t="s">
        <v>59</v>
      </c>
      <c r="B35" s="103">
        <v>311.7</v>
      </c>
      <c r="C35" s="103">
        <v>243.75</v>
      </c>
      <c r="D35" s="103">
        <v>187.5</v>
      </c>
      <c r="E35" s="118" t="s">
        <v>10</v>
      </c>
      <c r="F35" s="103">
        <v>291.42</v>
      </c>
      <c r="G35" s="103">
        <v>225.83</v>
      </c>
      <c r="I35" s="6"/>
      <c r="J35" s="6"/>
      <c r="K35" s="6"/>
      <c r="L35" s="6"/>
      <c r="M35" s="6"/>
    </row>
    <row r="36" spans="1:13" ht="14.25" x14ac:dyDescent="0.2">
      <c r="A36" s="37" t="s">
        <v>60</v>
      </c>
      <c r="B36" s="103">
        <v>314.92</v>
      </c>
      <c r="C36" s="103">
        <v>247.5</v>
      </c>
      <c r="D36" s="103">
        <v>190.5</v>
      </c>
      <c r="E36" s="118" t="s">
        <v>10</v>
      </c>
      <c r="F36" s="103" t="s">
        <v>10</v>
      </c>
      <c r="G36" s="103">
        <v>219</v>
      </c>
      <c r="I36" s="6"/>
      <c r="J36" s="6"/>
      <c r="K36" s="6"/>
      <c r="L36" s="6"/>
      <c r="M36" s="6"/>
    </row>
    <row r="37" spans="1:13" ht="14.25" x14ac:dyDescent="0.2">
      <c r="A37" s="37" t="s">
        <v>61</v>
      </c>
      <c r="B37" s="103">
        <v>306.83</v>
      </c>
      <c r="C37" s="103">
        <v>235</v>
      </c>
      <c r="D37" s="103">
        <v>187.5</v>
      </c>
      <c r="E37" s="118" t="s">
        <v>10</v>
      </c>
      <c r="F37" s="103" t="s">
        <v>10</v>
      </c>
      <c r="G37" s="103">
        <v>225</v>
      </c>
      <c r="I37" s="6"/>
      <c r="J37" s="6"/>
      <c r="K37" s="6"/>
      <c r="L37" s="6"/>
      <c r="M37" s="6"/>
    </row>
    <row r="38" spans="1:13" ht="14.25" x14ac:dyDescent="0.2">
      <c r="A38" s="37" t="s">
        <v>62</v>
      </c>
      <c r="B38" s="103">
        <v>306.38</v>
      </c>
      <c r="C38" s="103">
        <v>226.25</v>
      </c>
      <c r="D38" s="103">
        <v>189.38</v>
      </c>
      <c r="E38" s="118" t="s">
        <v>10</v>
      </c>
      <c r="F38" s="103" t="s">
        <v>10</v>
      </c>
      <c r="G38" s="103">
        <v>235.63</v>
      </c>
      <c r="I38" s="6"/>
      <c r="J38" s="6"/>
      <c r="K38" s="6"/>
      <c r="L38" s="6"/>
      <c r="M38" s="6"/>
    </row>
    <row r="39" spans="1:13" ht="14.25" x14ac:dyDescent="0.2">
      <c r="A39" s="120" t="s">
        <v>63</v>
      </c>
      <c r="B39" s="109">
        <v>304.26</v>
      </c>
      <c r="C39" s="109">
        <v>216.5</v>
      </c>
      <c r="D39" s="109">
        <v>166.5</v>
      </c>
      <c r="E39" s="121" t="s">
        <v>10</v>
      </c>
      <c r="F39" s="109" t="s">
        <v>10</v>
      </c>
      <c r="G39" s="109">
        <v>241.5</v>
      </c>
      <c r="I39" s="6"/>
      <c r="J39" s="6"/>
      <c r="K39" s="6"/>
      <c r="L39" s="6"/>
      <c r="M39" s="6"/>
    </row>
    <row r="40" spans="1:13" ht="16.5" x14ac:dyDescent="0.2">
      <c r="A40" s="78" t="s">
        <v>161</v>
      </c>
      <c r="B40" s="122"/>
      <c r="C40" s="122"/>
      <c r="D40" s="122"/>
      <c r="E40" s="122"/>
      <c r="F40" s="122"/>
      <c r="G40" s="122"/>
      <c r="I40" s="11"/>
      <c r="J40" s="6"/>
      <c r="K40" s="6"/>
      <c r="L40" s="6"/>
      <c r="M40" s="6"/>
    </row>
    <row r="41" spans="1:13" ht="16.5" x14ac:dyDescent="0.2">
      <c r="A41" s="78" t="s">
        <v>157</v>
      </c>
      <c r="B41" s="123"/>
      <c r="C41" s="123"/>
      <c r="D41" s="123"/>
      <c r="E41" s="123"/>
      <c r="F41" s="123"/>
      <c r="G41" s="123"/>
      <c r="I41" s="11"/>
      <c r="J41" s="6"/>
      <c r="K41" s="6"/>
      <c r="L41" s="6"/>
      <c r="M41" s="6"/>
    </row>
    <row r="42" spans="1:13" ht="14.25" x14ac:dyDescent="0.2">
      <c r="A42" s="37" t="s">
        <v>89</v>
      </c>
      <c r="B42" s="123"/>
      <c r="C42" s="123"/>
      <c r="D42" s="123"/>
      <c r="E42" s="123"/>
      <c r="F42" s="123"/>
      <c r="G42" s="123"/>
      <c r="H42" s="1"/>
      <c r="I42" s="11"/>
      <c r="J42" s="6"/>
      <c r="K42" s="6"/>
      <c r="L42" s="6"/>
      <c r="M42" s="6"/>
    </row>
    <row r="43" spans="1:13" ht="14.25" x14ac:dyDescent="0.2">
      <c r="A43" s="37" t="s">
        <v>158</v>
      </c>
      <c r="B43" s="37"/>
      <c r="C43" s="37"/>
      <c r="D43" s="37"/>
      <c r="E43" s="37"/>
      <c r="F43" s="37"/>
      <c r="G43" s="37"/>
      <c r="I43" s="11"/>
      <c r="J43" s="6"/>
      <c r="K43" s="6"/>
      <c r="L43" s="6"/>
      <c r="M43" s="6"/>
    </row>
    <row r="44" spans="1:13" ht="14.25" x14ac:dyDescent="0.2">
      <c r="A44" s="37" t="s">
        <v>26</v>
      </c>
      <c r="B44" s="70">
        <f ca="1">NOW()</f>
        <v>43599.371933449074</v>
      </c>
      <c r="C44" s="37"/>
      <c r="D44" s="37"/>
      <c r="E44" s="37"/>
      <c r="F44" s="37"/>
      <c r="G44" s="37"/>
      <c r="I44" s="12"/>
      <c r="J44" s="8"/>
      <c r="K44" s="8"/>
      <c r="L44" s="8"/>
      <c r="M44" s="8"/>
    </row>
    <row r="45" spans="1:13" ht="15.75" x14ac:dyDescent="0.25">
      <c r="F45" s="14"/>
      <c r="I45" s="12"/>
      <c r="J45" s="8"/>
      <c r="K45" s="8"/>
      <c r="L45" s="8"/>
      <c r="M45" s="8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49" spans="9:13" x14ac:dyDescent="0.2">
      <c r="I49" s="11"/>
      <c r="J49" s="11"/>
      <c r="K49" s="6"/>
      <c r="L49" s="6"/>
      <c r="M49" s="6"/>
    </row>
    <row r="50" spans="9:13" x14ac:dyDescent="0.2">
      <c r="I50" s="11"/>
      <c r="J50" s="11"/>
      <c r="K50" s="6"/>
      <c r="L50" s="6"/>
      <c r="M50" s="6"/>
    </row>
    <row r="51" spans="9:13" x14ac:dyDescent="0.2">
      <c r="I51" s="11"/>
      <c r="J51" s="11"/>
      <c r="K51" s="6"/>
      <c r="L51" s="6"/>
      <c r="M51" s="6"/>
    </row>
    <row r="53" spans="9:13" x14ac:dyDescent="0.2">
      <c r="I53" s="9"/>
      <c r="J53" s="9"/>
      <c r="K53" s="9"/>
      <c r="L53" s="9"/>
      <c r="M53" s="9"/>
    </row>
    <row r="54" spans="9:13" x14ac:dyDescent="0.2">
      <c r="I54" s="9"/>
      <c r="J54" s="9"/>
      <c r="K54" s="9"/>
      <c r="L54" s="9"/>
      <c r="M54" s="9"/>
    </row>
    <row r="55" spans="9:13" x14ac:dyDescent="0.2">
      <c r="J55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91"/>
  <sheetViews>
    <sheetView workbookViewId="0">
      <selection activeCell="A11" sqref="A11"/>
    </sheetView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7" x14ac:dyDescent="0.2">
      <c r="A1" s="145" t="s">
        <v>179</v>
      </c>
      <c r="B1" s="145" t="s">
        <v>1</v>
      </c>
      <c r="C1" s="145" t="s">
        <v>180</v>
      </c>
      <c r="D1" s="145" t="s">
        <v>9</v>
      </c>
      <c r="E1" s="159" t="s">
        <v>98</v>
      </c>
      <c r="F1" s="159" t="s">
        <v>4</v>
      </c>
      <c r="G1" s="159" t="s">
        <v>34</v>
      </c>
    </row>
    <row r="2" spans="1:7" ht="15.75" x14ac:dyDescent="0.25">
      <c r="A2" s="129"/>
      <c r="B2" s="37"/>
      <c r="C2" s="37"/>
      <c r="D2" s="37" t="s">
        <v>178</v>
      </c>
      <c r="E2" s="37" t="s">
        <v>5</v>
      </c>
      <c r="F2"/>
      <c r="G2" t="s">
        <v>7</v>
      </c>
    </row>
    <row r="3" spans="1:7" x14ac:dyDescent="0.2">
      <c r="A3" s="128"/>
      <c r="B3" s="144"/>
      <c r="C3" s="150"/>
      <c r="D3" s="128"/>
      <c r="F3"/>
    </row>
    <row r="4" spans="1:7" x14ac:dyDescent="0.2">
      <c r="A4" s="156" t="s">
        <v>100</v>
      </c>
      <c r="B4" s="157">
        <v>3928.07</v>
      </c>
      <c r="C4" s="157">
        <v>4053.2856733981375</v>
      </c>
      <c r="D4" s="157">
        <v>1873.4937851587886</v>
      </c>
      <c r="E4" s="157">
        <v>147.00717887775795</v>
      </c>
      <c r="F4" s="157">
        <v>1842.1747093615909</v>
      </c>
      <c r="G4" s="157">
        <v>190.61</v>
      </c>
    </row>
    <row r="5" spans="1:7" x14ac:dyDescent="0.2">
      <c r="A5" s="156" t="s">
        <v>101</v>
      </c>
      <c r="B5" s="157">
        <v>3926.779</v>
      </c>
      <c r="C5" s="157">
        <v>4140.9299095133292</v>
      </c>
      <c r="D5" s="157">
        <v>1886.2368000000001</v>
      </c>
      <c r="E5" s="157">
        <v>115.32546532773108</v>
      </c>
      <c r="F5" s="157">
        <v>1942.6386441855982</v>
      </c>
      <c r="G5" s="157">
        <v>196.72900000000001</v>
      </c>
    </row>
    <row r="6" spans="1:7" x14ac:dyDescent="0.2">
      <c r="A6" s="156" t="s">
        <v>117</v>
      </c>
      <c r="B6" s="157">
        <v>4296.4960000000001</v>
      </c>
      <c r="C6" s="157">
        <v>4515.5058759238736</v>
      </c>
      <c r="D6" s="157">
        <v>1901.1980666666666</v>
      </c>
      <c r="E6" s="157">
        <v>146.29582285110291</v>
      </c>
      <c r="F6" s="157">
        <v>2166.4169864061037</v>
      </c>
      <c r="G6" s="157">
        <v>301.59500000000003</v>
      </c>
    </row>
    <row r="7" spans="1:7" x14ac:dyDescent="0.2">
      <c r="A7" s="156" t="s">
        <v>119</v>
      </c>
      <c r="B7" s="157">
        <v>4411.6329999999998</v>
      </c>
      <c r="C7" s="157">
        <v>4735.2280000000001</v>
      </c>
      <c r="D7" s="157">
        <v>2055</v>
      </c>
      <c r="E7" s="157">
        <v>112.12299999999959</v>
      </c>
      <c r="F7" s="157">
        <v>2130</v>
      </c>
      <c r="G7" s="157">
        <v>438.10500000000002</v>
      </c>
    </row>
    <row r="8" spans="1:7" x14ac:dyDescent="0.2">
      <c r="A8" s="156" t="s">
        <v>164</v>
      </c>
      <c r="B8" s="157">
        <v>4543.8829999999998</v>
      </c>
      <c r="C8" s="157">
        <v>4998.9879999999994</v>
      </c>
      <c r="D8" s="157">
        <v>2100</v>
      </c>
      <c r="E8" s="157">
        <v>138.98799999999937</v>
      </c>
      <c r="F8" s="157">
        <v>1775</v>
      </c>
      <c r="G8" s="157">
        <v>995</v>
      </c>
    </row>
    <row r="9" spans="1:7" x14ac:dyDescent="0.2">
      <c r="A9" s="156" t="s">
        <v>170</v>
      </c>
      <c r="B9" s="157">
        <v>4150</v>
      </c>
      <c r="C9" s="157">
        <v>5165</v>
      </c>
      <c r="D9" s="157">
        <v>2115</v>
      </c>
      <c r="E9" s="157">
        <v>120</v>
      </c>
      <c r="F9" s="157">
        <v>1950</v>
      </c>
      <c r="G9" s="157">
        <v>970</v>
      </c>
    </row>
    <row r="10" spans="1:7" x14ac:dyDescent="0.2">
      <c r="A10" s="156"/>
      <c r="B10" s="157"/>
      <c r="C10" s="157"/>
      <c r="D10" s="157"/>
      <c r="E10" s="157"/>
      <c r="F10"/>
    </row>
    <row r="11" spans="1:7" x14ac:dyDescent="0.2">
      <c r="A11" s="156"/>
      <c r="B11" s="157"/>
      <c r="C11" s="157"/>
      <c r="D11" s="157"/>
      <c r="E11" s="157"/>
      <c r="F11"/>
    </row>
    <row r="12" spans="1:7" x14ac:dyDescent="0.2">
      <c r="A12" s="156"/>
      <c r="B12" s="157"/>
      <c r="C12" s="157"/>
      <c r="D12" s="157"/>
      <c r="E12" s="157"/>
      <c r="F12"/>
    </row>
    <row r="13" spans="1:7" x14ac:dyDescent="0.2">
      <c r="A13" s="156"/>
      <c r="B13" s="157"/>
      <c r="C13" s="157"/>
      <c r="D13" s="157"/>
      <c r="E13" s="157"/>
      <c r="F13"/>
    </row>
    <row r="14" spans="1:7" x14ac:dyDescent="0.2">
      <c r="A14" s="156"/>
      <c r="B14" s="157"/>
      <c r="C14" s="157"/>
      <c r="D14" s="157"/>
      <c r="E14" s="157"/>
      <c r="F14"/>
    </row>
    <row r="15" spans="1:7" x14ac:dyDescent="0.2">
      <c r="A15" s="156"/>
      <c r="B15" s="157"/>
      <c r="C15" s="157"/>
      <c r="D15" s="157"/>
      <c r="E15" s="157"/>
      <c r="F15"/>
    </row>
    <row r="16" spans="1:7" ht="14.25" x14ac:dyDescent="0.2">
      <c r="A16" s="138"/>
      <c r="B16" s="151"/>
      <c r="C16" s="124"/>
      <c r="D16" s="157"/>
      <c r="F16"/>
    </row>
    <row r="17" spans="1:6" ht="14.25" x14ac:dyDescent="0.2">
      <c r="A17" s="138"/>
      <c r="B17" s="151"/>
      <c r="C17" s="151"/>
      <c r="D17" s="151"/>
      <c r="E17" s="151"/>
      <c r="F17"/>
    </row>
    <row r="18" spans="1:6" ht="14.25" x14ac:dyDescent="0.2">
      <c r="A18" s="138"/>
      <c r="B18" s="151"/>
      <c r="C18" s="151"/>
      <c r="D18" s="151"/>
      <c r="E18" s="151"/>
      <c r="F18"/>
    </row>
    <row r="19" spans="1:6" ht="14.25" x14ac:dyDescent="0.2">
      <c r="A19" s="138"/>
      <c r="B19" s="151"/>
      <c r="C19" s="151"/>
      <c r="D19" s="151"/>
      <c r="E19" s="151"/>
      <c r="F19"/>
    </row>
    <row r="20" spans="1:6" ht="14.25" x14ac:dyDescent="0.2">
      <c r="A20" s="138"/>
      <c r="B20" s="151"/>
      <c r="C20" s="151"/>
      <c r="D20" s="151"/>
      <c r="E20" s="151"/>
      <c r="F20"/>
    </row>
    <row r="21" spans="1:6" x14ac:dyDescent="0.2">
      <c r="A21" s="125"/>
      <c r="B21" s="151"/>
      <c r="C21" s="151"/>
      <c r="D21" s="151"/>
      <c r="E21" s="151"/>
      <c r="F21"/>
    </row>
    <row r="22" spans="1:6" x14ac:dyDescent="0.2">
      <c r="A22" s="125"/>
      <c r="B22" s="151"/>
      <c r="C22" s="151"/>
      <c r="D22" s="151"/>
      <c r="E22" s="151"/>
      <c r="F22"/>
    </row>
    <row r="23" spans="1:6" x14ac:dyDescent="0.2">
      <c r="A23" s="125"/>
      <c r="B23" s="151"/>
      <c r="C23" s="151"/>
      <c r="D23" s="151"/>
      <c r="E23" s="151"/>
      <c r="F23"/>
    </row>
    <row r="24" spans="1:6" x14ac:dyDescent="0.2">
      <c r="A24" s="125"/>
      <c r="B24" s="151"/>
      <c r="C24" s="151"/>
      <c r="D24" s="151"/>
      <c r="E24" s="151"/>
      <c r="F24"/>
    </row>
    <row r="25" spans="1:6" x14ac:dyDescent="0.2">
      <c r="A25" s="125"/>
      <c r="B25" s="151"/>
      <c r="C25" s="151"/>
      <c r="D25" s="151"/>
      <c r="E25" s="151"/>
      <c r="F25"/>
    </row>
    <row r="26" spans="1:6" x14ac:dyDescent="0.2">
      <c r="A26" s="125"/>
      <c r="B26" s="151"/>
      <c r="C26" s="151"/>
      <c r="D26" s="151"/>
      <c r="E26" s="151"/>
      <c r="F26"/>
    </row>
    <row r="27" spans="1:6" x14ac:dyDescent="0.2">
      <c r="A27" s="125"/>
      <c r="B27" s="151"/>
      <c r="C27" s="151"/>
      <c r="D27" s="151"/>
      <c r="E27" s="151"/>
      <c r="F27"/>
    </row>
    <row r="28" spans="1:6" x14ac:dyDescent="0.2">
      <c r="A28" s="125"/>
      <c r="B28" s="151"/>
      <c r="C28" s="151"/>
      <c r="D28" s="151"/>
      <c r="E28" s="151"/>
      <c r="F28"/>
    </row>
    <row r="29" spans="1:6" x14ac:dyDescent="0.2">
      <c r="A29" s="125"/>
      <c r="B29" s="125"/>
      <c r="C29" s="125"/>
      <c r="D29" s="124"/>
      <c r="F29" s="124"/>
    </row>
    <row r="30" spans="1:6" x14ac:dyDescent="0.2">
      <c r="A30" s="125"/>
      <c r="B30" s="125"/>
      <c r="C30" s="125"/>
      <c r="D30" s="124"/>
      <c r="F30" s="124"/>
    </row>
    <row r="31" spans="1:6" x14ac:dyDescent="0.2">
      <c r="A31" s="125"/>
      <c r="B31" s="125"/>
      <c r="C31" s="125"/>
      <c r="D31" s="124"/>
      <c r="F31" s="124"/>
    </row>
    <row r="32" spans="1:6" x14ac:dyDescent="0.2">
      <c r="A32" s="125"/>
      <c r="B32" s="125"/>
      <c r="C32" s="125"/>
      <c r="D32" s="124"/>
      <c r="F32" s="124"/>
    </row>
    <row r="33" spans="1:6" x14ac:dyDescent="0.2">
      <c r="A33" s="125"/>
      <c r="B33" s="125"/>
      <c r="C33" s="125"/>
      <c r="D33" s="124"/>
      <c r="F33" s="124"/>
    </row>
    <row r="34" spans="1:6" x14ac:dyDescent="0.2">
      <c r="A34" s="125"/>
      <c r="B34" s="125"/>
      <c r="C34" s="125"/>
      <c r="D34" s="124"/>
      <c r="F34" s="124"/>
    </row>
    <row r="35" spans="1:6" x14ac:dyDescent="0.2">
      <c r="A35" s="125"/>
      <c r="B35" s="125"/>
      <c r="C35" s="125"/>
      <c r="D35" s="124"/>
      <c r="F35" s="124"/>
    </row>
    <row r="36" spans="1:6" x14ac:dyDescent="0.2">
      <c r="A36" s="125"/>
      <c r="B36" s="125"/>
      <c r="C36" s="125"/>
      <c r="D36" s="124"/>
      <c r="F36" s="124"/>
    </row>
    <row r="37" spans="1:6" x14ac:dyDescent="0.2">
      <c r="A37" s="125"/>
      <c r="B37" s="125"/>
      <c r="C37" s="125"/>
      <c r="D37" s="124"/>
      <c r="F37" s="124"/>
    </row>
    <row r="38" spans="1:6" x14ac:dyDescent="0.2">
      <c r="A38" s="125"/>
      <c r="B38" s="125"/>
      <c r="C38" s="125"/>
      <c r="D38" s="124"/>
      <c r="F38" s="124"/>
    </row>
    <row r="39" spans="1:6" x14ac:dyDescent="0.2">
      <c r="A39" s="125"/>
      <c r="B39" s="125"/>
      <c r="C39" s="125"/>
      <c r="D39" s="124"/>
      <c r="F39" s="124"/>
    </row>
    <row r="40" spans="1:6" x14ac:dyDescent="0.2">
      <c r="A40" s="125"/>
      <c r="B40" s="125"/>
      <c r="C40" s="125"/>
      <c r="D40" s="124"/>
      <c r="F40" s="124"/>
    </row>
    <row r="41" spans="1:6" x14ac:dyDescent="0.2">
      <c r="A41" s="125"/>
      <c r="B41" s="125"/>
      <c r="C41" s="125"/>
      <c r="D41" s="124"/>
      <c r="F41" s="124"/>
    </row>
    <row r="42" spans="1:6" x14ac:dyDescent="0.2">
      <c r="A42" s="125"/>
      <c r="B42" s="125"/>
      <c r="C42" s="125"/>
      <c r="D42" s="124"/>
      <c r="F42" s="124"/>
    </row>
    <row r="43" spans="1:6" x14ac:dyDescent="0.2">
      <c r="A43" s="125"/>
      <c r="B43" s="125"/>
      <c r="C43" s="125"/>
      <c r="D43" s="124"/>
      <c r="F43" s="124"/>
    </row>
    <row r="44" spans="1:6" x14ac:dyDescent="0.2">
      <c r="A44" s="125"/>
      <c r="B44" s="125"/>
      <c r="C44" s="125"/>
      <c r="D44" s="124"/>
      <c r="F44" s="124"/>
    </row>
    <row r="45" spans="1:6" x14ac:dyDescent="0.2">
      <c r="A45" s="125"/>
      <c r="B45" s="125"/>
      <c r="C45" s="125"/>
      <c r="D45" s="124"/>
      <c r="F45" s="124"/>
    </row>
    <row r="46" spans="1:6" x14ac:dyDescent="0.2">
      <c r="A46" s="125"/>
      <c r="B46" s="125"/>
      <c r="C46" s="125"/>
      <c r="D46" s="124"/>
      <c r="F46" s="124"/>
    </row>
    <row r="47" spans="1:6" x14ac:dyDescent="0.2">
      <c r="A47" s="125"/>
      <c r="B47" s="125"/>
      <c r="C47" s="125"/>
      <c r="D47" s="124"/>
      <c r="F47" s="124"/>
    </row>
    <row r="48" spans="1:6" x14ac:dyDescent="0.2">
      <c r="A48" s="125"/>
      <c r="B48" s="125"/>
      <c r="C48" s="125"/>
      <c r="D48" s="124"/>
      <c r="F48" s="124"/>
    </row>
    <row r="49" spans="1:6" x14ac:dyDescent="0.2">
      <c r="A49" s="125"/>
      <c r="B49" s="125"/>
      <c r="C49" s="125"/>
      <c r="D49" s="124"/>
      <c r="F49" s="124"/>
    </row>
    <row r="50" spans="1:6" x14ac:dyDescent="0.2">
      <c r="A50" s="125"/>
      <c r="B50" s="125"/>
      <c r="C50" s="125"/>
      <c r="D50" s="124"/>
      <c r="F50" s="124"/>
    </row>
    <row r="51" spans="1:6" x14ac:dyDescent="0.2">
      <c r="A51" s="125"/>
      <c r="B51" s="125"/>
      <c r="C51" s="125"/>
      <c r="D51" s="124"/>
      <c r="F51" s="124"/>
    </row>
    <row r="52" spans="1:6" x14ac:dyDescent="0.2">
      <c r="A52" s="125"/>
      <c r="B52" s="125"/>
      <c r="C52" s="125"/>
      <c r="D52" s="124"/>
      <c r="F52" s="124"/>
    </row>
    <row r="53" spans="1:6" x14ac:dyDescent="0.2">
      <c r="A53" s="125"/>
      <c r="B53" s="125"/>
      <c r="C53" s="125"/>
      <c r="D53" s="124"/>
      <c r="F53" s="124"/>
    </row>
    <row r="54" spans="1:6" x14ac:dyDescent="0.2">
      <c r="A54" s="125"/>
      <c r="B54" s="125"/>
      <c r="C54" s="125"/>
      <c r="D54" s="124"/>
      <c r="F54" s="124"/>
    </row>
    <row r="55" spans="1:6" x14ac:dyDescent="0.2">
      <c r="A55" s="125"/>
      <c r="B55" s="125"/>
      <c r="C55" s="125"/>
      <c r="D55" s="124"/>
      <c r="F55" s="124"/>
    </row>
    <row r="56" spans="1:6" x14ac:dyDescent="0.2">
      <c r="A56" s="125"/>
      <c r="B56" s="125"/>
      <c r="C56" s="125"/>
      <c r="D56" s="124"/>
      <c r="F56" s="124"/>
    </row>
    <row r="57" spans="1:6" x14ac:dyDescent="0.2">
      <c r="A57" s="125"/>
      <c r="B57" s="125"/>
      <c r="C57" s="125"/>
      <c r="D57" s="124"/>
      <c r="F57" s="124"/>
    </row>
    <row r="58" spans="1:6" x14ac:dyDescent="0.2">
      <c r="A58" s="125"/>
      <c r="B58" s="125"/>
      <c r="C58" s="125"/>
      <c r="D58" s="124"/>
      <c r="F58" s="124"/>
    </row>
    <row r="59" spans="1:6" x14ac:dyDescent="0.2">
      <c r="A59" s="125"/>
      <c r="B59" s="125"/>
      <c r="C59" s="125"/>
      <c r="D59" s="124"/>
      <c r="F59" s="124"/>
    </row>
    <row r="60" spans="1:6" x14ac:dyDescent="0.2">
      <c r="A60" s="125"/>
      <c r="B60" s="125"/>
      <c r="C60" s="125"/>
      <c r="D60" s="124"/>
      <c r="F60" s="124"/>
    </row>
    <row r="61" spans="1:6" x14ac:dyDescent="0.2">
      <c r="A61" s="125"/>
      <c r="B61" s="125"/>
      <c r="C61" s="125"/>
      <c r="D61" s="124"/>
      <c r="F61" s="124"/>
    </row>
    <row r="62" spans="1:6" x14ac:dyDescent="0.2">
      <c r="A62" s="125"/>
      <c r="B62" s="125"/>
      <c r="C62" s="125"/>
      <c r="D62" s="124"/>
      <c r="F62" s="124"/>
    </row>
    <row r="63" spans="1:6" x14ac:dyDescent="0.2">
      <c r="A63" s="125"/>
      <c r="B63" s="125"/>
      <c r="C63" s="125"/>
      <c r="D63" s="124"/>
      <c r="F63" s="124"/>
    </row>
    <row r="64" spans="1:6" x14ac:dyDescent="0.2">
      <c r="A64" s="125"/>
      <c r="B64" s="125"/>
      <c r="C64" s="125"/>
      <c r="D64" s="124"/>
      <c r="F64" s="124"/>
    </row>
    <row r="65" spans="1:6" x14ac:dyDescent="0.2">
      <c r="A65" s="125"/>
      <c r="B65" s="125"/>
      <c r="C65" s="125"/>
      <c r="D65" s="124"/>
      <c r="F65" s="124"/>
    </row>
    <row r="66" spans="1:6" x14ac:dyDescent="0.2">
      <c r="A66" s="125"/>
      <c r="B66" s="125"/>
      <c r="C66" s="125"/>
      <c r="D66" s="124"/>
      <c r="F66" s="124"/>
    </row>
    <row r="67" spans="1:6" x14ac:dyDescent="0.2">
      <c r="A67" s="125"/>
      <c r="B67" s="125"/>
      <c r="C67" s="125"/>
      <c r="D67" s="124"/>
      <c r="F67" s="124"/>
    </row>
    <row r="68" spans="1:6" x14ac:dyDescent="0.2">
      <c r="A68" s="125"/>
      <c r="B68" s="125"/>
      <c r="C68" s="125"/>
      <c r="D68" s="124"/>
      <c r="F68" s="124"/>
    </row>
    <row r="69" spans="1:6" x14ac:dyDescent="0.2">
      <c r="A69" s="125"/>
      <c r="B69" s="125"/>
      <c r="C69" s="125"/>
      <c r="D69" s="124"/>
      <c r="F69" s="124"/>
    </row>
    <row r="70" spans="1:6" x14ac:dyDescent="0.2">
      <c r="A70" s="125"/>
      <c r="B70" s="125"/>
      <c r="C70" s="125"/>
      <c r="D70" s="124"/>
      <c r="F70" s="124"/>
    </row>
    <row r="71" spans="1:6" x14ac:dyDescent="0.2">
      <c r="A71" s="125"/>
      <c r="B71" s="125"/>
      <c r="C71" s="125"/>
      <c r="D71" s="124"/>
      <c r="F71" s="124"/>
    </row>
    <row r="72" spans="1:6" x14ac:dyDescent="0.2">
      <c r="A72" s="125"/>
      <c r="B72" s="125"/>
      <c r="C72" s="125"/>
      <c r="D72" s="124"/>
      <c r="F72" s="124"/>
    </row>
    <row r="73" spans="1:6" x14ac:dyDescent="0.2">
      <c r="A73" s="125"/>
      <c r="B73" s="125"/>
      <c r="C73" s="125"/>
      <c r="D73" s="124"/>
      <c r="F73" s="124"/>
    </row>
    <row r="74" spans="1:6" x14ac:dyDescent="0.2">
      <c r="A74" s="125"/>
      <c r="B74" s="125"/>
      <c r="C74" s="125"/>
      <c r="D74" s="124"/>
      <c r="F74" s="124"/>
    </row>
    <row r="75" spans="1:6" x14ac:dyDescent="0.2">
      <c r="A75" s="125"/>
      <c r="B75" s="125"/>
      <c r="C75" s="125"/>
      <c r="D75" s="124"/>
      <c r="F75" s="124"/>
    </row>
    <row r="76" spans="1:6" x14ac:dyDescent="0.2">
      <c r="A76" s="125"/>
      <c r="B76" s="125"/>
      <c r="C76" s="125"/>
      <c r="D76" s="124"/>
      <c r="F76" s="124"/>
    </row>
    <row r="77" spans="1:6" x14ac:dyDescent="0.2">
      <c r="A77" s="125"/>
      <c r="B77" s="125"/>
      <c r="C77" s="125"/>
      <c r="D77" s="124"/>
      <c r="F77" s="124"/>
    </row>
    <row r="78" spans="1:6" x14ac:dyDescent="0.2">
      <c r="A78" s="125"/>
      <c r="B78" s="125"/>
      <c r="C78" s="125"/>
      <c r="D78" s="124"/>
      <c r="F78" s="124"/>
    </row>
    <row r="79" spans="1:6" x14ac:dyDescent="0.2">
      <c r="A79" s="125"/>
      <c r="B79" s="125"/>
      <c r="C79" s="125"/>
      <c r="D79" s="124"/>
      <c r="F79" s="124"/>
    </row>
    <row r="80" spans="1:6" x14ac:dyDescent="0.2">
      <c r="A80" s="125"/>
      <c r="B80" s="125"/>
      <c r="C80" s="125"/>
      <c r="D80" s="124"/>
      <c r="F80" s="124"/>
    </row>
    <row r="81" spans="1:6" x14ac:dyDescent="0.2">
      <c r="A81" s="125"/>
      <c r="B81" s="125"/>
      <c r="C81" s="125"/>
      <c r="D81" s="124"/>
      <c r="F81" s="124"/>
    </row>
    <row r="82" spans="1:6" x14ac:dyDescent="0.2">
      <c r="A82" s="125"/>
      <c r="B82" s="125"/>
      <c r="C82" s="125"/>
      <c r="D82" s="124"/>
      <c r="F82" s="124"/>
    </row>
    <row r="83" spans="1:6" x14ac:dyDescent="0.2">
      <c r="A83" s="125"/>
      <c r="B83" s="125"/>
      <c r="C83" s="125"/>
      <c r="D83" s="124"/>
      <c r="F83" s="124"/>
    </row>
    <row r="84" spans="1:6" x14ac:dyDescent="0.2">
      <c r="A84" s="125"/>
      <c r="B84" s="125"/>
      <c r="C84" s="125"/>
      <c r="D84" s="124"/>
      <c r="F84" s="124"/>
    </row>
    <row r="85" spans="1:6" x14ac:dyDescent="0.2">
      <c r="A85" s="125"/>
      <c r="B85" s="125"/>
      <c r="C85" s="125"/>
      <c r="D85" s="124"/>
      <c r="F85" s="124"/>
    </row>
    <row r="86" spans="1:6" x14ac:dyDescent="0.2">
      <c r="A86" s="125"/>
      <c r="B86" s="125"/>
      <c r="C86" s="125"/>
      <c r="D86" s="124"/>
      <c r="F86" s="124"/>
    </row>
    <row r="87" spans="1:6" x14ac:dyDescent="0.2">
      <c r="A87" s="125"/>
      <c r="B87" s="125"/>
      <c r="C87" s="125"/>
      <c r="D87" s="124"/>
      <c r="F87" s="124"/>
    </row>
    <row r="88" spans="1:6" x14ac:dyDescent="0.2">
      <c r="A88" s="125"/>
      <c r="B88" s="125"/>
      <c r="C88" s="125"/>
      <c r="D88" s="124"/>
      <c r="F88" s="124"/>
    </row>
    <row r="89" spans="1:6" x14ac:dyDescent="0.2">
      <c r="A89" s="125"/>
      <c r="B89" s="125"/>
      <c r="C89" s="125"/>
      <c r="D89" s="124"/>
      <c r="F89" s="124"/>
    </row>
    <row r="90" spans="1:6" x14ac:dyDescent="0.2">
      <c r="A90" s="125"/>
      <c r="B90" s="125"/>
      <c r="C90" s="125"/>
      <c r="D90" s="124"/>
      <c r="F90" s="124"/>
    </row>
    <row r="91" spans="1:6" x14ac:dyDescent="0.2">
      <c r="A91" s="125"/>
      <c r="B91" s="125"/>
      <c r="C91" s="125"/>
      <c r="D91" s="124"/>
      <c r="F91" s="124"/>
    </row>
    <row r="92" spans="1:6" x14ac:dyDescent="0.2">
      <c r="A92" s="125"/>
      <c r="B92" s="125"/>
      <c r="C92" s="125"/>
      <c r="D92" s="124"/>
      <c r="F92" s="124"/>
    </row>
    <row r="93" spans="1:6" x14ac:dyDescent="0.2">
      <c r="A93" s="125"/>
      <c r="B93" s="125"/>
      <c r="C93" s="125"/>
      <c r="D93" s="124"/>
      <c r="F93" s="124"/>
    </row>
    <row r="94" spans="1:6" x14ac:dyDescent="0.2">
      <c r="A94" s="125"/>
      <c r="B94" s="125"/>
      <c r="C94" s="125"/>
      <c r="D94" s="124"/>
      <c r="F94" s="124"/>
    </row>
    <row r="95" spans="1:6" x14ac:dyDescent="0.2">
      <c r="A95" s="125"/>
      <c r="B95" s="125"/>
      <c r="C95" s="125"/>
      <c r="D95" s="124"/>
      <c r="F95" s="124"/>
    </row>
    <row r="96" spans="1:6" x14ac:dyDescent="0.2">
      <c r="A96" s="125"/>
      <c r="B96" s="125"/>
      <c r="C96" s="125"/>
      <c r="D96" s="124"/>
      <c r="F96" s="124"/>
    </row>
    <row r="97" spans="1:6" x14ac:dyDescent="0.2">
      <c r="A97" s="125"/>
      <c r="B97" s="125"/>
      <c r="C97" s="125"/>
      <c r="D97" s="124"/>
      <c r="F97" s="124"/>
    </row>
    <row r="98" spans="1:6" x14ac:dyDescent="0.2">
      <c r="A98" s="125"/>
      <c r="B98" s="125"/>
      <c r="C98" s="125"/>
      <c r="D98" s="124"/>
      <c r="F98" s="124"/>
    </row>
    <row r="99" spans="1:6" x14ac:dyDescent="0.2">
      <c r="A99" s="125"/>
      <c r="B99" s="125"/>
      <c r="C99" s="125"/>
      <c r="D99" s="124"/>
      <c r="F99" s="124"/>
    </row>
    <row r="100" spans="1:6" x14ac:dyDescent="0.2">
      <c r="A100" s="125"/>
      <c r="B100" s="125"/>
      <c r="C100" s="125"/>
      <c r="D100" s="124"/>
      <c r="F100" s="124"/>
    </row>
    <row r="101" spans="1:6" x14ac:dyDescent="0.2">
      <c r="A101" s="125"/>
      <c r="B101" s="125"/>
      <c r="C101" s="125"/>
      <c r="D101" s="124"/>
      <c r="F101" s="124"/>
    </row>
    <row r="102" spans="1:6" x14ac:dyDescent="0.2">
      <c r="A102" s="125"/>
      <c r="B102" s="125"/>
      <c r="C102" s="125"/>
      <c r="D102" s="124"/>
      <c r="F102" s="124"/>
    </row>
    <row r="103" spans="1:6" x14ac:dyDescent="0.2">
      <c r="A103" s="125"/>
      <c r="B103" s="125"/>
      <c r="C103" s="125"/>
      <c r="D103" s="124"/>
      <c r="F103" s="124"/>
    </row>
    <row r="104" spans="1:6" x14ac:dyDescent="0.2">
      <c r="A104" s="125"/>
      <c r="B104" s="125"/>
      <c r="C104" s="125"/>
      <c r="D104" s="124"/>
    </row>
    <row r="105" spans="1:6" x14ac:dyDescent="0.2">
      <c r="A105" s="125"/>
      <c r="B105" s="125"/>
      <c r="C105" s="125"/>
      <c r="D105" s="124"/>
      <c r="F105" s="124"/>
    </row>
    <row r="106" spans="1:6" x14ac:dyDescent="0.2">
      <c r="A106" s="125"/>
      <c r="B106" s="125"/>
      <c r="C106" s="125"/>
      <c r="D106" s="124"/>
      <c r="F106" s="124"/>
    </row>
    <row r="107" spans="1:6" x14ac:dyDescent="0.2">
      <c r="A107" s="125"/>
      <c r="B107" s="125"/>
      <c r="C107" s="125"/>
      <c r="D107" s="124"/>
      <c r="F107" s="124"/>
    </row>
    <row r="108" spans="1:6" x14ac:dyDescent="0.2">
      <c r="A108" s="125"/>
      <c r="B108" s="125"/>
      <c r="C108" s="125"/>
      <c r="D108" s="124"/>
      <c r="F108" s="124"/>
    </row>
    <row r="109" spans="1:6" x14ac:dyDescent="0.2">
      <c r="A109" s="125"/>
      <c r="B109" s="125"/>
      <c r="C109" s="125"/>
      <c r="D109" s="124"/>
      <c r="F109" s="124"/>
    </row>
    <row r="110" spans="1:6" x14ac:dyDescent="0.2">
      <c r="A110" s="125"/>
      <c r="B110" s="125"/>
      <c r="C110" s="125"/>
      <c r="D110" s="124"/>
      <c r="F110" s="124"/>
    </row>
    <row r="111" spans="1:6" x14ac:dyDescent="0.2">
      <c r="A111" s="125"/>
      <c r="B111" s="125"/>
      <c r="C111" s="125"/>
      <c r="D111" s="124"/>
      <c r="F111" s="124"/>
    </row>
    <row r="112" spans="1:6" x14ac:dyDescent="0.2">
      <c r="A112" s="125"/>
      <c r="B112" s="125"/>
      <c r="C112" s="125"/>
      <c r="D112" s="124"/>
      <c r="F112" s="124"/>
    </row>
    <row r="113" spans="1:6" x14ac:dyDescent="0.2">
      <c r="A113" s="125"/>
      <c r="B113" s="125"/>
      <c r="C113" s="125"/>
      <c r="D113" s="124"/>
      <c r="F113" s="124"/>
    </row>
    <row r="114" spans="1:6" x14ac:dyDescent="0.2">
      <c r="A114" s="125"/>
      <c r="B114" s="125"/>
      <c r="C114" s="125"/>
      <c r="D114" s="124"/>
      <c r="F114" s="124"/>
    </row>
    <row r="115" spans="1:6" x14ac:dyDescent="0.2">
      <c r="A115" s="125"/>
      <c r="B115" s="125"/>
      <c r="C115" s="125"/>
      <c r="D115" s="124"/>
      <c r="F115" s="124"/>
    </row>
    <row r="116" spans="1:6" x14ac:dyDescent="0.2">
      <c r="A116" s="125"/>
      <c r="B116" s="125"/>
      <c r="C116" s="125"/>
      <c r="D116" s="124"/>
      <c r="F116" s="124"/>
    </row>
    <row r="117" spans="1:6" x14ac:dyDescent="0.2">
      <c r="A117" s="125"/>
      <c r="B117" s="125"/>
      <c r="C117" s="125"/>
      <c r="D117" s="124"/>
      <c r="F117" s="124"/>
    </row>
    <row r="118" spans="1:6" x14ac:dyDescent="0.2">
      <c r="A118" s="125"/>
      <c r="B118" s="125"/>
      <c r="C118" s="125"/>
      <c r="D118" s="124"/>
      <c r="F118" s="124"/>
    </row>
    <row r="119" spans="1:6" x14ac:dyDescent="0.2">
      <c r="A119" s="125"/>
      <c r="B119" s="125"/>
      <c r="C119" s="125"/>
      <c r="D119" s="124"/>
      <c r="F119" s="124"/>
    </row>
    <row r="120" spans="1:6" x14ac:dyDescent="0.2">
      <c r="A120" s="125"/>
      <c r="B120" s="125"/>
      <c r="C120" s="125"/>
      <c r="D120" s="124"/>
      <c r="F120" s="124"/>
    </row>
    <row r="121" spans="1:6" x14ac:dyDescent="0.2">
      <c r="A121" s="125"/>
      <c r="B121" s="125"/>
      <c r="C121" s="125"/>
      <c r="D121" s="124"/>
      <c r="F121" s="124"/>
    </row>
    <row r="122" spans="1:6" x14ac:dyDescent="0.2">
      <c r="A122" s="125"/>
      <c r="B122" s="125"/>
      <c r="C122" s="125"/>
      <c r="D122" s="124"/>
      <c r="F122" s="124"/>
    </row>
    <row r="123" spans="1:6" x14ac:dyDescent="0.2">
      <c r="A123" s="125"/>
      <c r="B123" s="125"/>
      <c r="C123" s="125"/>
      <c r="D123" s="124"/>
      <c r="F123" s="124"/>
    </row>
    <row r="124" spans="1:6" x14ac:dyDescent="0.2">
      <c r="A124" s="125"/>
      <c r="B124" s="125"/>
      <c r="C124" s="125"/>
      <c r="D124" s="124"/>
      <c r="F124" s="124"/>
    </row>
    <row r="125" spans="1:6" x14ac:dyDescent="0.2">
      <c r="A125" s="125"/>
      <c r="B125" s="125"/>
      <c r="C125" s="125"/>
      <c r="D125" s="124"/>
      <c r="F125" s="124"/>
    </row>
    <row r="126" spans="1:6" x14ac:dyDescent="0.2">
      <c r="A126" s="125"/>
      <c r="B126" s="125"/>
      <c r="C126" s="125"/>
      <c r="D126" s="124"/>
      <c r="F126" s="124"/>
    </row>
    <row r="127" spans="1:6" x14ac:dyDescent="0.2">
      <c r="A127" s="125"/>
      <c r="B127" s="125"/>
      <c r="C127" s="125"/>
      <c r="D127" s="124"/>
      <c r="F127" s="124"/>
    </row>
    <row r="128" spans="1:6" x14ac:dyDescent="0.2">
      <c r="A128" s="125"/>
      <c r="B128" s="125"/>
      <c r="C128" s="125"/>
      <c r="D128" s="124"/>
      <c r="F128" s="124"/>
    </row>
    <row r="129" spans="1:6" x14ac:dyDescent="0.2">
      <c r="A129" s="125"/>
      <c r="B129" s="125"/>
      <c r="C129" s="125"/>
      <c r="D129" s="124"/>
      <c r="F129" s="124"/>
    </row>
    <row r="130" spans="1:6" x14ac:dyDescent="0.2">
      <c r="A130" s="125"/>
      <c r="B130" s="125"/>
      <c r="C130" s="125"/>
      <c r="D130" s="124"/>
      <c r="F130" s="124"/>
    </row>
    <row r="131" spans="1:6" x14ac:dyDescent="0.2">
      <c r="A131" s="125"/>
      <c r="B131" s="125"/>
      <c r="C131" s="125"/>
      <c r="D131" s="124"/>
    </row>
    <row r="132" spans="1:6" x14ac:dyDescent="0.2">
      <c r="A132" s="125"/>
      <c r="B132" s="125"/>
      <c r="C132" s="125"/>
      <c r="D132" s="124"/>
      <c r="F132" s="124"/>
    </row>
    <row r="133" spans="1:6" x14ac:dyDescent="0.2">
      <c r="A133" s="125"/>
      <c r="B133" s="125"/>
      <c r="C133" s="125"/>
      <c r="D133" s="124"/>
      <c r="F133" s="124"/>
    </row>
    <row r="134" spans="1:6" x14ac:dyDescent="0.2">
      <c r="A134" s="125"/>
      <c r="B134" s="125"/>
      <c r="C134" s="125"/>
      <c r="D134" s="124"/>
      <c r="F134" s="124"/>
    </row>
    <row r="135" spans="1:6" x14ac:dyDescent="0.2">
      <c r="A135" s="125"/>
      <c r="B135" s="125"/>
      <c r="C135" s="125"/>
      <c r="D135" s="124"/>
      <c r="F135" s="124"/>
    </row>
    <row r="136" spans="1:6" x14ac:dyDescent="0.2">
      <c r="A136" s="125"/>
      <c r="B136" s="125"/>
      <c r="C136" s="125"/>
      <c r="D136" s="124"/>
      <c r="F136" s="124"/>
    </row>
    <row r="137" spans="1:6" x14ac:dyDescent="0.2">
      <c r="A137" s="125"/>
      <c r="B137" s="125"/>
      <c r="C137" s="125"/>
      <c r="D137" s="124"/>
      <c r="F137" s="124"/>
    </row>
    <row r="138" spans="1:6" x14ac:dyDescent="0.2">
      <c r="A138" s="125"/>
      <c r="B138" s="125"/>
      <c r="C138" s="125"/>
      <c r="D138" s="124"/>
      <c r="F138" s="124"/>
    </row>
    <row r="139" spans="1:6" x14ac:dyDescent="0.2">
      <c r="A139" s="125"/>
      <c r="B139" s="125"/>
      <c r="C139" s="125"/>
      <c r="D139" s="124"/>
      <c r="F139" s="124"/>
    </row>
    <row r="140" spans="1:6" x14ac:dyDescent="0.2">
      <c r="A140" s="125"/>
      <c r="B140" s="125"/>
      <c r="C140" s="125"/>
      <c r="D140" s="124"/>
      <c r="F140" s="124"/>
    </row>
    <row r="141" spans="1:6" x14ac:dyDescent="0.2">
      <c r="A141" s="125"/>
      <c r="B141" s="125"/>
      <c r="C141" s="125"/>
      <c r="D141" s="124"/>
    </row>
    <row r="142" spans="1:6" x14ac:dyDescent="0.2">
      <c r="A142" s="125"/>
      <c r="B142" s="125"/>
      <c r="C142" s="125"/>
      <c r="D142" s="124"/>
      <c r="F142" s="124"/>
    </row>
    <row r="143" spans="1:6" x14ac:dyDescent="0.2">
      <c r="A143" s="125"/>
      <c r="B143" s="125"/>
      <c r="C143" s="125"/>
      <c r="D143" s="124"/>
      <c r="F143" s="124"/>
    </row>
    <row r="144" spans="1:6" x14ac:dyDescent="0.2">
      <c r="A144" s="125"/>
      <c r="B144" s="125"/>
      <c r="C144" s="125"/>
      <c r="D144" s="124"/>
      <c r="F144" s="124"/>
    </row>
    <row r="145" spans="1:6" x14ac:dyDescent="0.2">
      <c r="A145" s="125"/>
      <c r="B145" s="125"/>
      <c r="C145" s="125"/>
      <c r="D145" s="124"/>
      <c r="F145" s="124"/>
    </row>
    <row r="146" spans="1:6" x14ac:dyDescent="0.2">
      <c r="A146" s="125"/>
      <c r="B146" s="125"/>
      <c r="C146" s="125"/>
      <c r="D146" s="124"/>
      <c r="F146" s="124"/>
    </row>
    <row r="147" spans="1:6" x14ac:dyDescent="0.2">
      <c r="A147" s="125"/>
      <c r="B147" s="125"/>
      <c r="C147" s="125"/>
      <c r="D147" s="124"/>
      <c r="F147" s="124"/>
    </row>
    <row r="148" spans="1:6" x14ac:dyDescent="0.2">
      <c r="A148" s="125"/>
      <c r="B148" s="125"/>
      <c r="C148" s="125"/>
      <c r="D148" s="124"/>
      <c r="F148" s="124"/>
    </row>
    <row r="149" spans="1:6" x14ac:dyDescent="0.2">
      <c r="A149" s="125"/>
      <c r="B149" s="125"/>
      <c r="C149" s="125"/>
      <c r="D149" s="124"/>
      <c r="F149" s="124"/>
    </row>
    <row r="150" spans="1:6" x14ac:dyDescent="0.2">
      <c r="A150" s="125"/>
      <c r="B150" s="125"/>
      <c r="C150" s="125"/>
      <c r="D150" s="124"/>
      <c r="F150" s="124"/>
    </row>
    <row r="151" spans="1:6" x14ac:dyDescent="0.2">
      <c r="A151" s="125"/>
      <c r="B151" s="125"/>
      <c r="C151" s="125"/>
      <c r="D151" s="124"/>
      <c r="F151" s="124"/>
    </row>
    <row r="152" spans="1:6" x14ac:dyDescent="0.2">
      <c r="A152" s="125"/>
      <c r="B152" s="125"/>
      <c r="C152" s="125"/>
      <c r="D152" s="124"/>
      <c r="F152" s="124"/>
    </row>
    <row r="153" spans="1:6" x14ac:dyDescent="0.2">
      <c r="A153" s="125"/>
      <c r="B153" s="125"/>
      <c r="C153" s="125"/>
      <c r="D153" s="124"/>
      <c r="F153" s="124"/>
    </row>
    <row r="154" spans="1:6" x14ac:dyDescent="0.2">
      <c r="A154" s="125"/>
      <c r="B154" s="125"/>
      <c r="C154" s="125"/>
      <c r="D154" s="124"/>
      <c r="F154" s="124"/>
    </row>
    <row r="155" spans="1:6" x14ac:dyDescent="0.2">
      <c r="A155" s="125"/>
      <c r="B155" s="125"/>
      <c r="C155" s="125"/>
      <c r="D155" s="124"/>
      <c r="F155" s="124"/>
    </row>
    <row r="156" spans="1:6" x14ac:dyDescent="0.2">
      <c r="A156" s="125"/>
      <c r="B156" s="125"/>
      <c r="C156" s="125"/>
      <c r="D156" s="124"/>
      <c r="F156" s="124"/>
    </row>
    <row r="157" spans="1:6" x14ac:dyDescent="0.2">
      <c r="A157" s="125"/>
      <c r="B157" s="125"/>
      <c r="C157" s="125"/>
      <c r="D157" s="124"/>
      <c r="F157" s="124"/>
    </row>
    <row r="158" spans="1:6" x14ac:dyDescent="0.2">
      <c r="A158" s="125"/>
      <c r="B158" s="125"/>
      <c r="C158" s="125"/>
      <c r="D158" s="124"/>
      <c r="F158" s="124"/>
    </row>
    <row r="159" spans="1:6" x14ac:dyDescent="0.2">
      <c r="A159" s="125"/>
      <c r="B159" s="125"/>
      <c r="C159" s="125"/>
      <c r="D159" s="124"/>
      <c r="F159" s="124"/>
    </row>
    <row r="160" spans="1:6" x14ac:dyDescent="0.2">
      <c r="A160" s="125"/>
      <c r="B160" s="125"/>
      <c r="C160" s="125"/>
      <c r="D160" s="124"/>
      <c r="F160" s="124"/>
    </row>
    <row r="161" spans="1:6" x14ac:dyDescent="0.2">
      <c r="A161" s="125"/>
      <c r="B161" s="125"/>
      <c r="C161" s="125"/>
      <c r="D161" s="124"/>
      <c r="F161" s="124"/>
    </row>
    <row r="162" spans="1:6" x14ac:dyDescent="0.2">
      <c r="A162" s="125"/>
      <c r="B162" s="125"/>
      <c r="C162" s="125"/>
      <c r="D162" s="124"/>
      <c r="F162" s="124"/>
    </row>
    <row r="163" spans="1:6" x14ac:dyDescent="0.2">
      <c r="A163" s="125"/>
      <c r="B163" s="125"/>
      <c r="C163" s="125"/>
      <c r="D163" s="124"/>
      <c r="F163" s="124"/>
    </row>
    <row r="164" spans="1:6" x14ac:dyDescent="0.2">
      <c r="A164" s="125"/>
      <c r="B164" s="125"/>
      <c r="C164" s="125"/>
      <c r="D164" s="124"/>
      <c r="F164" s="124"/>
    </row>
    <row r="165" spans="1:6" x14ac:dyDescent="0.2">
      <c r="A165" s="125"/>
      <c r="B165" s="125"/>
      <c r="C165" s="125"/>
      <c r="D165" s="124"/>
      <c r="F165" s="124"/>
    </row>
    <row r="166" spans="1:6" x14ac:dyDescent="0.2">
      <c r="A166" s="125"/>
      <c r="B166" s="125"/>
      <c r="C166" s="125"/>
      <c r="D166" s="124"/>
      <c r="F166" s="124"/>
    </row>
    <row r="167" spans="1:6" x14ac:dyDescent="0.2">
      <c r="A167" s="125"/>
      <c r="B167" s="125"/>
      <c r="C167" s="125"/>
      <c r="D167" s="124"/>
      <c r="F167" s="124"/>
    </row>
    <row r="168" spans="1:6" x14ac:dyDescent="0.2">
      <c r="A168" s="125"/>
      <c r="B168" s="125"/>
      <c r="C168" s="125"/>
      <c r="D168" s="124"/>
      <c r="F168" s="124"/>
    </row>
    <row r="169" spans="1:6" x14ac:dyDescent="0.2">
      <c r="A169" s="125"/>
      <c r="B169" s="125"/>
      <c r="C169" s="125"/>
      <c r="D169" s="124"/>
      <c r="F169" s="124"/>
    </row>
    <row r="170" spans="1:6" x14ac:dyDescent="0.2">
      <c r="A170" s="125"/>
      <c r="B170" s="125"/>
      <c r="C170" s="125"/>
      <c r="D170" s="124"/>
      <c r="F170" s="124"/>
    </row>
    <row r="171" spans="1:6" x14ac:dyDescent="0.2">
      <c r="A171" s="125"/>
      <c r="B171" s="125"/>
      <c r="C171" s="125"/>
      <c r="D171" s="124"/>
      <c r="F171" s="124"/>
    </row>
    <row r="172" spans="1:6" x14ac:dyDescent="0.2">
      <c r="A172" s="125"/>
      <c r="B172" s="125"/>
      <c r="C172" s="125"/>
      <c r="D172" s="124"/>
      <c r="F172" s="124"/>
    </row>
    <row r="173" spans="1:6" x14ac:dyDescent="0.2">
      <c r="A173" s="125"/>
      <c r="B173" s="125"/>
      <c r="C173" s="125"/>
      <c r="D173" s="124"/>
      <c r="F173" s="124"/>
    </row>
    <row r="174" spans="1:6" x14ac:dyDescent="0.2">
      <c r="A174" s="125"/>
      <c r="B174" s="125"/>
      <c r="C174" s="125"/>
      <c r="D174" s="124"/>
      <c r="F174" s="124"/>
    </row>
    <row r="175" spans="1:6" x14ac:dyDescent="0.2">
      <c r="A175" s="125"/>
      <c r="B175" s="125"/>
      <c r="C175" s="125"/>
      <c r="D175" s="124"/>
      <c r="F175" s="124"/>
    </row>
    <row r="176" spans="1:6" x14ac:dyDescent="0.2">
      <c r="A176" s="125"/>
      <c r="B176" s="125"/>
      <c r="C176" s="125"/>
      <c r="D176" s="124"/>
      <c r="F176" s="124"/>
    </row>
    <row r="177" spans="1:6" x14ac:dyDescent="0.2">
      <c r="A177" s="125"/>
      <c r="B177" s="125"/>
      <c r="C177" s="125"/>
      <c r="D177" s="124"/>
      <c r="F177" s="124"/>
    </row>
    <row r="178" spans="1:6" x14ac:dyDescent="0.2">
      <c r="A178" s="125"/>
      <c r="B178" s="125"/>
      <c r="C178" s="125"/>
      <c r="D178" s="124"/>
      <c r="F178" s="124"/>
    </row>
    <row r="179" spans="1:6" x14ac:dyDescent="0.2">
      <c r="A179" s="125"/>
      <c r="B179" s="125"/>
      <c r="C179" s="125"/>
      <c r="D179" s="124"/>
      <c r="F179" s="124"/>
    </row>
    <row r="180" spans="1:6" x14ac:dyDescent="0.2">
      <c r="A180" s="125"/>
      <c r="B180" s="125"/>
      <c r="C180" s="125"/>
      <c r="D180" s="124"/>
      <c r="F180" s="124"/>
    </row>
    <row r="181" spans="1:6" x14ac:dyDescent="0.2">
      <c r="A181" s="125"/>
      <c r="B181" s="125"/>
      <c r="C181" s="125"/>
      <c r="D181" s="124"/>
      <c r="F181" s="124"/>
    </row>
    <row r="182" spans="1:6" x14ac:dyDescent="0.2">
      <c r="A182" s="125"/>
      <c r="B182" s="125"/>
      <c r="C182" s="125"/>
      <c r="D182" s="124"/>
      <c r="F182" s="124"/>
    </row>
    <row r="183" spans="1:6" x14ac:dyDescent="0.2">
      <c r="A183" s="125"/>
      <c r="B183" s="125"/>
      <c r="C183" s="125"/>
      <c r="D183" s="124"/>
      <c r="F183" s="124"/>
    </row>
    <row r="184" spans="1:6" x14ac:dyDescent="0.2">
      <c r="A184" s="125"/>
      <c r="B184" s="125"/>
      <c r="C184" s="125"/>
      <c r="D184" s="124"/>
      <c r="F184" s="124"/>
    </row>
    <row r="185" spans="1:6" x14ac:dyDescent="0.2">
      <c r="A185" s="125"/>
      <c r="B185" s="125"/>
      <c r="C185" s="125"/>
      <c r="D185" s="124"/>
      <c r="F185" s="124"/>
    </row>
    <row r="186" spans="1:6" x14ac:dyDescent="0.2">
      <c r="A186" s="126"/>
      <c r="B186" s="125"/>
      <c r="C186" s="125"/>
      <c r="F186" s="124"/>
    </row>
    <row r="187" spans="1:6" x14ac:dyDescent="0.2">
      <c r="A187" s="126"/>
      <c r="B187" s="125"/>
      <c r="C187" s="125"/>
      <c r="F187" s="124"/>
    </row>
    <row r="188" spans="1:6" x14ac:dyDescent="0.2">
      <c r="A188" s="126"/>
      <c r="B188" s="125"/>
      <c r="C188" s="125"/>
    </row>
    <row r="189" spans="1:6" x14ac:dyDescent="0.2">
      <c r="A189" s="126"/>
      <c r="B189" s="125"/>
      <c r="C189" s="125"/>
    </row>
    <row r="190" spans="1:6" x14ac:dyDescent="0.2">
      <c r="A190" s="126"/>
      <c r="B190" s="125"/>
      <c r="C190" s="125"/>
    </row>
    <row r="191" spans="1:6" x14ac:dyDescent="0.2">
      <c r="A191" s="126"/>
      <c r="B191" s="125"/>
      <c r="C191" s="12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347"/>
  <sheetViews>
    <sheetView zoomScale="110" zoomScaleNormal="110" workbookViewId="0">
      <selection activeCell="E29" sqref="E29"/>
    </sheetView>
  </sheetViews>
  <sheetFormatPr defaultRowHeight="12.75" x14ac:dyDescent="0.2"/>
  <cols>
    <col min="1" max="1" width="10.5703125" customWidth="1"/>
    <col min="2" max="2" width="9.7109375" customWidth="1"/>
    <col min="3" max="4" width="8.7109375" customWidth="1"/>
    <col min="5" max="10" width="10.5703125" customWidth="1"/>
  </cols>
  <sheetData>
    <row r="1" spans="1:6" x14ac:dyDescent="0.2">
      <c r="A1" s="145" t="s">
        <v>181</v>
      </c>
      <c r="B1" s="145"/>
      <c r="C1" s="145"/>
      <c r="D1" s="159"/>
      <c r="E1" s="159"/>
      <c r="F1" s="159"/>
    </row>
    <row r="2" spans="1:6" ht="14.25" x14ac:dyDescent="0.2">
      <c r="A2" s="145" t="s">
        <v>182</v>
      </c>
      <c r="B2" s="37" t="s">
        <v>184</v>
      </c>
      <c r="C2" s="37" t="s">
        <v>183</v>
      </c>
      <c r="D2" s="37"/>
    </row>
    <row r="3" spans="1:6" x14ac:dyDescent="0.2">
      <c r="A3" s="128"/>
      <c r="B3" s="144"/>
      <c r="C3" s="150"/>
    </row>
    <row r="4" spans="1:6" x14ac:dyDescent="0.2">
      <c r="A4" s="126">
        <v>43347</v>
      </c>
      <c r="B4" s="160">
        <v>7.84</v>
      </c>
      <c r="C4" s="160">
        <v>318.2</v>
      </c>
      <c r="D4" s="157"/>
      <c r="E4" s="157"/>
      <c r="F4" s="157"/>
    </row>
    <row r="5" spans="1:6" x14ac:dyDescent="0.2">
      <c r="A5" s="126">
        <v>43348</v>
      </c>
      <c r="B5" s="160">
        <v>7.78</v>
      </c>
      <c r="C5" s="160">
        <v>316.8</v>
      </c>
      <c r="D5" s="157"/>
      <c r="E5" s="157"/>
      <c r="F5" s="157"/>
    </row>
    <row r="6" spans="1:6" x14ac:dyDescent="0.2">
      <c r="A6" s="126">
        <v>43349</v>
      </c>
      <c r="B6" s="160">
        <v>7.8</v>
      </c>
      <c r="C6" s="160">
        <v>321.39999999999998</v>
      </c>
      <c r="D6" s="157"/>
      <c r="E6" s="157"/>
      <c r="F6" s="157"/>
    </row>
    <row r="7" spans="1:6" x14ac:dyDescent="0.2">
      <c r="A7" s="126">
        <v>43350</v>
      </c>
      <c r="B7" s="160">
        <v>7.91</v>
      </c>
      <c r="C7" s="160">
        <v>324.2</v>
      </c>
      <c r="D7" s="157"/>
      <c r="E7" s="157"/>
      <c r="F7" s="157"/>
    </row>
    <row r="8" spans="1:6" x14ac:dyDescent="0.2">
      <c r="A8" s="126">
        <v>43353</v>
      </c>
      <c r="B8" s="160">
        <v>7.86</v>
      </c>
      <c r="C8" s="160">
        <v>325.8</v>
      </c>
      <c r="D8" s="157"/>
      <c r="E8" s="157"/>
      <c r="F8" s="157"/>
    </row>
    <row r="9" spans="1:6" x14ac:dyDescent="0.2">
      <c r="A9" s="126">
        <v>43354</v>
      </c>
      <c r="B9" s="160">
        <v>7.72</v>
      </c>
      <c r="C9" s="160">
        <v>323.7</v>
      </c>
      <c r="D9" s="157"/>
      <c r="E9" s="157"/>
      <c r="F9" s="157"/>
    </row>
    <row r="10" spans="1:6" x14ac:dyDescent="0.2">
      <c r="A10" s="126">
        <v>43355</v>
      </c>
      <c r="B10" s="160">
        <v>7.8</v>
      </c>
      <c r="C10" s="160">
        <v>324.8</v>
      </c>
      <c r="D10" s="157"/>
    </row>
    <row r="11" spans="1:6" x14ac:dyDescent="0.2">
      <c r="A11" s="126">
        <v>43356</v>
      </c>
      <c r="B11" s="160">
        <v>7.72</v>
      </c>
      <c r="C11" s="160">
        <v>321.39999999999998</v>
      </c>
      <c r="D11" s="157"/>
    </row>
    <row r="12" spans="1:6" x14ac:dyDescent="0.2">
      <c r="A12" s="126">
        <v>43357</v>
      </c>
      <c r="B12" s="160">
        <v>7.64</v>
      </c>
      <c r="C12" s="160">
        <v>314.8</v>
      </c>
      <c r="D12" s="157"/>
    </row>
    <row r="13" spans="1:6" x14ac:dyDescent="0.2">
      <c r="A13" s="126">
        <v>43360</v>
      </c>
      <c r="B13" s="160">
        <v>7.54</v>
      </c>
      <c r="C13" s="160">
        <v>311.89999999999998</v>
      </c>
      <c r="D13" s="157"/>
    </row>
    <row r="14" spans="1:6" x14ac:dyDescent="0.2">
      <c r="A14" s="126">
        <v>43361</v>
      </c>
      <c r="B14" s="160">
        <v>7.45</v>
      </c>
      <c r="C14" s="160">
        <v>310</v>
      </c>
      <c r="D14" s="157"/>
    </row>
    <row r="15" spans="1:6" x14ac:dyDescent="0.2">
      <c r="A15" s="126">
        <v>43362</v>
      </c>
      <c r="B15" s="160">
        <v>7.61</v>
      </c>
      <c r="C15" s="160">
        <v>315.89999999999998</v>
      </c>
      <c r="D15" s="157"/>
    </row>
    <row r="16" spans="1:6" x14ac:dyDescent="0.2">
      <c r="A16" s="126">
        <v>43363</v>
      </c>
      <c r="B16" s="151">
        <v>7.8</v>
      </c>
      <c r="C16" s="124">
        <v>321.89999999999998</v>
      </c>
    </row>
    <row r="17" spans="1:4" x14ac:dyDescent="0.2">
      <c r="A17" s="126">
        <v>43364</v>
      </c>
      <c r="B17" s="151">
        <v>7.77</v>
      </c>
      <c r="C17" s="151">
        <v>316.39999999999998</v>
      </c>
      <c r="D17" s="151"/>
    </row>
    <row r="18" spans="1:4" x14ac:dyDescent="0.2">
      <c r="A18" s="126">
        <v>43367</v>
      </c>
      <c r="B18" s="151">
        <v>7.69</v>
      </c>
      <c r="C18" s="151">
        <v>314</v>
      </c>
      <c r="D18" s="151"/>
    </row>
    <row r="19" spans="1:4" x14ac:dyDescent="0.2">
      <c r="A19" s="126">
        <v>43368</v>
      </c>
      <c r="B19" s="151">
        <v>7.78</v>
      </c>
      <c r="C19" s="151">
        <v>315.7</v>
      </c>
      <c r="D19" s="151"/>
    </row>
    <row r="20" spans="1:4" x14ac:dyDescent="0.2">
      <c r="A20" s="126">
        <v>43369</v>
      </c>
      <c r="B20" s="151">
        <v>7.82</v>
      </c>
      <c r="C20" s="151">
        <v>317.39999999999998</v>
      </c>
      <c r="D20" s="151"/>
    </row>
    <row r="21" spans="1:4" x14ac:dyDescent="0.2">
      <c r="A21" s="126">
        <v>43370</v>
      </c>
      <c r="B21" s="151">
        <v>7.78</v>
      </c>
      <c r="C21" s="151">
        <v>318.3</v>
      </c>
      <c r="D21" s="151"/>
    </row>
    <row r="22" spans="1:4" x14ac:dyDescent="0.2">
      <c r="A22" s="126">
        <v>43371</v>
      </c>
      <c r="B22" s="151">
        <v>7.74</v>
      </c>
      <c r="C22" s="151">
        <v>315.5</v>
      </c>
      <c r="D22" s="151"/>
    </row>
    <row r="23" spans="1:4" x14ac:dyDescent="0.2">
      <c r="A23" s="126">
        <v>43374</v>
      </c>
      <c r="B23" s="151">
        <v>7.89</v>
      </c>
      <c r="C23" s="151">
        <v>320.3</v>
      </c>
      <c r="D23" s="151"/>
    </row>
    <row r="24" spans="1:4" x14ac:dyDescent="0.2">
      <c r="A24" s="126">
        <v>43375</v>
      </c>
      <c r="B24" s="151">
        <v>7.98</v>
      </c>
      <c r="C24" s="151">
        <v>321.10000000000002</v>
      </c>
      <c r="D24" s="151"/>
    </row>
    <row r="25" spans="1:4" x14ac:dyDescent="0.2">
      <c r="A25" s="126">
        <v>43376</v>
      </c>
      <c r="B25" s="151">
        <v>7.93</v>
      </c>
      <c r="C25" s="151">
        <v>317.2</v>
      </c>
      <c r="D25" s="151"/>
    </row>
    <row r="26" spans="1:4" x14ac:dyDescent="0.2">
      <c r="A26" s="126">
        <v>43377</v>
      </c>
      <c r="B26" s="151">
        <v>7.9</v>
      </c>
      <c r="C26" s="151">
        <v>318.2</v>
      </c>
      <c r="D26" s="151"/>
    </row>
    <row r="27" spans="1:4" x14ac:dyDescent="0.2">
      <c r="A27" s="126">
        <v>43378</v>
      </c>
      <c r="B27" s="151">
        <v>8</v>
      </c>
      <c r="C27" s="151">
        <v>325.60000000000002</v>
      </c>
      <c r="D27" s="151"/>
    </row>
    <row r="28" spans="1:4" x14ac:dyDescent="0.2">
      <c r="A28" s="126">
        <v>43381</v>
      </c>
      <c r="B28" s="151">
        <v>8.01</v>
      </c>
      <c r="C28" s="151">
        <v>324.5</v>
      </c>
      <c r="D28" s="151"/>
    </row>
    <row r="29" spans="1:4" x14ac:dyDescent="0.2">
      <c r="A29" s="126">
        <v>43382</v>
      </c>
      <c r="B29" s="151">
        <v>7.94</v>
      </c>
      <c r="C29" s="151">
        <v>323.8</v>
      </c>
      <c r="D29" s="151"/>
    </row>
    <row r="30" spans="1:4" x14ac:dyDescent="0.2">
      <c r="A30" s="126">
        <v>43383</v>
      </c>
      <c r="B30" s="151">
        <v>7.83</v>
      </c>
      <c r="C30" s="151">
        <v>321.7</v>
      </c>
      <c r="D30" s="151"/>
    </row>
    <row r="31" spans="1:4" x14ac:dyDescent="0.2">
      <c r="A31" s="126">
        <v>43384</v>
      </c>
      <c r="B31" s="124">
        <v>7.9</v>
      </c>
      <c r="C31" s="124">
        <v>322.8</v>
      </c>
    </row>
    <row r="32" spans="1:4" x14ac:dyDescent="0.2">
      <c r="A32" s="126">
        <v>43385</v>
      </c>
      <c r="B32" s="124">
        <v>8</v>
      </c>
      <c r="C32" s="124">
        <v>322.89999999999998</v>
      </c>
    </row>
    <row r="33" spans="1:4" x14ac:dyDescent="0.2">
      <c r="A33" s="126">
        <v>43388</v>
      </c>
      <c r="B33" s="124">
        <v>8.24</v>
      </c>
      <c r="C33" s="124">
        <v>332.5</v>
      </c>
    </row>
    <row r="34" spans="1:4" x14ac:dyDescent="0.2">
      <c r="A34" s="126">
        <v>43389</v>
      </c>
      <c r="B34" s="124">
        <v>8.16</v>
      </c>
      <c r="C34" s="124">
        <v>327.8</v>
      </c>
    </row>
    <row r="35" spans="1:4" x14ac:dyDescent="0.2">
      <c r="A35" s="126">
        <v>43390</v>
      </c>
      <c r="B35" s="124">
        <v>8.18</v>
      </c>
      <c r="C35" s="124">
        <v>329.2</v>
      </c>
    </row>
    <row r="36" spans="1:4" x14ac:dyDescent="0.2">
      <c r="A36" s="126">
        <v>43391</v>
      </c>
      <c r="B36" s="124">
        <v>7.96</v>
      </c>
      <c r="C36" s="124">
        <v>321.8</v>
      </c>
    </row>
    <row r="37" spans="1:4" x14ac:dyDescent="0.2">
      <c r="A37" s="126">
        <v>43392</v>
      </c>
      <c r="B37" s="124">
        <v>7.9</v>
      </c>
      <c r="C37" s="124">
        <v>318.60000000000002</v>
      </c>
    </row>
    <row r="38" spans="1:4" x14ac:dyDescent="0.2">
      <c r="A38" s="126">
        <v>43395</v>
      </c>
      <c r="B38" s="161">
        <v>7.92</v>
      </c>
      <c r="C38" s="16">
        <v>318.3</v>
      </c>
      <c r="D38" s="13"/>
    </row>
    <row r="39" spans="1:4" x14ac:dyDescent="0.2">
      <c r="A39" s="126">
        <v>43396</v>
      </c>
      <c r="B39" s="161">
        <v>7.9</v>
      </c>
      <c r="C39" s="16">
        <v>316.2</v>
      </c>
      <c r="D39" s="13"/>
    </row>
    <row r="40" spans="1:4" x14ac:dyDescent="0.2">
      <c r="A40" s="126">
        <v>43397</v>
      </c>
      <c r="B40" s="161">
        <v>7.82</v>
      </c>
      <c r="C40" s="16">
        <v>311.60000000000002</v>
      </c>
      <c r="D40" s="13"/>
    </row>
    <row r="41" spans="1:4" x14ac:dyDescent="0.2">
      <c r="A41" s="126">
        <v>43398</v>
      </c>
      <c r="B41" s="161">
        <v>7.74</v>
      </c>
      <c r="C41" s="16">
        <v>307.3</v>
      </c>
      <c r="D41" s="13"/>
    </row>
    <row r="42" spans="1:4" x14ac:dyDescent="0.2">
      <c r="A42" s="126">
        <v>43399</v>
      </c>
      <c r="B42" s="161">
        <v>7.78</v>
      </c>
      <c r="C42" s="16">
        <v>310.3</v>
      </c>
      <c r="D42" s="13"/>
    </row>
    <row r="43" spans="1:4" x14ac:dyDescent="0.2">
      <c r="A43" s="126">
        <v>43402</v>
      </c>
      <c r="B43" s="161">
        <v>7.72</v>
      </c>
      <c r="C43" s="16">
        <v>311.2</v>
      </c>
      <c r="D43" s="13"/>
    </row>
    <row r="44" spans="1:4" x14ac:dyDescent="0.2">
      <c r="A44" s="126">
        <v>43403</v>
      </c>
      <c r="B44" s="161">
        <v>7.66</v>
      </c>
      <c r="C44" s="16">
        <v>308.10000000000002</v>
      </c>
      <c r="D44" s="13"/>
    </row>
    <row r="45" spans="1:4" x14ac:dyDescent="0.2">
      <c r="A45" s="126">
        <v>43404</v>
      </c>
      <c r="B45" s="161">
        <v>7.76</v>
      </c>
      <c r="C45" s="161">
        <v>309.39999999999998</v>
      </c>
      <c r="D45" s="18"/>
    </row>
    <row r="46" spans="1:4" x14ac:dyDescent="0.2">
      <c r="A46" s="126">
        <v>43405</v>
      </c>
      <c r="B46" s="161">
        <v>8.1199999999999992</v>
      </c>
      <c r="C46" s="161">
        <v>316.39999999999998</v>
      </c>
      <c r="D46" s="18"/>
    </row>
    <row r="47" spans="1:4" x14ac:dyDescent="0.2">
      <c r="A47" s="126">
        <v>43406</v>
      </c>
      <c r="B47" s="161">
        <v>8.17</v>
      </c>
      <c r="C47" s="161">
        <v>314</v>
      </c>
      <c r="D47" s="18"/>
    </row>
    <row r="48" spans="1:4" x14ac:dyDescent="0.2">
      <c r="A48" s="126">
        <v>43409</v>
      </c>
      <c r="B48" s="161">
        <v>8.18</v>
      </c>
      <c r="C48" s="161">
        <v>313.60000000000002</v>
      </c>
      <c r="D48" s="18"/>
    </row>
    <row r="49" spans="1:4" x14ac:dyDescent="0.2">
      <c r="A49" s="126">
        <v>43410</v>
      </c>
      <c r="B49" s="161">
        <v>8.1999999999999993</v>
      </c>
      <c r="C49" s="161">
        <v>314.39999999999998</v>
      </c>
      <c r="D49" s="18"/>
    </row>
    <row r="50" spans="1:4" x14ac:dyDescent="0.2">
      <c r="A50" s="126">
        <v>43411</v>
      </c>
      <c r="B50" s="16">
        <v>8.15</v>
      </c>
      <c r="C50" s="16">
        <v>311</v>
      </c>
    </row>
    <row r="51" spans="1:4" x14ac:dyDescent="0.2">
      <c r="A51" s="126">
        <v>43412</v>
      </c>
      <c r="B51" s="16">
        <v>8.15</v>
      </c>
      <c r="C51" s="16">
        <v>309.10000000000002</v>
      </c>
    </row>
    <row r="52" spans="1:4" x14ac:dyDescent="0.2">
      <c r="A52" s="126">
        <v>43413</v>
      </c>
      <c r="B52" s="16">
        <v>8.2200000000000006</v>
      </c>
      <c r="C52" s="16">
        <v>308.60000000000002</v>
      </c>
    </row>
    <row r="53" spans="1:4" x14ac:dyDescent="0.2">
      <c r="A53" s="126">
        <v>43416</v>
      </c>
      <c r="B53" s="16">
        <v>8.2200000000000006</v>
      </c>
      <c r="C53" s="16">
        <v>308.60000000000002</v>
      </c>
    </row>
    <row r="54" spans="1:4" x14ac:dyDescent="0.2">
      <c r="A54" s="126">
        <v>43417</v>
      </c>
      <c r="B54" s="16">
        <v>8.2200000000000006</v>
      </c>
      <c r="C54" s="16">
        <v>306.89999999999998</v>
      </c>
    </row>
    <row r="55" spans="1:4" x14ac:dyDescent="0.2">
      <c r="A55" s="126">
        <v>43418</v>
      </c>
      <c r="B55" s="16">
        <v>8.2799999999999994</v>
      </c>
      <c r="C55" s="16">
        <v>308.7</v>
      </c>
    </row>
    <row r="56" spans="1:4" x14ac:dyDescent="0.2">
      <c r="A56" s="126">
        <v>43419</v>
      </c>
      <c r="B56" s="16">
        <v>8.33</v>
      </c>
      <c r="C56" s="16">
        <v>308.39999999999998</v>
      </c>
    </row>
    <row r="57" spans="1:4" x14ac:dyDescent="0.2">
      <c r="A57" s="126">
        <v>43420</v>
      </c>
      <c r="B57" s="16">
        <v>8.36</v>
      </c>
      <c r="C57" s="16">
        <v>313.89999999999998</v>
      </c>
    </row>
    <row r="58" spans="1:4" x14ac:dyDescent="0.2">
      <c r="A58" s="126">
        <v>43423</v>
      </c>
      <c r="B58" s="16">
        <v>8.18</v>
      </c>
      <c r="C58" s="16">
        <v>308</v>
      </c>
    </row>
    <row r="59" spans="1:4" x14ac:dyDescent="0.2">
      <c r="A59" s="126">
        <v>43424</v>
      </c>
      <c r="B59" s="16">
        <v>8.26</v>
      </c>
      <c r="C59" s="16">
        <v>309.60000000000002</v>
      </c>
    </row>
    <row r="60" spans="1:4" x14ac:dyDescent="0.2">
      <c r="A60" s="126">
        <v>43425</v>
      </c>
      <c r="B60" s="16">
        <v>8.2799999999999994</v>
      </c>
      <c r="C60" s="16">
        <v>309.10000000000002</v>
      </c>
    </row>
    <row r="61" spans="1:4" x14ac:dyDescent="0.2">
      <c r="A61" s="126">
        <v>43430</v>
      </c>
      <c r="B61" s="16">
        <v>8.1199999999999992</v>
      </c>
      <c r="C61" s="16">
        <v>306.5</v>
      </c>
    </row>
    <row r="62" spans="1:4" x14ac:dyDescent="0.2">
      <c r="A62" s="126">
        <v>43431</v>
      </c>
      <c r="B62" s="16">
        <v>8.25</v>
      </c>
      <c r="C62" s="16">
        <v>309.39999999999998</v>
      </c>
    </row>
    <row r="63" spans="1:4" x14ac:dyDescent="0.2">
      <c r="A63" s="126">
        <v>43432</v>
      </c>
      <c r="B63" s="16">
        <v>8.4</v>
      </c>
      <c r="C63" s="16">
        <v>312.39999999999998</v>
      </c>
    </row>
    <row r="64" spans="1:4" x14ac:dyDescent="0.2">
      <c r="A64" s="126">
        <v>43433</v>
      </c>
      <c r="B64" s="16">
        <v>8.42</v>
      </c>
      <c r="C64" s="16">
        <v>311.39999999999998</v>
      </c>
    </row>
    <row r="65" spans="1:3" x14ac:dyDescent="0.2">
      <c r="A65" s="126">
        <v>43434</v>
      </c>
      <c r="B65" s="16">
        <v>8.5</v>
      </c>
      <c r="C65" s="16">
        <v>312.3</v>
      </c>
    </row>
    <row r="66" spans="1:3" x14ac:dyDescent="0.2">
      <c r="A66" s="126">
        <v>43437</v>
      </c>
      <c r="B66" s="16">
        <v>8.6300000000000008</v>
      </c>
      <c r="C66" s="16">
        <v>316.39999999999998</v>
      </c>
    </row>
    <row r="67" spans="1:3" x14ac:dyDescent="0.2">
      <c r="A67" s="126">
        <v>43438</v>
      </c>
      <c r="B67" s="16">
        <v>8.69</v>
      </c>
      <c r="C67" s="16">
        <v>316.7</v>
      </c>
    </row>
    <row r="68" spans="1:3" x14ac:dyDescent="0.2">
      <c r="A68" s="126">
        <v>43439</v>
      </c>
      <c r="B68" s="16">
        <v>8.6999999999999993</v>
      </c>
      <c r="C68" s="16">
        <v>315.89999999999998</v>
      </c>
    </row>
    <row r="69" spans="1:3" x14ac:dyDescent="0.2">
      <c r="A69" s="126">
        <v>43440</v>
      </c>
      <c r="B69" s="16">
        <v>8.68</v>
      </c>
      <c r="C69" s="16">
        <v>314.2</v>
      </c>
    </row>
    <row r="70" spans="1:3" x14ac:dyDescent="0.2">
      <c r="A70" s="126">
        <v>43441</v>
      </c>
      <c r="B70" s="16">
        <v>8.74</v>
      </c>
      <c r="C70" s="16">
        <v>313.2</v>
      </c>
    </row>
    <row r="71" spans="1:3" x14ac:dyDescent="0.2">
      <c r="A71" s="126">
        <v>43444</v>
      </c>
      <c r="B71" s="16">
        <v>8.68</v>
      </c>
      <c r="C71" s="16">
        <v>312</v>
      </c>
    </row>
    <row r="72" spans="1:3" x14ac:dyDescent="0.2">
      <c r="A72" s="126">
        <v>43445</v>
      </c>
      <c r="B72" s="16">
        <v>8.68</v>
      </c>
      <c r="C72" s="16">
        <v>312.89999999999998</v>
      </c>
    </row>
    <row r="73" spans="1:3" x14ac:dyDescent="0.2">
      <c r="A73" s="126">
        <v>43446</v>
      </c>
      <c r="B73" s="16">
        <v>8.6999999999999993</v>
      </c>
      <c r="C73" s="16">
        <v>314.60000000000002</v>
      </c>
    </row>
    <row r="74" spans="1:3" x14ac:dyDescent="0.2">
      <c r="A74" s="126">
        <v>43447</v>
      </c>
      <c r="B74" s="16">
        <v>8.58</v>
      </c>
      <c r="C74" s="16">
        <v>310.5</v>
      </c>
    </row>
    <row r="75" spans="1:3" x14ac:dyDescent="0.2">
      <c r="A75" s="126">
        <v>43448</v>
      </c>
      <c r="B75" s="16">
        <v>8.4700000000000006</v>
      </c>
      <c r="C75" s="16">
        <v>309.3</v>
      </c>
    </row>
    <row r="76" spans="1:3" x14ac:dyDescent="0.2">
      <c r="A76" s="126">
        <v>43451</v>
      </c>
      <c r="B76" s="16">
        <v>8.5399999999999991</v>
      </c>
      <c r="C76" s="16">
        <v>311.10000000000002</v>
      </c>
    </row>
    <row r="77" spans="1:3" x14ac:dyDescent="0.2">
      <c r="A77" s="126">
        <v>43452</v>
      </c>
      <c r="B77" s="16">
        <v>8.6</v>
      </c>
      <c r="C77" s="16">
        <v>312.39999999999998</v>
      </c>
    </row>
    <row r="78" spans="1:3" x14ac:dyDescent="0.2">
      <c r="A78" s="126">
        <v>43453</v>
      </c>
      <c r="B78" s="16">
        <v>8.5399999999999991</v>
      </c>
      <c r="C78" s="16">
        <v>309.8</v>
      </c>
    </row>
    <row r="79" spans="1:3" x14ac:dyDescent="0.2">
      <c r="A79" s="126">
        <v>43454</v>
      </c>
      <c r="B79" s="16">
        <v>8.48</v>
      </c>
      <c r="C79" s="16">
        <v>309.7</v>
      </c>
    </row>
    <row r="80" spans="1:3" x14ac:dyDescent="0.2">
      <c r="A80" s="126">
        <v>43455</v>
      </c>
      <c r="B80" s="16">
        <v>8.39</v>
      </c>
      <c r="C80" s="16">
        <v>307.60000000000002</v>
      </c>
    </row>
    <row r="81" spans="1:3" x14ac:dyDescent="0.2">
      <c r="A81" s="126">
        <v>43458</v>
      </c>
      <c r="B81" s="16">
        <v>8.3800000000000008</v>
      </c>
      <c r="C81" s="16">
        <v>309.5</v>
      </c>
    </row>
    <row r="82" spans="1:3" x14ac:dyDescent="0.2">
      <c r="A82" s="126">
        <v>43460</v>
      </c>
      <c r="B82" s="16">
        <v>8.24</v>
      </c>
      <c r="C82" s="16">
        <v>305.39999999999998</v>
      </c>
    </row>
    <row r="83" spans="1:3" x14ac:dyDescent="0.2">
      <c r="A83" s="126">
        <v>43461</v>
      </c>
      <c r="B83" s="16">
        <v>8.24</v>
      </c>
      <c r="C83" s="16">
        <v>308.8</v>
      </c>
    </row>
    <row r="84" spans="1:3" x14ac:dyDescent="0.2">
      <c r="A84" s="126">
        <v>43462</v>
      </c>
      <c r="B84" s="16">
        <v>8.3800000000000008</v>
      </c>
      <c r="C84" s="16">
        <v>313.5</v>
      </c>
    </row>
    <row r="85" spans="1:3" x14ac:dyDescent="0.2">
      <c r="A85" s="126">
        <v>43465</v>
      </c>
      <c r="B85" s="16">
        <v>8.34</v>
      </c>
      <c r="C85" s="16">
        <v>310.39999999999998</v>
      </c>
    </row>
    <row r="86" spans="1:3" x14ac:dyDescent="0.2">
      <c r="A86" s="126">
        <v>43467</v>
      </c>
      <c r="B86" s="16">
        <v>8.4700000000000006</v>
      </c>
      <c r="C86" s="16">
        <v>315.39999999999998</v>
      </c>
    </row>
    <row r="87" spans="1:3" x14ac:dyDescent="0.2">
      <c r="A87" s="126">
        <v>43468</v>
      </c>
      <c r="B87" s="16">
        <v>8.5299999999999994</v>
      </c>
      <c r="C87" s="16">
        <v>317.7</v>
      </c>
    </row>
    <row r="88" spans="1:3" x14ac:dyDescent="0.2">
      <c r="A88" s="126">
        <v>43469</v>
      </c>
      <c r="B88" s="16">
        <v>8.6199999999999992</v>
      </c>
      <c r="C88" s="16">
        <v>320</v>
      </c>
    </row>
    <row r="89" spans="1:3" x14ac:dyDescent="0.2">
      <c r="A89" s="126">
        <v>43472</v>
      </c>
      <c r="B89" s="16">
        <v>8.6999999999999993</v>
      </c>
      <c r="C89" s="16">
        <v>323.2</v>
      </c>
    </row>
    <row r="90" spans="1:3" x14ac:dyDescent="0.2">
      <c r="A90" s="126">
        <v>43473</v>
      </c>
      <c r="B90" s="16">
        <v>8.65</v>
      </c>
      <c r="C90" s="16">
        <v>322.60000000000002</v>
      </c>
    </row>
    <row r="91" spans="1:3" x14ac:dyDescent="0.2">
      <c r="A91" s="126">
        <v>43474</v>
      </c>
      <c r="B91" s="16">
        <v>8.7100000000000009</v>
      </c>
      <c r="C91" s="16">
        <v>324.39999999999998</v>
      </c>
    </row>
    <row r="92" spans="1:3" x14ac:dyDescent="0.2">
      <c r="A92" s="126">
        <v>43475</v>
      </c>
      <c r="B92" s="16">
        <v>8.5399999999999991</v>
      </c>
      <c r="C92" s="16">
        <v>317.8</v>
      </c>
    </row>
    <row r="93" spans="1:3" x14ac:dyDescent="0.2">
      <c r="A93" s="126">
        <v>43476</v>
      </c>
      <c r="B93" s="16">
        <v>8.57</v>
      </c>
      <c r="C93" s="16">
        <v>315.60000000000002</v>
      </c>
    </row>
    <row r="94" spans="1:3" x14ac:dyDescent="0.2">
      <c r="A94" s="126">
        <v>43479</v>
      </c>
      <c r="B94" s="16">
        <v>8.4600000000000009</v>
      </c>
      <c r="C94" s="16">
        <v>312.8</v>
      </c>
    </row>
    <row r="95" spans="1:3" x14ac:dyDescent="0.2">
      <c r="A95" s="126">
        <v>43480</v>
      </c>
      <c r="B95" s="16">
        <v>8.36</v>
      </c>
      <c r="C95" s="16">
        <v>310.3</v>
      </c>
    </row>
    <row r="96" spans="1:3" x14ac:dyDescent="0.2">
      <c r="A96" s="126">
        <v>43481</v>
      </c>
      <c r="B96" s="16">
        <v>8.36</v>
      </c>
      <c r="C96" s="16">
        <v>311.60000000000002</v>
      </c>
    </row>
    <row r="97" spans="1:3" x14ac:dyDescent="0.2">
      <c r="A97" s="126">
        <v>43482</v>
      </c>
      <c r="B97" s="16">
        <v>8.5</v>
      </c>
      <c r="C97" s="16">
        <v>313.7</v>
      </c>
    </row>
    <row r="98" spans="1:3" x14ac:dyDescent="0.2">
      <c r="A98" s="126">
        <v>43483</v>
      </c>
      <c r="B98" s="16">
        <v>8.56</v>
      </c>
      <c r="C98" s="16">
        <v>316.60000000000002</v>
      </c>
    </row>
    <row r="99" spans="1:3" x14ac:dyDescent="0.2">
      <c r="A99" s="126">
        <v>43487</v>
      </c>
      <c r="B99" s="16">
        <v>8.52</v>
      </c>
      <c r="C99" s="16">
        <v>314.5</v>
      </c>
    </row>
    <row r="100" spans="1:3" x14ac:dyDescent="0.2">
      <c r="A100" s="126">
        <v>43488</v>
      </c>
      <c r="B100" s="16">
        <v>8.57</v>
      </c>
      <c r="C100" s="16">
        <v>311.89999999999998</v>
      </c>
    </row>
    <row r="101" spans="1:3" x14ac:dyDescent="0.2">
      <c r="A101" s="126">
        <v>43489</v>
      </c>
      <c r="B101" s="16">
        <v>8.58</v>
      </c>
      <c r="C101" s="16">
        <v>311.3</v>
      </c>
    </row>
    <row r="102" spans="1:3" x14ac:dyDescent="0.2">
      <c r="A102" s="126">
        <v>43490</v>
      </c>
      <c r="B102" s="16">
        <v>8.68</v>
      </c>
      <c r="C102" s="16">
        <v>312.89999999999998</v>
      </c>
    </row>
    <row r="103" spans="1:3" x14ac:dyDescent="0.2">
      <c r="A103" s="126">
        <v>43493</v>
      </c>
      <c r="B103" s="16">
        <v>8.66</v>
      </c>
      <c r="C103" s="16">
        <v>311.2</v>
      </c>
    </row>
    <row r="104" spans="1:3" x14ac:dyDescent="0.2">
      <c r="A104" s="126">
        <v>43494</v>
      </c>
      <c r="B104" s="16">
        <v>8.6199999999999992</v>
      </c>
      <c r="C104" s="16">
        <v>310.8</v>
      </c>
    </row>
    <row r="105" spans="1:3" x14ac:dyDescent="0.2">
      <c r="A105" s="126">
        <v>43495</v>
      </c>
      <c r="B105" s="16">
        <v>8.64</v>
      </c>
      <c r="C105" s="16">
        <v>310.10000000000002</v>
      </c>
    </row>
    <row r="106" spans="1:3" x14ac:dyDescent="0.2">
      <c r="A106" s="126">
        <v>43496</v>
      </c>
      <c r="B106" s="16">
        <v>8.58</v>
      </c>
      <c r="C106" s="16">
        <v>309</v>
      </c>
    </row>
    <row r="107" spans="1:3" x14ac:dyDescent="0.2">
      <c r="A107" s="126">
        <v>43497</v>
      </c>
      <c r="B107" s="16">
        <v>8.61</v>
      </c>
      <c r="C107" s="16">
        <v>311.3</v>
      </c>
    </row>
    <row r="108" spans="1:3" x14ac:dyDescent="0.2">
      <c r="A108" s="126">
        <v>43500</v>
      </c>
      <c r="B108" s="16">
        <v>8.6</v>
      </c>
      <c r="C108" s="16">
        <v>310.10000000000002</v>
      </c>
    </row>
    <row r="109" spans="1:3" x14ac:dyDescent="0.2">
      <c r="A109" s="126">
        <v>43501</v>
      </c>
      <c r="B109" s="16">
        <v>8.64</v>
      </c>
      <c r="C109" s="16">
        <v>309</v>
      </c>
    </row>
    <row r="110" spans="1:3" x14ac:dyDescent="0.2">
      <c r="A110" s="126">
        <v>43502</v>
      </c>
      <c r="B110" s="16">
        <v>8.65</v>
      </c>
      <c r="C110" s="16">
        <v>307.5</v>
      </c>
    </row>
    <row r="111" spans="1:3" x14ac:dyDescent="0.2">
      <c r="A111" s="126">
        <v>43503</v>
      </c>
      <c r="B111" s="16">
        <v>8.56</v>
      </c>
      <c r="C111" s="16">
        <v>304</v>
      </c>
    </row>
    <row r="112" spans="1:3" x14ac:dyDescent="0.2">
      <c r="A112" s="126">
        <v>43504</v>
      </c>
      <c r="B112" s="16">
        <v>8.58</v>
      </c>
      <c r="C112" s="16">
        <v>304.60000000000002</v>
      </c>
    </row>
    <row r="113" spans="1:3" x14ac:dyDescent="0.2">
      <c r="A113" s="126">
        <v>43507</v>
      </c>
      <c r="B113" s="16">
        <v>8.48</v>
      </c>
      <c r="C113" s="16">
        <v>305.39999999999998</v>
      </c>
    </row>
    <row r="114" spans="1:3" x14ac:dyDescent="0.2">
      <c r="A114" s="126">
        <v>43508</v>
      </c>
      <c r="B114" s="16">
        <v>8.6</v>
      </c>
      <c r="C114" s="16">
        <v>309.7</v>
      </c>
    </row>
    <row r="115" spans="1:3" x14ac:dyDescent="0.2">
      <c r="A115" s="126">
        <v>43509</v>
      </c>
      <c r="B115" s="16">
        <v>8.61</v>
      </c>
      <c r="C115" s="16">
        <v>310.60000000000002</v>
      </c>
    </row>
    <row r="116" spans="1:3" x14ac:dyDescent="0.2">
      <c r="A116" s="126">
        <v>43510</v>
      </c>
      <c r="B116" s="16">
        <v>8.5</v>
      </c>
      <c r="C116" s="16">
        <v>306</v>
      </c>
    </row>
    <row r="117" spans="1:3" x14ac:dyDescent="0.2">
      <c r="A117" s="126">
        <v>43511</v>
      </c>
      <c r="B117" s="16">
        <v>8.5299999999999994</v>
      </c>
      <c r="C117" s="16">
        <v>307</v>
      </c>
    </row>
    <row r="118" spans="1:3" x14ac:dyDescent="0.2">
      <c r="A118" s="126">
        <v>43515</v>
      </c>
      <c r="B118" s="16">
        <v>8.5</v>
      </c>
      <c r="C118" s="16">
        <v>305.89999999999998</v>
      </c>
    </row>
    <row r="119" spans="1:3" x14ac:dyDescent="0.2">
      <c r="A119" s="126">
        <v>43516</v>
      </c>
      <c r="B119" s="16">
        <v>8.52</v>
      </c>
      <c r="C119" s="16">
        <v>305.7</v>
      </c>
    </row>
    <row r="120" spans="1:3" x14ac:dyDescent="0.2">
      <c r="A120" s="126">
        <v>43517</v>
      </c>
      <c r="B120" s="16">
        <v>8.6199999999999992</v>
      </c>
      <c r="C120" s="16">
        <v>306.39999999999998</v>
      </c>
    </row>
    <row r="121" spans="1:3" x14ac:dyDescent="0.2">
      <c r="A121" s="126">
        <v>43518</v>
      </c>
      <c r="B121" s="16">
        <v>8.6199999999999992</v>
      </c>
      <c r="C121" s="16">
        <v>306.60000000000002</v>
      </c>
    </row>
    <row r="122" spans="1:3" x14ac:dyDescent="0.2">
      <c r="A122" s="126">
        <v>43521</v>
      </c>
      <c r="B122" s="16">
        <v>8.6300000000000008</v>
      </c>
      <c r="C122" s="16">
        <v>306.39999999999998</v>
      </c>
    </row>
    <row r="123" spans="1:3" x14ac:dyDescent="0.2">
      <c r="A123" s="126">
        <v>43522</v>
      </c>
      <c r="B123" s="16">
        <v>8.5500000000000007</v>
      </c>
      <c r="C123" s="16">
        <v>304.2</v>
      </c>
    </row>
    <row r="124" spans="1:3" x14ac:dyDescent="0.2">
      <c r="A124" s="126">
        <v>43523</v>
      </c>
      <c r="B124" s="16">
        <v>8.58</v>
      </c>
      <c r="C124" s="16">
        <v>306</v>
      </c>
    </row>
    <row r="125" spans="1:3" x14ac:dyDescent="0.2">
      <c r="A125" s="126">
        <v>43524</v>
      </c>
      <c r="B125" s="16">
        <v>8.52</v>
      </c>
      <c r="C125" s="16">
        <v>303.3</v>
      </c>
    </row>
    <row r="126" spans="1:3" x14ac:dyDescent="0.2">
      <c r="A126" s="126">
        <v>43525</v>
      </c>
      <c r="B126" s="16">
        <v>8.5399999999999991</v>
      </c>
      <c r="C126" s="16">
        <v>304.5</v>
      </c>
    </row>
    <row r="127" spans="1:3" x14ac:dyDescent="0.2">
      <c r="A127" s="126">
        <v>43528</v>
      </c>
      <c r="B127" s="16">
        <v>8.6</v>
      </c>
      <c r="C127" s="16">
        <v>307.60000000000002</v>
      </c>
    </row>
    <row r="128" spans="1:3" x14ac:dyDescent="0.2">
      <c r="A128" s="126">
        <v>43529</v>
      </c>
      <c r="B128" s="16">
        <v>8.58</v>
      </c>
      <c r="C128" s="16">
        <v>307</v>
      </c>
    </row>
    <row r="129" spans="1:3" x14ac:dyDescent="0.2">
      <c r="A129" s="126">
        <v>43530</v>
      </c>
      <c r="B129" s="16">
        <v>8.4700000000000006</v>
      </c>
      <c r="C129" s="16">
        <v>303.10000000000002</v>
      </c>
    </row>
    <row r="130" spans="1:3" x14ac:dyDescent="0.2">
      <c r="A130" s="126">
        <v>43531</v>
      </c>
      <c r="B130" s="16">
        <v>8.4700000000000006</v>
      </c>
      <c r="C130" s="16">
        <v>303.3</v>
      </c>
    </row>
    <row r="131" spans="1:3" x14ac:dyDescent="0.2">
      <c r="A131" s="126">
        <v>43532</v>
      </c>
      <c r="B131" s="16">
        <v>8.4</v>
      </c>
      <c r="C131" s="16">
        <v>301.2</v>
      </c>
    </row>
    <row r="132" spans="1:3" x14ac:dyDescent="0.2">
      <c r="A132" s="126">
        <v>43535</v>
      </c>
      <c r="B132" s="16">
        <v>8.35</v>
      </c>
      <c r="C132" s="16">
        <v>298.8</v>
      </c>
    </row>
    <row r="133" spans="1:3" x14ac:dyDescent="0.2">
      <c r="A133" s="126">
        <v>43536</v>
      </c>
      <c r="B133" s="16">
        <v>8.43</v>
      </c>
      <c r="C133" s="16">
        <v>300.5</v>
      </c>
    </row>
    <row r="134" spans="1:3" x14ac:dyDescent="0.2">
      <c r="A134" s="126">
        <v>43537</v>
      </c>
      <c r="B134" s="16">
        <v>8.4700000000000006</v>
      </c>
      <c r="C134" s="16">
        <v>301.7</v>
      </c>
    </row>
    <row r="135" spans="1:3" x14ac:dyDescent="0.2">
      <c r="A135" s="126">
        <v>43538</v>
      </c>
      <c r="B135" s="16">
        <v>8.44</v>
      </c>
      <c r="C135" s="16">
        <v>308.89999999999998</v>
      </c>
    </row>
    <row r="136" spans="1:3" x14ac:dyDescent="0.2">
      <c r="A136" s="126">
        <v>43539</v>
      </c>
      <c r="B136" s="16">
        <v>8.56</v>
      </c>
      <c r="C136" s="16">
        <v>308.8</v>
      </c>
    </row>
    <row r="137" spans="1:3" x14ac:dyDescent="0.2">
      <c r="A137" s="126">
        <v>43542</v>
      </c>
      <c r="B137" s="16">
        <v>8.5399999999999991</v>
      </c>
      <c r="C137" s="16">
        <v>307.8</v>
      </c>
    </row>
    <row r="138" spans="1:3" x14ac:dyDescent="0.2">
      <c r="A138" s="126">
        <v>43543</v>
      </c>
      <c r="B138" s="16">
        <v>8.52</v>
      </c>
      <c r="C138" s="16">
        <v>308.8</v>
      </c>
    </row>
    <row r="139" spans="1:3" x14ac:dyDescent="0.2">
      <c r="A139" s="126">
        <v>43544</v>
      </c>
      <c r="B139" s="16">
        <v>8.52</v>
      </c>
      <c r="C139" s="16">
        <v>309.60000000000002</v>
      </c>
    </row>
    <row r="140" spans="1:3" x14ac:dyDescent="0.2">
      <c r="A140" s="126">
        <v>43545</v>
      </c>
      <c r="B140" s="16">
        <v>8.57</v>
      </c>
      <c r="C140" s="16">
        <v>313.3</v>
      </c>
    </row>
    <row r="141" spans="1:3" x14ac:dyDescent="0.2">
      <c r="A141" s="126">
        <v>43546</v>
      </c>
      <c r="B141" s="16">
        <v>8.5</v>
      </c>
      <c r="C141" s="16">
        <v>313</v>
      </c>
    </row>
    <row r="142" spans="1:3" x14ac:dyDescent="0.2">
      <c r="A142" s="126">
        <v>43549</v>
      </c>
      <c r="B142" s="16">
        <v>8.5299999999999994</v>
      </c>
      <c r="C142" s="16">
        <v>313.60000000000002</v>
      </c>
    </row>
    <row r="143" spans="1:3" x14ac:dyDescent="0.2">
      <c r="A143" s="126">
        <v>43550</v>
      </c>
      <c r="B143" s="16">
        <v>8.4700000000000006</v>
      </c>
      <c r="C143" s="16">
        <v>309.5</v>
      </c>
    </row>
    <row r="144" spans="1:3" x14ac:dyDescent="0.2">
      <c r="A144" s="126">
        <v>43551</v>
      </c>
      <c r="B144" s="16">
        <v>8.32</v>
      </c>
      <c r="C144" s="16">
        <v>302.89999999999998</v>
      </c>
    </row>
    <row r="145" spans="1:3" x14ac:dyDescent="0.2">
      <c r="A145" s="126">
        <v>43552</v>
      </c>
      <c r="B145" s="16">
        <v>8.32</v>
      </c>
      <c r="C145" s="16">
        <v>305</v>
      </c>
    </row>
    <row r="146" spans="1:3" x14ac:dyDescent="0.2">
      <c r="A146" s="126">
        <v>43553</v>
      </c>
      <c r="B146" s="16">
        <v>8.26</v>
      </c>
      <c r="C146" s="16">
        <v>305</v>
      </c>
    </row>
    <row r="147" spans="1:3" x14ac:dyDescent="0.2">
      <c r="A147" s="126">
        <v>43556</v>
      </c>
      <c r="B147" s="16">
        <v>8.44</v>
      </c>
      <c r="C147" s="16">
        <v>307.89999999999998</v>
      </c>
    </row>
    <row r="148" spans="1:3" x14ac:dyDescent="0.2">
      <c r="A148" s="126">
        <v>43557</v>
      </c>
      <c r="B148" s="16">
        <v>8.49</v>
      </c>
      <c r="C148" s="16">
        <v>309.10000000000002</v>
      </c>
    </row>
    <row r="149" spans="1:3" x14ac:dyDescent="0.2">
      <c r="A149" s="126">
        <v>43558</v>
      </c>
      <c r="B149" s="16">
        <v>8.4600000000000009</v>
      </c>
      <c r="C149" s="16">
        <v>309.5</v>
      </c>
    </row>
    <row r="150" spans="1:3" x14ac:dyDescent="0.2">
      <c r="A150" s="126">
        <v>43559</v>
      </c>
      <c r="B150" s="16">
        <v>8.5500000000000007</v>
      </c>
      <c r="C150" s="16">
        <v>310.39999999999998</v>
      </c>
    </row>
    <row r="151" spans="1:3" x14ac:dyDescent="0.2">
      <c r="A151" s="126">
        <v>43560</v>
      </c>
      <c r="B151" s="16">
        <v>8.48</v>
      </c>
      <c r="C151" s="16">
        <v>306.5</v>
      </c>
    </row>
    <row r="152" spans="1:3" x14ac:dyDescent="0.2">
      <c r="A152" s="126">
        <v>43563</v>
      </c>
      <c r="B152" s="16">
        <v>8.48</v>
      </c>
      <c r="C152" s="16">
        <v>307.7</v>
      </c>
    </row>
    <row r="153" spans="1:3" x14ac:dyDescent="0.2">
      <c r="A153" s="126">
        <v>43564</v>
      </c>
      <c r="B153" s="16">
        <v>8.48</v>
      </c>
      <c r="C153" s="16">
        <v>307.60000000000002</v>
      </c>
    </row>
    <row r="154" spans="1:3" x14ac:dyDescent="0.2">
      <c r="A154" s="126">
        <v>43565</v>
      </c>
      <c r="B154" s="16">
        <v>8.52</v>
      </c>
      <c r="C154" s="16">
        <v>308.60000000000002</v>
      </c>
    </row>
    <row r="155" spans="1:3" x14ac:dyDescent="0.2">
      <c r="A155" s="126">
        <v>43566</v>
      </c>
      <c r="B155" s="16">
        <v>8.4600000000000009</v>
      </c>
      <c r="C155" s="16">
        <v>305.7</v>
      </c>
    </row>
    <row r="156" spans="1:3" x14ac:dyDescent="0.2">
      <c r="A156" s="126">
        <v>43567</v>
      </c>
      <c r="B156" s="16">
        <v>8.4600000000000009</v>
      </c>
      <c r="C156" s="16">
        <v>306.39999999999998</v>
      </c>
    </row>
    <row r="157" spans="1:3" x14ac:dyDescent="0.2">
      <c r="A157" s="126">
        <v>43570</v>
      </c>
      <c r="B157" s="16">
        <v>8.5</v>
      </c>
      <c r="C157" s="16">
        <v>309.5</v>
      </c>
    </row>
    <row r="158" spans="1:3" x14ac:dyDescent="0.2">
      <c r="A158" s="126">
        <v>43571</v>
      </c>
      <c r="B158" s="16">
        <v>8.39</v>
      </c>
      <c r="C158" s="16">
        <v>305</v>
      </c>
    </row>
    <row r="159" spans="1:3" x14ac:dyDescent="0.2">
      <c r="A159" s="126">
        <v>43572</v>
      </c>
      <c r="B159" s="16">
        <v>8.3000000000000007</v>
      </c>
      <c r="C159" s="16">
        <v>302.39999999999998</v>
      </c>
    </row>
    <row r="160" spans="1:3" x14ac:dyDescent="0.2">
      <c r="A160" s="126">
        <v>43573</v>
      </c>
      <c r="B160" s="16">
        <v>8.32</v>
      </c>
      <c r="C160" s="16">
        <v>301.7</v>
      </c>
    </row>
    <row r="161" spans="1:3" x14ac:dyDescent="0.2">
      <c r="A161" s="126">
        <v>43577</v>
      </c>
      <c r="B161" s="16">
        <v>8.2799999999999994</v>
      </c>
      <c r="C161" s="16">
        <v>301</v>
      </c>
    </row>
    <row r="162" spans="1:3" x14ac:dyDescent="0.2">
      <c r="A162" s="126">
        <v>43578</v>
      </c>
      <c r="B162" s="16">
        <v>8.14</v>
      </c>
      <c r="C162" s="16">
        <v>299.5</v>
      </c>
    </row>
    <row r="163" spans="1:3" x14ac:dyDescent="0.2">
      <c r="A163" s="126">
        <v>43579</v>
      </c>
      <c r="B163" s="16">
        <v>8.08</v>
      </c>
      <c r="C163" s="16">
        <v>297.89999999999998</v>
      </c>
    </row>
    <row r="164" spans="1:3" x14ac:dyDescent="0.2">
      <c r="A164" s="126">
        <v>43580</v>
      </c>
      <c r="B164" s="16">
        <v>8.1</v>
      </c>
      <c r="C164" s="16">
        <v>303.5</v>
      </c>
    </row>
    <row r="165" spans="1:3" x14ac:dyDescent="0.2">
      <c r="A165" s="126">
        <v>43581</v>
      </c>
      <c r="B165" s="16">
        <v>8.08</v>
      </c>
      <c r="C165" s="16">
        <v>297.39999999999998</v>
      </c>
    </row>
    <row r="166" spans="1:3" x14ac:dyDescent="0.2">
      <c r="A166" s="126">
        <v>43584</v>
      </c>
      <c r="B166" s="16">
        <v>8.02</v>
      </c>
      <c r="C166" s="16">
        <v>296.7</v>
      </c>
    </row>
    <row r="167" spans="1:3" x14ac:dyDescent="0.2">
      <c r="A167" s="126">
        <v>43585</v>
      </c>
      <c r="B167" s="16">
        <v>7.96</v>
      </c>
      <c r="C167" s="16">
        <v>295.5</v>
      </c>
    </row>
    <row r="168" spans="1:3" x14ac:dyDescent="0.2">
      <c r="A168" s="126">
        <v>43586</v>
      </c>
      <c r="B168" s="16">
        <v>7.96</v>
      </c>
      <c r="C168" s="16">
        <v>295.8</v>
      </c>
    </row>
    <row r="169" spans="1:3" x14ac:dyDescent="0.2">
      <c r="A169" s="126">
        <v>43587</v>
      </c>
      <c r="B169" s="16">
        <v>7.86</v>
      </c>
      <c r="C169" s="16">
        <v>292.39999999999998</v>
      </c>
    </row>
    <row r="170" spans="1:3" x14ac:dyDescent="0.2">
      <c r="A170" s="126">
        <v>43588</v>
      </c>
      <c r="B170" s="16">
        <v>7.86</v>
      </c>
      <c r="C170" s="16">
        <v>295.2</v>
      </c>
    </row>
    <row r="171" spans="1:3" x14ac:dyDescent="0.2">
      <c r="A171" s="126">
        <v>43591</v>
      </c>
      <c r="B171" s="16">
        <v>7.78</v>
      </c>
      <c r="C171" s="16">
        <v>293.60000000000002</v>
      </c>
    </row>
    <row r="172" spans="1:3" x14ac:dyDescent="0.2">
      <c r="A172" s="126">
        <v>43592</v>
      </c>
      <c r="B172" s="16">
        <v>7.8</v>
      </c>
      <c r="C172" s="16">
        <v>290.2</v>
      </c>
    </row>
    <row r="173" spans="1:3" x14ac:dyDescent="0.2">
      <c r="A173" s="126">
        <v>43593</v>
      </c>
      <c r="B173" s="16">
        <v>7.76</v>
      </c>
      <c r="C173" s="16">
        <v>289.89999999999998</v>
      </c>
    </row>
    <row r="174" spans="1:3" x14ac:dyDescent="0.2">
      <c r="A174" s="126">
        <v>43594</v>
      </c>
      <c r="B174" s="16">
        <v>7.62</v>
      </c>
      <c r="C174" s="16">
        <v>286.10000000000002</v>
      </c>
    </row>
    <row r="175" spans="1:3" x14ac:dyDescent="0.2">
      <c r="C175" s="16"/>
    </row>
    <row r="176" spans="1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x14ac:dyDescent="0.2">
      <c r="C294" s="16"/>
    </row>
    <row r="295" spans="3:3" x14ac:dyDescent="0.2">
      <c r="C295" s="16"/>
    </row>
    <row r="296" spans="3:3" x14ac:dyDescent="0.2">
      <c r="C296" s="16"/>
    </row>
    <row r="297" spans="3:3" x14ac:dyDescent="0.2">
      <c r="C297" s="16"/>
    </row>
    <row r="298" spans="3:3" x14ac:dyDescent="0.2">
      <c r="C298" s="16"/>
    </row>
    <row r="299" spans="3:3" x14ac:dyDescent="0.2">
      <c r="C299" s="16"/>
    </row>
    <row r="300" spans="3:3" x14ac:dyDescent="0.2">
      <c r="C300" s="16"/>
    </row>
    <row r="301" spans="3:3" x14ac:dyDescent="0.2">
      <c r="C301" s="16"/>
    </row>
    <row r="302" spans="3:3" x14ac:dyDescent="0.2">
      <c r="C302" s="16"/>
    </row>
    <row r="303" spans="3:3" x14ac:dyDescent="0.2">
      <c r="C303" s="16"/>
    </row>
    <row r="304" spans="3:3" x14ac:dyDescent="0.2">
      <c r="C304" s="16"/>
    </row>
    <row r="305" spans="3:3" x14ac:dyDescent="0.2">
      <c r="C305" s="16"/>
    </row>
    <row r="306" spans="3:3" x14ac:dyDescent="0.2">
      <c r="C306" s="16"/>
    </row>
    <row r="307" spans="3:3" x14ac:dyDescent="0.2">
      <c r="C307" s="16"/>
    </row>
    <row r="308" spans="3:3" x14ac:dyDescent="0.2">
      <c r="C308" s="16"/>
    </row>
    <row r="309" spans="3:3" x14ac:dyDescent="0.2">
      <c r="C309" s="16"/>
    </row>
    <row r="310" spans="3:3" x14ac:dyDescent="0.2">
      <c r="C310" s="16"/>
    </row>
    <row r="311" spans="3:3" x14ac:dyDescent="0.2">
      <c r="C311" s="16"/>
    </row>
    <row r="312" spans="3:3" x14ac:dyDescent="0.2">
      <c r="C312" s="16"/>
    </row>
    <row r="313" spans="3:3" x14ac:dyDescent="0.2">
      <c r="C313" s="16"/>
    </row>
    <row r="314" spans="3:3" x14ac:dyDescent="0.2">
      <c r="C314" s="16"/>
    </row>
    <row r="315" spans="3:3" x14ac:dyDescent="0.2">
      <c r="C315" s="16"/>
    </row>
    <row r="316" spans="3:3" x14ac:dyDescent="0.2">
      <c r="C316" s="16"/>
    </row>
    <row r="317" spans="3:3" x14ac:dyDescent="0.2">
      <c r="C317" s="16"/>
    </row>
    <row r="318" spans="3:3" x14ac:dyDescent="0.2">
      <c r="C318" s="16"/>
    </row>
    <row r="319" spans="3:3" x14ac:dyDescent="0.2">
      <c r="C319" s="16"/>
    </row>
    <row r="320" spans="3:3" x14ac:dyDescent="0.2">
      <c r="C320" s="16"/>
    </row>
    <row r="321" spans="3:3" x14ac:dyDescent="0.2">
      <c r="C321" s="16"/>
    </row>
    <row r="322" spans="3:3" x14ac:dyDescent="0.2">
      <c r="C322" s="16"/>
    </row>
    <row r="323" spans="3:3" x14ac:dyDescent="0.2">
      <c r="C323" s="16"/>
    </row>
    <row r="324" spans="3:3" x14ac:dyDescent="0.2">
      <c r="C324" s="16"/>
    </row>
    <row r="325" spans="3:3" x14ac:dyDescent="0.2">
      <c r="C325" s="16"/>
    </row>
    <row r="326" spans="3:3" x14ac:dyDescent="0.2">
      <c r="C326" s="16"/>
    </row>
    <row r="327" spans="3:3" x14ac:dyDescent="0.2">
      <c r="C327" s="16"/>
    </row>
    <row r="328" spans="3:3" x14ac:dyDescent="0.2">
      <c r="C328" s="16"/>
    </row>
    <row r="329" spans="3:3" x14ac:dyDescent="0.2">
      <c r="C329" s="16"/>
    </row>
    <row r="330" spans="3:3" x14ac:dyDescent="0.2">
      <c r="C330" s="16"/>
    </row>
    <row r="331" spans="3:3" x14ac:dyDescent="0.2">
      <c r="C331" s="16"/>
    </row>
    <row r="332" spans="3:3" x14ac:dyDescent="0.2">
      <c r="C332" s="16"/>
    </row>
    <row r="333" spans="3:3" x14ac:dyDescent="0.2">
      <c r="C333" s="16"/>
    </row>
    <row r="334" spans="3:3" x14ac:dyDescent="0.2">
      <c r="C334" s="16"/>
    </row>
    <row r="335" spans="3:3" x14ac:dyDescent="0.2">
      <c r="C335" s="16"/>
    </row>
    <row r="336" spans="3:3" x14ac:dyDescent="0.2">
      <c r="C336" s="16"/>
    </row>
    <row r="337" spans="3:3" x14ac:dyDescent="0.2">
      <c r="C337" s="16"/>
    </row>
    <row r="338" spans="3:3" x14ac:dyDescent="0.2">
      <c r="C338" s="16"/>
    </row>
    <row r="339" spans="3:3" x14ac:dyDescent="0.2">
      <c r="C339" s="16"/>
    </row>
    <row r="340" spans="3:3" x14ac:dyDescent="0.2">
      <c r="C340" s="16"/>
    </row>
    <row r="341" spans="3:3" x14ac:dyDescent="0.2">
      <c r="C341" s="16"/>
    </row>
    <row r="342" spans="3:3" x14ac:dyDescent="0.2">
      <c r="C342" s="16"/>
    </row>
    <row r="343" spans="3:3" x14ac:dyDescent="0.2">
      <c r="C343" s="16"/>
    </row>
    <row r="344" spans="3:3" x14ac:dyDescent="0.2">
      <c r="C344" s="16"/>
    </row>
    <row r="345" spans="3:3" x14ac:dyDescent="0.2">
      <c r="C345" s="16"/>
    </row>
    <row r="346" spans="3:3" x14ac:dyDescent="0.2">
      <c r="C346" s="16"/>
    </row>
    <row r="347" spans="3:3" x14ac:dyDescent="0.2">
      <c r="C347" s="16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Normal="100" workbookViewId="0">
      <selection activeCell="A17" sqref="A17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7" x14ac:dyDescent="0.2">
      <c r="A1" s="141" t="s">
        <v>176</v>
      </c>
    </row>
    <row r="2" spans="1:7" x14ac:dyDescent="0.2">
      <c r="A2" s="158" t="s">
        <v>177</v>
      </c>
      <c r="B2" s="142" t="s">
        <v>173</v>
      </c>
      <c r="C2" s="142" t="s">
        <v>174</v>
      </c>
      <c r="D2" s="142"/>
      <c r="E2" s="142"/>
      <c r="F2" s="142"/>
      <c r="G2" s="19"/>
    </row>
    <row r="3" spans="1:7" x14ac:dyDescent="0.2">
      <c r="A3" s="10"/>
      <c r="B3" t="s">
        <v>175</v>
      </c>
      <c r="C3" t="s">
        <v>175</v>
      </c>
    </row>
    <row r="4" spans="1:7" x14ac:dyDescent="0.2">
      <c r="B4" s="141" t="s">
        <v>166</v>
      </c>
      <c r="D4" s="10"/>
    </row>
    <row r="5" spans="1:7" x14ac:dyDescent="0.2">
      <c r="G5" s="137"/>
    </row>
    <row r="6" spans="1:7" x14ac:dyDescent="0.2">
      <c r="A6" s="142" t="s">
        <v>54</v>
      </c>
      <c r="B6" s="132">
        <v>9.24</v>
      </c>
      <c r="C6" s="132">
        <v>0.36599999999999999</v>
      </c>
      <c r="G6" s="137"/>
    </row>
    <row r="7" spans="1:7" x14ac:dyDescent="0.2">
      <c r="A7" s="142" t="s">
        <v>55</v>
      </c>
      <c r="B7" s="132">
        <v>2.0009999999999999</v>
      </c>
      <c r="C7" s="132">
        <v>0.27600000000000002</v>
      </c>
    </row>
    <row r="8" spans="1:7" x14ac:dyDescent="0.2">
      <c r="A8" s="142" t="s">
        <v>66</v>
      </c>
      <c r="B8" s="132">
        <v>6.8920000000000003</v>
      </c>
      <c r="C8" s="132">
        <v>-2.1269999999999998</v>
      </c>
    </row>
    <row r="9" spans="1:7" x14ac:dyDescent="0.2">
      <c r="A9" s="142" t="s">
        <v>90</v>
      </c>
      <c r="B9" s="132">
        <v>0.63400000000000001</v>
      </c>
      <c r="C9" s="132">
        <v>2.0089999999999999</v>
      </c>
    </row>
    <row r="10" spans="1:7" x14ac:dyDescent="0.2">
      <c r="A10" s="142" t="s">
        <v>97</v>
      </c>
      <c r="B10" s="132">
        <v>10.499000000000001</v>
      </c>
      <c r="C10" s="132">
        <v>5.3739999999999997</v>
      </c>
      <c r="D10" s="132"/>
      <c r="E10" s="132"/>
      <c r="F10" s="132"/>
    </row>
    <row r="11" spans="1:7" x14ac:dyDescent="0.2">
      <c r="A11" s="142" t="s">
        <v>100</v>
      </c>
      <c r="B11" s="132">
        <v>7.9859999999999998</v>
      </c>
      <c r="C11" s="132">
        <v>3.3079999999999998</v>
      </c>
      <c r="D11" s="132"/>
      <c r="E11" s="132"/>
      <c r="F11" s="132"/>
    </row>
    <row r="12" spans="1:7" x14ac:dyDescent="0.2">
      <c r="A12" s="142" t="s">
        <v>101</v>
      </c>
      <c r="B12" s="132">
        <v>4.88</v>
      </c>
      <c r="C12" s="132">
        <v>4.1040000000000001</v>
      </c>
      <c r="D12" s="132"/>
      <c r="E12" s="132"/>
      <c r="F12" s="132"/>
    </row>
    <row r="13" spans="1:7" x14ac:dyDescent="0.2">
      <c r="A13" s="143" t="s">
        <v>117</v>
      </c>
      <c r="B13" s="132">
        <v>10.265000000000001</v>
      </c>
      <c r="C13" s="132">
        <v>0.60499999999999998</v>
      </c>
      <c r="D13" s="132"/>
      <c r="E13" s="132"/>
      <c r="F13" s="132"/>
    </row>
    <row r="14" spans="1:7" x14ac:dyDescent="0.2">
      <c r="A14" s="142" t="s">
        <v>119</v>
      </c>
      <c r="B14" s="132">
        <v>0.6</v>
      </c>
      <c r="C14" s="132">
        <v>7.4989999999999997</v>
      </c>
      <c r="D14" s="132"/>
      <c r="E14" s="132"/>
      <c r="F14" s="132"/>
    </row>
    <row r="15" spans="1:7" x14ac:dyDescent="0.2">
      <c r="A15" s="142" t="s">
        <v>164</v>
      </c>
      <c r="B15" s="132">
        <v>-8.0950000000000006</v>
      </c>
      <c r="C15" s="132">
        <v>5.3369999999999997</v>
      </c>
      <c r="D15" s="132"/>
      <c r="E15" s="132"/>
      <c r="F15" s="132"/>
    </row>
    <row r="16" spans="1:7" x14ac:dyDescent="0.2">
      <c r="A16" s="142" t="s">
        <v>170</v>
      </c>
      <c r="B16" s="132">
        <v>1</v>
      </c>
      <c r="C16" s="132">
        <v>0.26</v>
      </c>
      <c r="D16" s="132"/>
      <c r="E16" s="132"/>
      <c r="F16" s="132"/>
    </row>
    <row r="17" spans="1:9" ht="14.25" x14ac:dyDescent="0.2">
      <c r="A17" s="138"/>
      <c r="B17" s="139"/>
      <c r="C17" s="139"/>
      <c r="D17" s="139"/>
      <c r="E17" s="139"/>
      <c r="H17" s="136"/>
      <c r="I17" s="136"/>
    </row>
    <row r="18" spans="1:9" ht="14.25" x14ac:dyDescent="0.2">
      <c r="A18" s="138"/>
      <c r="B18" s="139"/>
      <c r="C18" s="132"/>
      <c r="D18" s="131"/>
      <c r="H18" s="13"/>
    </row>
    <row r="19" spans="1:9" ht="14.25" x14ac:dyDescent="0.2">
      <c r="A19" s="138"/>
      <c r="B19" s="139"/>
      <c r="C19" s="139"/>
      <c r="D19" s="139"/>
      <c r="E19" s="139"/>
      <c r="F19" s="139"/>
      <c r="H19" s="13"/>
    </row>
    <row r="20" spans="1:9" ht="14.25" x14ac:dyDescent="0.2">
      <c r="A20" s="138"/>
      <c r="B20" s="139"/>
      <c r="C20" s="139"/>
      <c r="D20" s="139"/>
      <c r="E20" s="139"/>
      <c r="F20" s="139"/>
      <c r="H20" s="13"/>
    </row>
    <row r="21" spans="1:9" ht="14.25" x14ac:dyDescent="0.2">
      <c r="A21" s="138"/>
      <c r="B21" s="139"/>
      <c r="C21" s="139"/>
      <c r="D21" s="139"/>
      <c r="E21" s="139"/>
      <c r="F21" s="139"/>
      <c r="H21" s="13"/>
    </row>
    <row r="22" spans="1:9" ht="14.25" x14ac:dyDescent="0.2">
      <c r="A22" s="138"/>
      <c r="B22" s="139"/>
      <c r="C22" s="139"/>
      <c r="D22" s="139"/>
      <c r="E22" s="139"/>
      <c r="F22" s="139"/>
      <c r="H22" s="13"/>
    </row>
    <row r="23" spans="1:9" ht="14.25" x14ac:dyDescent="0.2">
      <c r="A23" s="138"/>
      <c r="B23" s="139"/>
      <c r="C23" s="139"/>
      <c r="D23" s="139"/>
      <c r="E23" s="139"/>
      <c r="F23" s="139"/>
      <c r="H23" s="13"/>
    </row>
    <row r="24" spans="1:9" ht="14.25" x14ac:dyDescent="0.2">
      <c r="A24" s="138"/>
      <c r="B24" s="139"/>
      <c r="C24" s="139"/>
      <c r="D24" s="139"/>
      <c r="E24" s="139"/>
      <c r="F24" s="139"/>
      <c r="H24" s="13"/>
    </row>
    <row r="25" spans="1:9" ht="14.25" x14ac:dyDescent="0.2">
      <c r="A25" s="138"/>
      <c r="B25" s="139"/>
      <c r="C25" s="139"/>
      <c r="D25" s="139"/>
      <c r="E25" s="139"/>
      <c r="F25" s="139"/>
      <c r="H25" s="13"/>
    </row>
    <row r="26" spans="1:9" ht="14.25" x14ac:dyDescent="0.2">
      <c r="A26" s="138"/>
      <c r="B26" s="139"/>
      <c r="C26" s="139"/>
      <c r="D26" s="139"/>
      <c r="E26" s="139"/>
      <c r="F26" s="139"/>
      <c r="H26" s="13"/>
    </row>
    <row r="27" spans="1:9" ht="14.25" x14ac:dyDescent="0.2">
      <c r="A27" s="138"/>
      <c r="B27" s="139"/>
      <c r="C27" s="139"/>
      <c r="D27" s="139"/>
      <c r="E27" s="139"/>
      <c r="F27" s="139"/>
      <c r="H27" s="13"/>
    </row>
    <row r="28" spans="1:9" ht="14.25" x14ac:dyDescent="0.2">
      <c r="A28" s="138"/>
      <c r="B28" s="139"/>
      <c r="C28" s="139"/>
      <c r="D28" s="139"/>
      <c r="E28" s="139"/>
      <c r="F28" s="139"/>
      <c r="H28" s="13"/>
    </row>
    <row r="29" spans="1:9" ht="14.25" x14ac:dyDescent="0.2">
      <c r="A29" s="138"/>
      <c r="B29" s="139"/>
      <c r="C29" s="139"/>
      <c r="D29" s="139"/>
      <c r="E29" s="139"/>
      <c r="F29" s="139"/>
      <c r="H29" s="13"/>
    </row>
    <row r="30" spans="1:9" ht="14.25" x14ac:dyDescent="0.2">
      <c r="A30" s="138"/>
      <c r="B30" s="139"/>
      <c r="C30" s="139"/>
      <c r="D30" s="139"/>
      <c r="E30" s="139"/>
      <c r="F30" s="139"/>
    </row>
    <row r="31" spans="1:9" ht="14.25" x14ac:dyDescent="0.2">
      <c r="A31" s="138"/>
      <c r="B31" s="139"/>
      <c r="C31" s="131"/>
      <c r="D31" s="131"/>
    </row>
    <row r="32" spans="1:9" ht="14.25" x14ac:dyDescent="0.2">
      <c r="A32" s="138"/>
      <c r="B32" s="139"/>
      <c r="C32" s="131"/>
      <c r="D32" s="131"/>
    </row>
    <row r="33" spans="1:4" ht="14.25" x14ac:dyDescent="0.2">
      <c r="A33" s="138"/>
      <c r="B33" s="139"/>
      <c r="C33" s="131"/>
      <c r="D33" s="131"/>
    </row>
    <row r="34" spans="1:4" ht="14.25" x14ac:dyDescent="0.2">
      <c r="A34" s="138"/>
      <c r="B34" s="139"/>
      <c r="C34" s="131"/>
      <c r="D34" s="131"/>
    </row>
    <row r="35" spans="1:4" ht="14.25" x14ac:dyDescent="0.2">
      <c r="A35" s="138"/>
      <c r="B35" s="139"/>
      <c r="C35" s="131"/>
      <c r="D35" s="131"/>
    </row>
    <row r="36" spans="1:4" ht="14.25" x14ac:dyDescent="0.2">
      <c r="A36" s="138"/>
      <c r="B36" s="139"/>
      <c r="C36" s="131"/>
      <c r="D36" s="131"/>
    </row>
    <row r="37" spans="1:4" ht="14.25" x14ac:dyDescent="0.2">
      <c r="A37" s="138"/>
      <c r="B37" s="139"/>
      <c r="C37" s="131"/>
      <c r="D37" s="131"/>
    </row>
    <row r="38" spans="1:4" ht="14.25" x14ac:dyDescent="0.2">
      <c r="A38" s="138"/>
      <c r="B38" s="139"/>
      <c r="C38" s="131"/>
      <c r="D38" s="131"/>
    </row>
    <row r="39" spans="1:4" ht="14.25" x14ac:dyDescent="0.2">
      <c r="A39" s="138"/>
      <c r="B39" s="139"/>
      <c r="C39" s="131"/>
      <c r="D39" s="131"/>
    </row>
    <row r="40" spans="1:4" ht="14.25" x14ac:dyDescent="0.2">
      <c r="A40" s="138"/>
      <c r="B40" s="139"/>
      <c r="C40" s="131"/>
      <c r="D40" s="131"/>
    </row>
    <row r="41" spans="1:4" ht="14.25" x14ac:dyDescent="0.2">
      <c r="A41" s="138"/>
      <c r="B41" s="139"/>
      <c r="C41" s="131"/>
      <c r="D41" s="131"/>
    </row>
    <row r="42" spans="1:4" ht="14.25" x14ac:dyDescent="0.2">
      <c r="A42" s="138"/>
      <c r="B42" s="139"/>
      <c r="C42" s="131"/>
      <c r="D42" s="131"/>
    </row>
    <row r="43" spans="1:4" ht="14.25" x14ac:dyDescent="0.2">
      <c r="A43" s="138"/>
      <c r="B43" s="139"/>
      <c r="C43" s="131"/>
      <c r="D43" s="131"/>
    </row>
    <row r="44" spans="1:4" ht="14.25" x14ac:dyDescent="0.2">
      <c r="A44" s="138"/>
      <c r="B44" s="139"/>
      <c r="C44" s="131"/>
      <c r="D44" s="131"/>
    </row>
    <row r="45" spans="1:4" ht="14.25" x14ac:dyDescent="0.2">
      <c r="A45" s="138"/>
      <c r="B45" s="139"/>
      <c r="C45" s="131"/>
      <c r="D45" s="131"/>
    </row>
    <row r="46" spans="1:4" ht="14.25" x14ac:dyDescent="0.2">
      <c r="A46" s="138"/>
      <c r="B46" s="139"/>
      <c r="C46" s="131"/>
      <c r="D46" s="131"/>
    </row>
    <row r="47" spans="1:4" ht="14.25" x14ac:dyDescent="0.2">
      <c r="A47" s="138"/>
      <c r="B47" s="139"/>
      <c r="C47" s="131"/>
      <c r="D47" s="131"/>
    </row>
    <row r="48" spans="1:4" ht="14.25" x14ac:dyDescent="0.2">
      <c r="A48" s="138"/>
      <c r="B48" s="139"/>
      <c r="C48" s="131"/>
      <c r="D48" s="131"/>
    </row>
    <row r="49" spans="1:4" ht="14.25" x14ac:dyDescent="0.2">
      <c r="A49" s="138"/>
      <c r="B49" s="139"/>
      <c r="C49" s="131"/>
      <c r="D49" s="131"/>
    </row>
    <row r="50" spans="1:4" ht="14.25" x14ac:dyDescent="0.2">
      <c r="A50" s="138"/>
      <c r="B50" s="139"/>
      <c r="C50" s="131"/>
      <c r="D50" s="131"/>
    </row>
    <row r="51" spans="1:4" ht="14.25" x14ac:dyDescent="0.2">
      <c r="A51" s="138"/>
      <c r="B51" s="139"/>
      <c r="C51" s="131"/>
      <c r="D51" s="131"/>
    </row>
    <row r="52" spans="1:4" ht="14.25" x14ac:dyDescent="0.2">
      <c r="A52" s="138"/>
      <c r="B52" s="139"/>
      <c r="C52" s="131"/>
      <c r="D52" s="131"/>
    </row>
    <row r="53" spans="1:4" ht="14.25" x14ac:dyDescent="0.2">
      <c r="A53" s="138"/>
      <c r="B53" s="139"/>
      <c r="C53" s="131"/>
      <c r="D53" s="131"/>
    </row>
    <row r="54" spans="1:4" ht="14.25" x14ac:dyDescent="0.2">
      <c r="A54" s="138"/>
      <c r="B54" s="139"/>
      <c r="C54" s="131"/>
      <c r="D54" s="131"/>
    </row>
    <row r="55" spans="1:4" ht="14.25" x14ac:dyDescent="0.2">
      <c r="A55" s="138"/>
      <c r="B55" s="139"/>
      <c r="C55" s="131"/>
      <c r="D55" s="131"/>
    </row>
    <row r="56" spans="1:4" ht="14.25" x14ac:dyDescent="0.2">
      <c r="A56" s="138"/>
      <c r="B56" s="139"/>
      <c r="C56" s="131"/>
      <c r="D56" s="131"/>
    </row>
    <row r="57" spans="1:4" ht="14.25" x14ac:dyDescent="0.2">
      <c r="A57" s="138"/>
      <c r="B57" s="139"/>
      <c r="C57" s="131"/>
      <c r="D57" s="131"/>
    </row>
    <row r="58" spans="1:4" ht="14.25" x14ac:dyDescent="0.2">
      <c r="A58" s="138"/>
      <c r="B58" s="139"/>
      <c r="C58" s="131"/>
      <c r="D58" s="131"/>
    </row>
    <row r="59" spans="1:4" ht="14.25" x14ac:dyDescent="0.2">
      <c r="A59" s="138"/>
      <c r="B59" s="139"/>
      <c r="C59" s="131"/>
      <c r="D59" s="131"/>
    </row>
    <row r="60" spans="1:4" ht="14.25" x14ac:dyDescent="0.2">
      <c r="A60" s="138"/>
      <c r="B60" s="139"/>
      <c r="C60" s="131"/>
      <c r="D60" s="131"/>
    </row>
    <row r="61" spans="1:4" ht="14.25" x14ac:dyDescent="0.2">
      <c r="A61" s="138"/>
      <c r="B61" s="139"/>
      <c r="C61" s="131"/>
      <c r="D61" s="131"/>
    </row>
    <row r="62" spans="1:4" ht="14.25" x14ac:dyDescent="0.2">
      <c r="A62" s="138"/>
      <c r="B62" s="139"/>
      <c r="C62" s="131"/>
      <c r="D62" s="131"/>
    </row>
    <row r="63" spans="1:4" ht="14.25" x14ac:dyDescent="0.2">
      <c r="A63" s="138"/>
      <c r="B63" s="139"/>
      <c r="C63" s="131"/>
      <c r="D63" s="131"/>
    </row>
    <row r="64" spans="1:4" ht="14.25" x14ac:dyDescent="0.2">
      <c r="A64" s="138"/>
      <c r="B64" s="139"/>
      <c r="C64" s="131"/>
      <c r="D64" s="131"/>
    </row>
    <row r="65" spans="1:4" ht="14.25" x14ac:dyDescent="0.2">
      <c r="A65" s="138"/>
      <c r="B65" s="139"/>
      <c r="C65" s="131"/>
      <c r="D65" s="131"/>
    </row>
    <row r="66" spans="1:4" ht="14.25" x14ac:dyDescent="0.2">
      <c r="A66" s="138"/>
      <c r="B66" s="139"/>
      <c r="C66" s="131"/>
      <c r="D66" s="131"/>
    </row>
    <row r="67" spans="1:4" ht="14.25" x14ac:dyDescent="0.2">
      <c r="A67" s="138"/>
      <c r="B67" s="139"/>
      <c r="C67" s="131"/>
      <c r="D67" s="131"/>
    </row>
    <row r="68" spans="1:4" ht="14.25" x14ac:dyDescent="0.2">
      <c r="A68" s="138"/>
      <c r="B68" s="139"/>
      <c r="C68" s="131"/>
      <c r="D68" s="131"/>
    </row>
    <row r="69" spans="1:4" ht="14.25" x14ac:dyDescent="0.2">
      <c r="A69" s="138"/>
      <c r="B69" s="139"/>
      <c r="C69" s="131"/>
      <c r="D69" s="131"/>
    </row>
    <row r="70" spans="1:4" ht="14.25" x14ac:dyDescent="0.2">
      <c r="A70" s="138"/>
      <c r="B70" s="139"/>
      <c r="C70" s="131"/>
      <c r="D70" s="131"/>
    </row>
    <row r="71" spans="1:4" ht="14.25" x14ac:dyDescent="0.2">
      <c r="A71" s="138"/>
      <c r="B71" s="139"/>
      <c r="C71" s="131"/>
      <c r="D71" s="131"/>
    </row>
    <row r="72" spans="1:4" ht="14.25" x14ac:dyDescent="0.2">
      <c r="A72" s="138"/>
      <c r="B72" s="139"/>
      <c r="C72" s="131"/>
      <c r="D72" s="131"/>
    </row>
    <row r="73" spans="1:4" ht="14.25" x14ac:dyDescent="0.2">
      <c r="A73" s="138"/>
      <c r="B73" s="139"/>
      <c r="C73" s="131"/>
      <c r="D73" s="131"/>
    </row>
    <row r="74" spans="1:4" ht="14.25" x14ac:dyDescent="0.2">
      <c r="A74" s="138"/>
      <c r="B74" s="139"/>
      <c r="C74" s="131"/>
      <c r="D74" s="131"/>
    </row>
    <row r="75" spans="1:4" ht="14.25" x14ac:dyDescent="0.2">
      <c r="A75" s="138"/>
      <c r="B75" s="139"/>
      <c r="C75" s="131"/>
      <c r="D75" s="131"/>
    </row>
    <row r="76" spans="1:4" ht="14.25" x14ac:dyDescent="0.2">
      <c r="A76" s="138"/>
      <c r="B76" s="139"/>
      <c r="C76" s="131"/>
      <c r="D76" s="131"/>
    </row>
    <row r="77" spans="1:4" ht="14.25" x14ac:dyDescent="0.2">
      <c r="A77" s="138"/>
      <c r="B77" s="139"/>
      <c r="C77" s="131"/>
      <c r="D77" s="131"/>
    </row>
    <row r="78" spans="1:4" ht="14.25" x14ac:dyDescent="0.2">
      <c r="A78" s="138"/>
      <c r="B78" s="139"/>
      <c r="C78" s="131"/>
      <c r="D78" s="131"/>
    </row>
    <row r="79" spans="1:4" ht="14.25" x14ac:dyDescent="0.2">
      <c r="A79" s="138"/>
      <c r="B79" s="139"/>
      <c r="C79" s="131"/>
      <c r="D79" s="131"/>
    </row>
    <row r="80" spans="1:4" ht="14.25" x14ac:dyDescent="0.2">
      <c r="A80" s="138"/>
      <c r="B80" s="139"/>
      <c r="C80" s="131"/>
      <c r="D80" s="131"/>
    </row>
    <row r="81" spans="1:4" ht="14.25" x14ac:dyDescent="0.2">
      <c r="A81" s="138"/>
      <c r="B81" s="139"/>
      <c r="C81" s="131"/>
      <c r="D81" s="131"/>
    </row>
    <row r="82" spans="1:4" ht="14.25" x14ac:dyDescent="0.2">
      <c r="A82" s="138"/>
      <c r="B82" s="139"/>
      <c r="C82" s="131"/>
      <c r="D82" s="131"/>
    </row>
    <row r="83" spans="1:4" ht="14.25" x14ac:dyDescent="0.2">
      <c r="A83" s="138"/>
      <c r="B83" s="139"/>
      <c r="C83" s="131"/>
      <c r="D83" s="131"/>
    </row>
    <row r="84" spans="1:4" ht="14.25" x14ac:dyDescent="0.2">
      <c r="A84" s="138"/>
      <c r="B84" s="139"/>
      <c r="C84" s="131"/>
      <c r="D84" s="131"/>
    </row>
    <row r="85" spans="1:4" ht="14.25" x14ac:dyDescent="0.2">
      <c r="A85" s="138"/>
      <c r="B85" s="139"/>
      <c r="C85" s="131"/>
      <c r="D85" s="131"/>
    </row>
    <row r="86" spans="1:4" ht="14.25" x14ac:dyDescent="0.2">
      <c r="A86" s="138"/>
      <c r="B86" s="139"/>
      <c r="C86" s="131"/>
      <c r="D86" s="131"/>
    </row>
    <row r="87" spans="1:4" ht="14.25" x14ac:dyDescent="0.2">
      <c r="A87" s="138"/>
      <c r="B87" s="139"/>
      <c r="C87" s="131"/>
      <c r="D87" s="131"/>
    </row>
    <row r="88" spans="1:4" ht="14.25" x14ac:dyDescent="0.2">
      <c r="A88" s="138"/>
      <c r="B88" s="139"/>
      <c r="C88" s="131"/>
      <c r="D88" s="131"/>
    </row>
    <row r="89" spans="1:4" ht="14.25" x14ac:dyDescent="0.2">
      <c r="A89" s="138"/>
      <c r="B89" s="139"/>
      <c r="C89" s="131"/>
      <c r="D89" s="131"/>
    </row>
    <row r="90" spans="1:4" ht="14.25" x14ac:dyDescent="0.2">
      <c r="A90" s="138"/>
      <c r="B90" s="139"/>
      <c r="C90" s="131"/>
      <c r="D90" s="131"/>
    </row>
    <row r="91" spans="1:4" ht="14.25" x14ac:dyDescent="0.2">
      <c r="A91" s="138"/>
      <c r="B91" s="139"/>
      <c r="C91" s="131"/>
      <c r="D91" s="131"/>
    </row>
    <row r="92" spans="1:4" ht="14.25" x14ac:dyDescent="0.2">
      <c r="A92" s="138"/>
      <c r="B92" s="139"/>
      <c r="C92" s="131"/>
      <c r="D92" s="131"/>
    </row>
    <row r="93" spans="1:4" ht="14.25" x14ac:dyDescent="0.2">
      <c r="A93" s="138"/>
      <c r="B93" s="139"/>
      <c r="C93" s="131"/>
      <c r="D93" s="131"/>
    </row>
    <row r="94" spans="1:4" ht="14.25" x14ac:dyDescent="0.2">
      <c r="A94" s="138"/>
      <c r="B94" s="139"/>
      <c r="C94" s="131"/>
      <c r="D94" s="131"/>
    </row>
    <row r="95" spans="1:4" ht="14.25" x14ac:dyDescent="0.2">
      <c r="A95" s="138"/>
      <c r="B95" s="139"/>
      <c r="C95" s="131"/>
      <c r="D95" s="131"/>
    </row>
    <row r="96" spans="1:4" ht="14.25" x14ac:dyDescent="0.2">
      <c r="A96" s="138"/>
      <c r="B96" s="139"/>
      <c r="C96" s="131"/>
      <c r="D96" s="131"/>
    </row>
    <row r="97" spans="1:4" ht="14.25" x14ac:dyDescent="0.2">
      <c r="A97" s="138"/>
      <c r="B97" s="139"/>
      <c r="C97" s="131"/>
      <c r="D97" s="131"/>
    </row>
    <row r="98" spans="1:4" ht="14.25" x14ac:dyDescent="0.2">
      <c r="A98" s="138"/>
      <c r="B98" s="139"/>
      <c r="C98" s="131"/>
      <c r="D98" s="131"/>
    </row>
    <row r="99" spans="1:4" ht="14.25" x14ac:dyDescent="0.2">
      <c r="A99" s="138"/>
      <c r="B99" s="139"/>
      <c r="C99" s="131"/>
      <c r="D99" s="131"/>
    </row>
    <row r="100" spans="1:4" ht="14.25" x14ac:dyDescent="0.2">
      <c r="A100" s="138"/>
      <c r="B100" s="139"/>
      <c r="C100" s="131"/>
      <c r="D100" s="131"/>
    </row>
    <row r="101" spans="1:4" ht="14.25" x14ac:dyDescent="0.2">
      <c r="A101" s="138"/>
      <c r="B101" s="139"/>
      <c r="C101" s="131"/>
      <c r="D101" s="131"/>
    </row>
    <row r="102" spans="1:4" ht="14.25" x14ac:dyDescent="0.2">
      <c r="A102" s="138"/>
      <c r="B102" s="139"/>
      <c r="C102" s="131"/>
      <c r="D102" s="131"/>
    </row>
    <row r="103" spans="1:4" ht="14.25" x14ac:dyDescent="0.2">
      <c r="A103" s="138"/>
      <c r="B103" s="139"/>
      <c r="C103" s="131"/>
      <c r="D103" s="131"/>
    </row>
    <row r="104" spans="1:4" ht="14.25" x14ac:dyDescent="0.2">
      <c r="A104" s="138"/>
      <c r="B104" s="139"/>
      <c r="C104" s="131"/>
      <c r="D104" s="131"/>
    </row>
    <row r="105" spans="1:4" ht="14.25" x14ac:dyDescent="0.2">
      <c r="A105" s="138"/>
      <c r="B105" s="139"/>
      <c r="C105" s="131"/>
      <c r="D105" s="131"/>
    </row>
    <row r="106" spans="1:4" ht="14.25" x14ac:dyDescent="0.2">
      <c r="A106" s="138"/>
      <c r="B106" s="139"/>
      <c r="C106" s="131"/>
      <c r="D106" s="131"/>
    </row>
    <row r="107" spans="1:4" ht="14.25" x14ac:dyDescent="0.2">
      <c r="A107" s="138"/>
      <c r="B107" s="139"/>
      <c r="C107" s="131"/>
      <c r="D107" s="131"/>
    </row>
    <row r="108" spans="1:4" ht="14.25" x14ac:dyDescent="0.2">
      <c r="A108" s="138"/>
      <c r="B108" s="139"/>
      <c r="C108" s="131"/>
      <c r="D108" s="131"/>
    </row>
    <row r="109" spans="1:4" ht="14.25" x14ac:dyDescent="0.2">
      <c r="A109" s="138"/>
      <c r="B109" s="139"/>
      <c r="C109" s="131"/>
      <c r="D109" s="131"/>
    </row>
    <row r="110" spans="1:4" ht="14.25" x14ac:dyDescent="0.2">
      <c r="A110" s="138"/>
      <c r="B110" s="139"/>
      <c r="C110" s="131"/>
      <c r="D110" s="131"/>
    </row>
    <row r="111" spans="1:4" ht="14.25" x14ac:dyDescent="0.2">
      <c r="A111" s="138"/>
      <c r="B111" s="139"/>
      <c r="C111" s="131"/>
      <c r="D111" s="131"/>
    </row>
    <row r="112" spans="1:4" ht="14.25" x14ac:dyDescent="0.2">
      <c r="A112" s="138"/>
      <c r="B112" s="139"/>
      <c r="C112" s="131"/>
      <c r="D112" s="131"/>
    </row>
    <row r="113" spans="1:4" ht="14.25" x14ac:dyDescent="0.2">
      <c r="A113" s="138"/>
      <c r="B113" s="139"/>
      <c r="C113" s="131"/>
      <c r="D113" s="131"/>
    </row>
    <row r="114" spans="1:4" ht="14.25" x14ac:dyDescent="0.2">
      <c r="A114" s="138"/>
      <c r="B114" s="139"/>
      <c r="C114" s="131"/>
      <c r="D114" s="131"/>
    </row>
    <row r="115" spans="1:4" ht="14.25" x14ac:dyDescent="0.2">
      <c r="A115" s="138"/>
      <c r="B115" s="139"/>
      <c r="C115" s="131"/>
      <c r="D115" s="131"/>
    </row>
    <row r="116" spans="1:4" ht="14.25" x14ac:dyDescent="0.2">
      <c r="A116" s="138"/>
      <c r="B116" s="139"/>
      <c r="C116" s="131"/>
      <c r="D116" s="131"/>
    </row>
    <row r="117" spans="1:4" ht="14.25" x14ac:dyDescent="0.2">
      <c r="A117" s="138"/>
      <c r="B117" s="139"/>
      <c r="C117" s="131"/>
      <c r="D117" s="131"/>
    </row>
    <row r="118" spans="1:4" ht="14.25" x14ac:dyDescent="0.2">
      <c r="A118" s="138"/>
      <c r="B118" s="139"/>
      <c r="C118" s="131"/>
      <c r="D118" s="131"/>
    </row>
    <row r="119" spans="1:4" ht="14.25" x14ac:dyDescent="0.2">
      <c r="A119" s="138"/>
      <c r="B119" s="139"/>
      <c r="C119" s="131"/>
      <c r="D119" s="131"/>
    </row>
    <row r="120" spans="1:4" ht="14.25" x14ac:dyDescent="0.2">
      <c r="A120" s="138"/>
      <c r="B120" s="139"/>
      <c r="C120" s="131"/>
      <c r="D120" s="131"/>
    </row>
    <row r="121" spans="1:4" ht="14.25" x14ac:dyDescent="0.2">
      <c r="A121" s="138"/>
      <c r="B121" s="139"/>
      <c r="C121" s="131"/>
      <c r="D121" s="131"/>
    </row>
    <row r="122" spans="1:4" ht="14.25" x14ac:dyDescent="0.2">
      <c r="A122" s="138"/>
      <c r="B122" s="139"/>
      <c r="C122" s="131"/>
      <c r="D122" s="131"/>
    </row>
    <row r="123" spans="1:4" ht="14.25" x14ac:dyDescent="0.2">
      <c r="A123" s="138"/>
      <c r="B123" s="139"/>
      <c r="C123" s="131"/>
      <c r="D123" s="131"/>
    </row>
    <row r="124" spans="1:4" ht="14.25" x14ac:dyDescent="0.2">
      <c r="A124" s="138"/>
      <c r="B124" s="139"/>
      <c r="C124" s="131"/>
      <c r="D124" s="131"/>
    </row>
    <row r="125" spans="1:4" ht="14.25" x14ac:dyDescent="0.2">
      <c r="A125" s="138"/>
      <c r="B125" s="139"/>
      <c r="C125" s="131"/>
      <c r="D125" s="131"/>
    </row>
    <row r="126" spans="1:4" ht="14.25" x14ac:dyDescent="0.2">
      <c r="A126" s="138"/>
      <c r="B126" s="139"/>
      <c r="C126" s="131"/>
      <c r="D126" s="131"/>
    </row>
    <row r="127" spans="1:4" ht="14.25" x14ac:dyDescent="0.2">
      <c r="A127" s="138"/>
      <c r="B127" s="139"/>
      <c r="C127" s="131"/>
      <c r="D127" s="131"/>
    </row>
    <row r="128" spans="1:4" ht="14.25" x14ac:dyDescent="0.2">
      <c r="A128" s="138"/>
      <c r="B128" s="139"/>
      <c r="C128" s="131"/>
      <c r="D128" s="131"/>
    </row>
    <row r="129" spans="1:4" ht="14.25" x14ac:dyDescent="0.2">
      <c r="A129" s="138"/>
      <c r="B129" s="139"/>
      <c r="C129" s="131"/>
      <c r="D129" s="131"/>
    </row>
    <row r="130" spans="1:4" ht="14.25" x14ac:dyDescent="0.2">
      <c r="A130" s="138"/>
      <c r="B130" s="139"/>
      <c r="C130" s="131"/>
      <c r="D130" s="131"/>
    </row>
    <row r="131" spans="1:4" ht="14.25" x14ac:dyDescent="0.2">
      <c r="A131" s="138"/>
      <c r="B131" s="139"/>
      <c r="C131" s="131"/>
      <c r="D131" s="131"/>
    </row>
    <row r="132" spans="1:4" ht="14.25" x14ac:dyDescent="0.2">
      <c r="A132" s="138"/>
      <c r="B132" s="139"/>
      <c r="C132" s="131"/>
      <c r="D132" s="131"/>
    </row>
    <row r="133" spans="1:4" ht="14.25" x14ac:dyDescent="0.2">
      <c r="A133" s="138"/>
      <c r="B133" s="139"/>
      <c r="C133" s="131"/>
      <c r="D133" s="131"/>
    </row>
    <row r="134" spans="1:4" ht="14.25" x14ac:dyDescent="0.2">
      <c r="A134" s="138"/>
      <c r="B134" s="139"/>
      <c r="C134" s="131"/>
      <c r="D134" s="131"/>
    </row>
    <row r="135" spans="1:4" ht="14.25" x14ac:dyDescent="0.2">
      <c r="A135" s="138"/>
      <c r="B135" s="139"/>
      <c r="C135" s="131"/>
      <c r="D135" s="131"/>
    </row>
    <row r="136" spans="1:4" x14ac:dyDescent="0.2">
      <c r="A136" s="130"/>
      <c r="B136" s="131"/>
      <c r="C136" s="131"/>
      <c r="D136" s="131"/>
    </row>
    <row r="137" spans="1:4" x14ac:dyDescent="0.2">
      <c r="A137" s="130"/>
      <c r="B137" s="131"/>
      <c r="C137" s="131"/>
      <c r="D137" s="131"/>
    </row>
    <row r="138" spans="1:4" x14ac:dyDescent="0.2">
      <c r="A138" s="130"/>
      <c r="B138" s="131"/>
      <c r="C138" s="131"/>
      <c r="D138" s="131"/>
    </row>
    <row r="139" spans="1:4" x14ac:dyDescent="0.2">
      <c r="A139" s="130"/>
      <c r="B139" s="131"/>
      <c r="C139" s="131"/>
      <c r="D139" s="131"/>
    </row>
    <row r="140" spans="1:4" x14ac:dyDescent="0.2">
      <c r="A140" s="130"/>
      <c r="B140" s="131"/>
      <c r="C140" s="131"/>
      <c r="D140" s="131"/>
    </row>
    <row r="141" spans="1:4" x14ac:dyDescent="0.2">
      <c r="A141" s="130"/>
      <c r="B141" s="131"/>
      <c r="C141" s="131"/>
      <c r="D141" s="131"/>
    </row>
    <row r="142" spans="1:4" x14ac:dyDescent="0.2">
      <c r="A142" s="130"/>
      <c r="B142" s="131"/>
      <c r="C142" s="131"/>
      <c r="D142" s="131"/>
    </row>
    <row r="143" spans="1:4" x14ac:dyDescent="0.2">
      <c r="A143" s="130"/>
      <c r="B143" s="131"/>
      <c r="C143" s="131"/>
      <c r="D143" s="131"/>
    </row>
    <row r="144" spans="1:4" x14ac:dyDescent="0.2">
      <c r="A144" s="130"/>
      <c r="B144" s="131"/>
      <c r="C144" s="131"/>
      <c r="D144" s="131"/>
    </row>
    <row r="145" spans="1:4" x14ac:dyDescent="0.2">
      <c r="A145" s="130"/>
      <c r="B145" s="131"/>
      <c r="C145" s="131"/>
      <c r="D145" s="131"/>
    </row>
    <row r="146" spans="1:4" x14ac:dyDescent="0.2">
      <c r="A146" s="130"/>
      <c r="B146" s="131"/>
      <c r="C146" s="131"/>
      <c r="D146" s="131"/>
    </row>
    <row r="147" spans="1:4" x14ac:dyDescent="0.2">
      <c r="A147" s="130"/>
      <c r="B147" s="131"/>
      <c r="C147" s="131"/>
      <c r="D147" s="131"/>
    </row>
    <row r="148" spans="1:4" x14ac:dyDescent="0.2">
      <c r="A148" s="130"/>
      <c r="B148" s="131"/>
      <c r="C148" s="131"/>
      <c r="D148" s="131"/>
    </row>
    <row r="149" spans="1:4" x14ac:dyDescent="0.2">
      <c r="A149" s="130"/>
      <c r="B149" s="131"/>
      <c r="C149" s="131"/>
      <c r="D149" s="131"/>
    </row>
    <row r="150" spans="1:4" x14ac:dyDescent="0.2">
      <c r="A150" s="130"/>
      <c r="B150" s="131"/>
      <c r="C150" s="131"/>
      <c r="D150" s="131"/>
    </row>
    <row r="151" spans="1:4" x14ac:dyDescent="0.2">
      <c r="A151" s="130"/>
      <c r="B151" s="131"/>
      <c r="C151" s="131"/>
      <c r="D151" s="131"/>
    </row>
    <row r="152" spans="1:4" x14ac:dyDescent="0.2">
      <c r="A152" s="130"/>
      <c r="B152" s="131"/>
      <c r="C152" s="131"/>
      <c r="D152" s="131"/>
    </row>
    <row r="153" spans="1:4" x14ac:dyDescent="0.2">
      <c r="A153" s="130"/>
      <c r="B153" s="131"/>
      <c r="C153" s="131"/>
      <c r="D153" s="131"/>
    </row>
    <row r="154" spans="1:4" x14ac:dyDescent="0.2">
      <c r="A154" s="130"/>
      <c r="B154" s="131"/>
      <c r="C154" s="131"/>
      <c r="D154" s="131"/>
    </row>
    <row r="155" spans="1:4" x14ac:dyDescent="0.2">
      <c r="A155" s="130"/>
      <c r="B155" s="131"/>
      <c r="C155" s="131"/>
      <c r="D155" s="131"/>
    </row>
    <row r="156" spans="1:4" x14ac:dyDescent="0.2">
      <c r="A156" s="130"/>
      <c r="B156" s="131"/>
      <c r="C156" s="131"/>
      <c r="D156" s="131"/>
    </row>
    <row r="157" spans="1:4" x14ac:dyDescent="0.2">
      <c r="A157" s="130"/>
      <c r="B157" s="131"/>
      <c r="C157" s="131"/>
      <c r="D157" s="131"/>
    </row>
    <row r="158" spans="1:4" x14ac:dyDescent="0.2">
      <c r="A158" s="130"/>
      <c r="B158" s="131"/>
      <c r="C158" s="131"/>
      <c r="D158" s="131"/>
    </row>
    <row r="159" spans="1:4" x14ac:dyDescent="0.2">
      <c r="A159" s="130"/>
      <c r="B159" s="131"/>
      <c r="C159" s="131"/>
      <c r="D159" s="131"/>
    </row>
    <row r="160" spans="1:4" x14ac:dyDescent="0.2">
      <c r="A160" s="130"/>
      <c r="B160" s="131"/>
      <c r="C160" s="131"/>
      <c r="D160" s="131"/>
    </row>
    <row r="161" spans="1:4" x14ac:dyDescent="0.2">
      <c r="A161" s="130"/>
      <c r="B161" s="131"/>
      <c r="C161" s="131"/>
      <c r="D161" s="131"/>
    </row>
    <row r="162" spans="1:4" x14ac:dyDescent="0.2">
      <c r="A162" s="130"/>
      <c r="B162" s="131"/>
      <c r="C162" s="131"/>
      <c r="D162" s="131"/>
    </row>
    <row r="163" spans="1:4" x14ac:dyDescent="0.2">
      <c r="A163" s="130"/>
      <c r="B163" s="131"/>
      <c r="C163" s="131"/>
      <c r="D163" s="131"/>
    </row>
    <row r="164" spans="1:4" x14ac:dyDescent="0.2">
      <c r="A164" s="130"/>
      <c r="B164" s="131"/>
      <c r="C164" s="131"/>
      <c r="D164" s="131"/>
    </row>
    <row r="165" spans="1:4" x14ac:dyDescent="0.2">
      <c r="A165" s="130"/>
      <c r="B165" s="131"/>
      <c r="C165" s="131"/>
      <c r="D165" s="131"/>
    </row>
    <row r="166" spans="1:4" x14ac:dyDescent="0.2">
      <c r="A166" s="130"/>
      <c r="B166" s="131"/>
      <c r="C166" s="131"/>
      <c r="D166" s="131"/>
    </row>
    <row r="167" spans="1:4" x14ac:dyDescent="0.2">
      <c r="A167" s="130"/>
      <c r="B167" s="131"/>
      <c r="C167" s="131"/>
      <c r="D167" s="131"/>
    </row>
    <row r="168" spans="1:4" x14ac:dyDescent="0.2">
      <c r="A168" s="130"/>
      <c r="B168" s="131"/>
      <c r="C168" s="131"/>
      <c r="D168" s="131"/>
    </row>
    <row r="169" spans="1:4" x14ac:dyDescent="0.2">
      <c r="A169" s="130"/>
      <c r="B169" s="131"/>
      <c r="C169" s="131"/>
      <c r="D169" s="131"/>
    </row>
    <row r="170" spans="1:4" x14ac:dyDescent="0.2">
      <c r="A170" s="130"/>
      <c r="B170" s="131"/>
      <c r="C170" s="131"/>
      <c r="D170" s="131"/>
    </row>
    <row r="171" spans="1:4" x14ac:dyDescent="0.2">
      <c r="A171" s="130"/>
      <c r="B171" s="131"/>
      <c r="C171" s="131"/>
      <c r="D171" s="131"/>
    </row>
    <row r="172" spans="1:4" x14ac:dyDescent="0.2">
      <c r="A172" s="130"/>
      <c r="B172" s="131"/>
      <c r="C172" s="131"/>
      <c r="D172" s="131"/>
    </row>
    <row r="173" spans="1:4" x14ac:dyDescent="0.2">
      <c r="A173" s="130"/>
      <c r="B173" s="131"/>
      <c r="C173" s="131"/>
      <c r="D173" s="131"/>
    </row>
    <row r="174" spans="1:4" x14ac:dyDescent="0.2">
      <c r="A174" s="130"/>
      <c r="B174" s="131"/>
      <c r="C174" s="131"/>
      <c r="D174" s="131"/>
    </row>
    <row r="175" spans="1:4" x14ac:dyDescent="0.2">
      <c r="A175" s="130"/>
      <c r="B175" s="131"/>
      <c r="C175" s="131"/>
      <c r="D175" s="131"/>
    </row>
    <row r="176" spans="1:4" x14ac:dyDescent="0.2">
      <c r="A176" s="130"/>
      <c r="B176" s="131"/>
      <c r="C176" s="131"/>
      <c r="D176" s="131"/>
    </row>
    <row r="177" spans="1:4" x14ac:dyDescent="0.2">
      <c r="A177" s="130"/>
      <c r="B177" s="131"/>
      <c r="C177" s="131"/>
      <c r="D177" s="131"/>
    </row>
    <row r="178" spans="1:4" x14ac:dyDescent="0.2">
      <c r="A178" s="130"/>
      <c r="B178" s="131"/>
      <c r="C178" s="131"/>
      <c r="D178" s="131"/>
    </row>
    <row r="179" spans="1:4" x14ac:dyDescent="0.2">
      <c r="A179" s="130"/>
      <c r="B179" s="131"/>
      <c r="C179" s="131"/>
      <c r="D179" s="131"/>
    </row>
    <row r="180" spans="1:4" x14ac:dyDescent="0.2">
      <c r="A180" s="130"/>
      <c r="B180" s="131"/>
      <c r="C180" s="131"/>
      <c r="D180" s="131"/>
    </row>
    <row r="181" spans="1:4" x14ac:dyDescent="0.2">
      <c r="A181" s="130"/>
      <c r="B181" s="131"/>
      <c r="C181" s="131"/>
      <c r="D181" s="131"/>
    </row>
    <row r="182" spans="1:4" x14ac:dyDescent="0.2">
      <c r="A182" s="130"/>
      <c r="B182" s="131"/>
      <c r="C182" s="131"/>
      <c r="D182" s="131"/>
    </row>
    <row r="183" spans="1:4" x14ac:dyDescent="0.2">
      <c r="A183" s="130"/>
      <c r="B183" s="131"/>
      <c r="C183" s="131"/>
      <c r="D183" s="131"/>
    </row>
    <row r="184" spans="1:4" x14ac:dyDescent="0.2">
      <c r="A184" s="130"/>
      <c r="B184" s="131"/>
      <c r="C184" s="131"/>
      <c r="D184" s="131"/>
    </row>
    <row r="185" spans="1:4" x14ac:dyDescent="0.2">
      <c r="A185" s="130"/>
      <c r="B185" s="131"/>
      <c r="C185" s="131"/>
      <c r="D185" s="131"/>
    </row>
    <row r="186" spans="1:4" x14ac:dyDescent="0.2">
      <c r="A186" s="130"/>
      <c r="B186" s="131"/>
      <c r="C186" s="131"/>
      <c r="D186" s="131"/>
    </row>
    <row r="187" spans="1:4" x14ac:dyDescent="0.2">
      <c r="A187" s="130"/>
      <c r="B187" s="131"/>
      <c r="C187" s="131"/>
      <c r="D187" s="131"/>
    </row>
    <row r="188" spans="1:4" x14ac:dyDescent="0.2">
      <c r="A188" s="130"/>
      <c r="B188" s="131"/>
      <c r="C188" s="131"/>
      <c r="D188" s="131"/>
    </row>
    <row r="189" spans="1:4" x14ac:dyDescent="0.2">
      <c r="A189" s="130"/>
      <c r="B189" s="131"/>
      <c r="C189" s="131"/>
      <c r="D189" s="131"/>
    </row>
    <row r="190" spans="1:4" x14ac:dyDescent="0.2">
      <c r="A190" s="130"/>
      <c r="B190" s="131"/>
      <c r="C190" s="131"/>
      <c r="D190" s="131"/>
    </row>
    <row r="191" spans="1:4" x14ac:dyDescent="0.2">
      <c r="A191" s="130"/>
      <c r="B191" s="131"/>
      <c r="C191" s="131"/>
      <c r="D191" s="131"/>
    </row>
    <row r="192" spans="1:4" x14ac:dyDescent="0.2">
      <c r="A192" s="130"/>
      <c r="B192" s="131"/>
      <c r="C192" s="131"/>
      <c r="D192" s="131"/>
    </row>
    <row r="193" spans="1:4" x14ac:dyDescent="0.2">
      <c r="A193" s="130"/>
      <c r="B193" s="131"/>
      <c r="C193" s="131"/>
      <c r="D193" s="131"/>
    </row>
    <row r="194" spans="1:4" x14ac:dyDescent="0.2">
      <c r="A194" s="130"/>
      <c r="B194" s="131"/>
      <c r="C194" s="131"/>
      <c r="D194" s="131"/>
    </row>
    <row r="195" spans="1:4" x14ac:dyDescent="0.2">
      <c r="A195" s="130"/>
      <c r="B195" s="131"/>
      <c r="C195" s="131"/>
      <c r="D195" s="131"/>
    </row>
    <row r="196" spans="1:4" x14ac:dyDescent="0.2">
      <c r="A196" s="130"/>
      <c r="B196" s="131"/>
      <c r="C196" s="131"/>
      <c r="D196" s="131"/>
    </row>
    <row r="197" spans="1:4" x14ac:dyDescent="0.2">
      <c r="A197" s="130"/>
      <c r="B197" s="131"/>
      <c r="C197" s="131"/>
      <c r="D197" s="131"/>
    </row>
    <row r="198" spans="1:4" x14ac:dyDescent="0.2">
      <c r="A198" s="130"/>
      <c r="B198" s="131"/>
      <c r="C198" s="131"/>
      <c r="D198" s="131"/>
    </row>
    <row r="199" spans="1:4" x14ac:dyDescent="0.2">
      <c r="A199" s="130"/>
      <c r="B199" s="131"/>
      <c r="C199" s="131"/>
      <c r="D199" s="131"/>
    </row>
    <row r="200" spans="1:4" x14ac:dyDescent="0.2">
      <c r="A200" s="130"/>
      <c r="B200" s="131"/>
      <c r="C200" s="131"/>
      <c r="D200" s="131"/>
    </row>
    <row r="201" spans="1:4" x14ac:dyDescent="0.2">
      <c r="A201" s="130"/>
      <c r="B201" s="131"/>
      <c r="C201" s="131"/>
      <c r="D201" s="131"/>
    </row>
    <row r="202" spans="1:4" x14ac:dyDescent="0.2">
      <c r="A202" s="130"/>
      <c r="B202" s="131"/>
      <c r="C202" s="131"/>
      <c r="D202" s="131"/>
    </row>
    <row r="203" spans="1:4" x14ac:dyDescent="0.2">
      <c r="A203" s="130"/>
      <c r="B203" s="131"/>
      <c r="C203" s="131"/>
      <c r="D203" s="131"/>
    </row>
    <row r="204" spans="1:4" x14ac:dyDescent="0.2">
      <c r="A204" s="130"/>
      <c r="B204" s="131"/>
      <c r="C204" s="131"/>
      <c r="D204" s="131"/>
    </row>
    <row r="205" spans="1:4" x14ac:dyDescent="0.2">
      <c r="A205" s="130"/>
      <c r="B205" s="131"/>
      <c r="C205" s="131"/>
      <c r="D205" s="131"/>
    </row>
    <row r="206" spans="1:4" x14ac:dyDescent="0.2">
      <c r="A206" s="130"/>
      <c r="B206" s="131"/>
      <c r="C206" s="131"/>
      <c r="D206" s="131"/>
    </row>
    <row r="207" spans="1:4" x14ac:dyDescent="0.2">
      <c r="A207" s="130"/>
      <c r="B207" s="131"/>
      <c r="C207" s="131"/>
      <c r="D207" s="131"/>
    </row>
    <row r="208" spans="1:4" x14ac:dyDescent="0.2">
      <c r="A208" s="130"/>
      <c r="B208" s="131"/>
      <c r="C208" s="131"/>
      <c r="D208" s="131"/>
    </row>
    <row r="209" spans="1:4" x14ac:dyDescent="0.2">
      <c r="A209" s="130"/>
      <c r="B209" s="131"/>
      <c r="C209" s="131"/>
      <c r="D209" s="131"/>
    </row>
    <row r="210" spans="1:4" x14ac:dyDescent="0.2">
      <c r="A210" s="130"/>
      <c r="B210" s="131"/>
      <c r="C210" s="131"/>
      <c r="D210" s="131"/>
    </row>
    <row r="211" spans="1:4" x14ac:dyDescent="0.2">
      <c r="A211" s="130"/>
      <c r="B211" s="131"/>
      <c r="C211" s="131"/>
      <c r="D211" s="131"/>
    </row>
    <row r="212" spans="1:4" x14ac:dyDescent="0.2">
      <c r="A212" s="130"/>
      <c r="B212" s="131"/>
      <c r="C212" s="131"/>
      <c r="D212" s="131"/>
    </row>
    <row r="213" spans="1:4" x14ac:dyDescent="0.2">
      <c r="A213" s="130"/>
      <c r="B213" s="131"/>
      <c r="C213" s="131"/>
      <c r="D213" s="131"/>
    </row>
    <row r="214" spans="1:4" x14ac:dyDescent="0.2">
      <c r="A214" s="130"/>
      <c r="B214" s="131"/>
      <c r="C214" s="131"/>
      <c r="D214" s="131"/>
    </row>
    <row r="215" spans="1:4" x14ac:dyDescent="0.2">
      <c r="A215" s="130"/>
      <c r="B215" s="131"/>
      <c r="C215" s="131"/>
      <c r="D215" s="131"/>
    </row>
    <row r="216" spans="1:4" x14ac:dyDescent="0.2">
      <c r="A216" s="130"/>
      <c r="B216" s="131"/>
      <c r="C216" s="131"/>
      <c r="D216" s="131"/>
    </row>
    <row r="217" spans="1:4" x14ac:dyDescent="0.2">
      <c r="A217" s="130"/>
      <c r="B217" s="131"/>
      <c r="C217" s="131"/>
      <c r="D217" s="131"/>
    </row>
    <row r="218" spans="1:4" x14ac:dyDescent="0.2">
      <c r="A218" s="130"/>
      <c r="B218" s="131"/>
      <c r="C218" s="131"/>
      <c r="D218" s="131"/>
    </row>
    <row r="219" spans="1:4" x14ac:dyDescent="0.2">
      <c r="A219" s="130"/>
      <c r="B219" s="131"/>
      <c r="C219" s="131"/>
      <c r="D219" s="131"/>
    </row>
    <row r="220" spans="1:4" x14ac:dyDescent="0.2">
      <c r="A220" s="130"/>
      <c r="B220" s="131"/>
      <c r="C220" s="131"/>
      <c r="D220" s="131"/>
    </row>
    <row r="221" spans="1:4" x14ac:dyDescent="0.2">
      <c r="A221" s="130"/>
      <c r="B221" s="131"/>
      <c r="C221" s="131"/>
      <c r="D221" s="131"/>
    </row>
    <row r="222" spans="1:4" x14ac:dyDescent="0.2">
      <c r="A222" s="130"/>
      <c r="B222" s="131"/>
      <c r="C222" s="131"/>
      <c r="D222" s="131"/>
    </row>
    <row r="223" spans="1:4" x14ac:dyDescent="0.2">
      <c r="A223" s="130"/>
      <c r="B223" s="131"/>
      <c r="C223" s="131"/>
      <c r="D223" s="131"/>
    </row>
    <row r="224" spans="1:4" x14ac:dyDescent="0.2">
      <c r="A224" s="130"/>
      <c r="B224" s="131"/>
      <c r="C224" s="131"/>
      <c r="D224" s="131"/>
    </row>
    <row r="225" spans="1:5" x14ac:dyDescent="0.2">
      <c r="A225" s="130"/>
      <c r="B225" s="131"/>
      <c r="C225" s="131"/>
      <c r="D225" s="131"/>
    </row>
    <row r="226" spans="1:5" x14ac:dyDescent="0.2">
      <c r="A226" s="130"/>
      <c r="B226" s="131"/>
      <c r="C226" s="131"/>
      <c r="D226" s="131"/>
    </row>
    <row r="227" spans="1:5" x14ac:dyDescent="0.2">
      <c r="A227" s="130"/>
      <c r="B227" s="131"/>
      <c r="C227" s="131"/>
      <c r="D227" s="131"/>
    </row>
    <row r="228" spans="1:5" x14ac:dyDescent="0.2">
      <c r="A228" s="130"/>
      <c r="B228" s="131"/>
      <c r="C228" s="131"/>
      <c r="D228" s="131"/>
    </row>
    <row r="229" spans="1:5" x14ac:dyDescent="0.2">
      <c r="A229" s="130"/>
      <c r="B229" s="131"/>
      <c r="C229" s="131"/>
      <c r="D229" s="131"/>
    </row>
    <row r="230" spans="1:5" x14ac:dyDescent="0.2">
      <c r="A230" s="130"/>
      <c r="B230" s="131"/>
      <c r="C230" s="131"/>
      <c r="D230" s="131"/>
      <c r="E230" s="131"/>
    </row>
    <row r="231" spans="1:5" x14ac:dyDescent="0.2">
      <c r="A231" s="130"/>
      <c r="B231" s="131"/>
      <c r="C231" s="131"/>
      <c r="D231" s="131"/>
      <c r="E231" s="131"/>
    </row>
    <row r="232" spans="1:5" x14ac:dyDescent="0.2">
      <c r="A232" s="130"/>
      <c r="B232" s="131"/>
      <c r="C232" s="131"/>
      <c r="D232" s="131"/>
      <c r="E232" s="131"/>
    </row>
    <row r="233" spans="1:5" x14ac:dyDescent="0.2">
      <c r="A233" s="130"/>
      <c r="B233" s="131"/>
      <c r="C233" s="131"/>
      <c r="D233" s="131"/>
      <c r="E233" s="131"/>
    </row>
    <row r="234" spans="1:5" x14ac:dyDescent="0.2">
      <c r="A234" s="130"/>
      <c r="B234" s="131"/>
      <c r="C234" s="131"/>
      <c r="D234" s="131"/>
      <c r="E234" s="131"/>
    </row>
    <row r="235" spans="1:5" x14ac:dyDescent="0.2">
      <c r="A235" s="130"/>
      <c r="B235" s="131"/>
      <c r="C235" s="131"/>
      <c r="D235" s="131"/>
      <c r="E235" s="131"/>
    </row>
    <row r="236" spans="1:5" x14ac:dyDescent="0.2">
      <c r="A236" s="130"/>
      <c r="B236" s="131"/>
      <c r="C236" s="131"/>
      <c r="D236" s="131"/>
      <c r="E236" s="131"/>
    </row>
    <row r="237" spans="1:5" x14ac:dyDescent="0.2">
      <c r="A237" s="130"/>
      <c r="B237" s="131"/>
      <c r="C237" s="131"/>
      <c r="D237" s="131"/>
      <c r="E237" s="131"/>
    </row>
    <row r="238" spans="1:5" x14ac:dyDescent="0.2">
      <c r="A238" s="130"/>
      <c r="B238" s="131"/>
      <c r="C238" s="131"/>
      <c r="D238" s="131"/>
      <c r="E238" s="131"/>
    </row>
    <row r="239" spans="1:5" x14ac:dyDescent="0.2">
      <c r="A239" s="130"/>
      <c r="B239" s="131"/>
      <c r="C239" s="131"/>
      <c r="D239" s="131"/>
      <c r="E239" s="131"/>
    </row>
    <row r="240" spans="1:5" x14ac:dyDescent="0.2">
      <c r="A240" s="130"/>
      <c r="B240" s="131"/>
      <c r="C240" s="131"/>
      <c r="D240" s="131"/>
      <c r="E240" s="131"/>
    </row>
    <row r="241" spans="1:5" x14ac:dyDescent="0.2">
      <c r="A241" s="130"/>
      <c r="B241" s="131"/>
      <c r="C241" s="131"/>
      <c r="D241" s="131"/>
      <c r="E241" s="131"/>
    </row>
    <row r="242" spans="1:5" x14ac:dyDescent="0.2">
      <c r="A242" s="130"/>
      <c r="B242" s="131"/>
      <c r="C242" s="131"/>
      <c r="D242" s="131"/>
      <c r="E242" s="131"/>
    </row>
    <row r="243" spans="1:5" x14ac:dyDescent="0.2">
      <c r="A243" s="130"/>
      <c r="B243" s="131"/>
      <c r="C243" s="131"/>
      <c r="D243" s="131"/>
      <c r="E243" s="131"/>
    </row>
    <row r="244" spans="1:5" x14ac:dyDescent="0.2">
      <c r="A244" s="130"/>
      <c r="B244" s="131"/>
      <c r="C244" s="131"/>
      <c r="D244" s="131"/>
      <c r="E244" s="131"/>
    </row>
    <row r="245" spans="1:5" x14ac:dyDescent="0.2">
      <c r="A245" s="130"/>
      <c r="B245" s="131"/>
      <c r="C245" s="131"/>
      <c r="D245" s="131"/>
      <c r="E245" s="131"/>
    </row>
    <row r="246" spans="1:5" x14ac:dyDescent="0.2">
      <c r="A246" s="130"/>
      <c r="B246" s="131"/>
      <c r="C246" s="131"/>
      <c r="D246" s="131"/>
      <c r="E246" s="131"/>
    </row>
    <row r="247" spans="1:5" x14ac:dyDescent="0.2">
      <c r="A247" s="130"/>
      <c r="B247" s="131"/>
      <c r="C247" s="131"/>
      <c r="D247" s="131"/>
      <c r="E247" s="131"/>
    </row>
    <row r="248" spans="1:5" x14ac:dyDescent="0.2">
      <c r="A248" s="130"/>
      <c r="B248" s="131"/>
      <c r="C248" s="131"/>
      <c r="D248" s="131"/>
      <c r="E248" s="131"/>
    </row>
    <row r="249" spans="1:5" x14ac:dyDescent="0.2">
      <c r="A249" s="130"/>
      <c r="B249" s="131"/>
      <c r="C249" s="131"/>
      <c r="D249" s="131"/>
      <c r="E249" s="131"/>
    </row>
    <row r="250" spans="1:5" x14ac:dyDescent="0.2">
      <c r="A250" s="130"/>
      <c r="B250" s="131"/>
      <c r="C250" s="131"/>
      <c r="D250" s="131"/>
      <c r="E250" s="131"/>
    </row>
    <row r="251" spans="1:5" x14ac:dyDescent="0.2">
      <c r="A251" s="130"/>
      <c r="B251" s="131"/>
      <c r="C251" s="131"/>
      <c r="D251" s="131"/>
      <c r="E251" s="131"/>
    </row>
    <row r="252" spans="1:5" x14ac:dyDescent="0.2">
      <c r="A252" s="130"/>
      <c r="B252" s="131"/>
      <c r="C252" s="131"/>
      <c r="D252" s="131"/>
      <c r="E252" s="131"/>
    </row>
    <row r="253" spans="1:5" x14ac:dyDescent="0.2">
      <c r="A253" s="130"/>
      <c r="B253" s="131"/>
      <c r="C253" s="131"/>
      <c r="D253" s="131"/>
      <c r="E253" s="131"/>
    </row>
    <row r="254" spans="1:5" x14ac:dyDescent="0.2">
      <c r="A254" s="130"/>
      <c r="B254" s="131"/>
      <c r="C254" s="131"/>
      <c r="D254" s="131"/>
      <c r="E254" s="131"/>
    </row>
    <row r="255" spans="1:5" x14ac:dyDescent="0.2">
      <c r="A255" s="130"/>
      <c r="B255" s="131"/>
      <c r="C255" s="131"/>
      <c r="D255" s="131"/>
      <c r="E255" s="131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OCS-19e, May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2019-05-14T12:55:50Z</dcterms:modified>
  <cp:category>Oilseeds</cp:category>
</cp:coreProperties>
</file>