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ERS Projects- Active\Monthly Outlook Reports\Oil Crops Outlook\"/>
    </mc:Choice>
  </mc:AlternateContent>
  <bookViews>
    <workbookView xWindow="0" yWindow="0" windowWidth="28800" windowHeight="11835" tabRatio="633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Cover" sheetId="8" r:id="rId9"/>
    <sheet name="Oil Crops Chart Gallery Fig 1" sheetId="11" r:id="rId10"/>
    <sheet name="Oil Crops Chart Gallery Fig 2" sheetId="12" r:id="rId11"/>
  </sheets>
  <definedNames>
    <definedName name="_xlnm.Print_Area" localSheetId="1">'Table 1'!$A$1:$N$36</definedName>
    <definedName name="_xlnm.Print_Area" localSheetId="7">'Table 10'!$A$1:$G$37</definedName>
    <definedName name="_xlnm.Print_Area" localSheetId="2">'Table 2'!$A$1:$J$28</definedName>
    <definedName name="_xlnm.Print_Area" localSheetId="3">'Table 3'!$A$1:$M$29</definedName>
    <definedName name="_xlnm.Print_Area" localSheetId="5">'Table 8'!$A$1:$G$35</definedName>
    <definedName name="_xlnm.Print_Area" localSheetId="6">'Table 9'!$A$1:$I$37</definedName>
    <definedName name="_xlnm.Print_Area" localSheetId="4">'Tables 4-7'!$A$1:$O$52</definedName>
    <definedName name="WASDE_Updated" localSheetId="0">Contents!#REF!</definedName>
  </definedNames>
  <calcPr calcId="152511" iterate="1" iterateCount="1000" iterateDelta="0.01" calcOnSave="0"/>
</workbook>
</file>

<file path=xl/calcChain.xml><?xml version="1.0" encoding="utf-8"?>
<calcChain xmlns="http://schemas.openxmlformats.org/spreadsheetml/2006/main">
  <c r="D26" i="2" l="1"/>
  <c r="D27" i="9" l="1"/>
  <c r="J27" i="9"/>
  <c r="H26" i="2"/>
  <c r="L32" i="1"/>
  <c r="G32" i="1"/>
  <c r="J26" i="2" l="1"/>
  <c r="C26" i="2"/>
  <c r="L27" i="9"/>
  <c r="J32" i="1"/>
  <c r="B27" i="9" l="1"/>
  <c r="E27" i="9" s="1"/>
  <c r="K27" i="9" s="1"/>
  <c r="G27" i="9" s="1"/>
  <c r="B12" i="9"/>
  <c r="E26" i="2"/>
  <c r="I26" i="2" s="1"/>
  <c r="G26" i="2" s="1"/>
  <c r="B26" i="2"/>
  <c r="B11" i="2"/>
  <c r="L33" i="1"/>
  <c r="J33" i="1"/>
  <c r="G33" i="1"/>
  <c r="H33" i="1" s="1"/>
  <c r="F28" i="1"/>
  <c r="F33" i="1"/>
  <c r="H24" i="9" l="1"/>
  <c r="H8" i="9" s="1"/>
  <c r="J23" i="9"/>
  <c r="D23" i="9"/>
  <c r="D22" i="2"/>
  <c r="H22" i="2"/>
  <c r="G31" i="1"/>
  <c r="H31" i="1" s="1"/>
  <c r="L31" i="1"/>
  <c r="L23" i="9"/>
  <c r="J31" i="1"/>
  <c r="J22" i="2"/>
  <c r="J7" i="2" s="1"/>
  <c r="B8" i="2" s="1"/>
  <c r="E8" i="2" s="1"/>
  <c r="I8" i="2" s="1"/>
  <c r="G8" i="2" s="1"/>
  <c r="C22" i="2"/>
  <c r="L8" i="9"/>
  <c r="C24" i="9"/>
  <c r="C8" i="9"/>
  <c r="E31" i="1"/>
  <c r="J22" i="9"/>
  <c r="D22" i="9"/>
  <c r="E22" i="9" s="1"/>
  <c r="K22" i="9" s="1"/>
  <c r="G22" i="9" s="1"/>
  <c r="I22" i="9" s="1"/>
  <c r="H21" i="2"/>
  <c r="D21" i="2"/>
  <c r="L26" i="1"/>
  <c r="G26" i="1"/>
  <c r="L21" i="9"/>
  <c r="L22" i="9"/>
  <c r="B23" i="9" s="1"/>
  <c r="E23" i="9" s="1"/>
  <c r="K23" i="9" s="1"/>
  <c r="G23" i="9" s="1"/>
  <c r="I23" i="9" s="1"/>
  <c r="J21" i="2"/>
  <c r="B22" i="2" s="1"/>
  <c r="C21" i="2"/>
  <c r="J26" i="1"/>
  <c r="B22" i="9"/>
  <c r="N7" i="1"/>
  <c r="F15" i="1"/>
  <c r="H28" i="1" s="1"/>
  <c r="G27" i="1"/>
  <c r="H27" i="1" s="1"/>
  <c r="M27" i="1" s="1"/>
  <c r="E27" i="1"/>
  <c r="H20" i="2"/>
  <c r="D20" i="2"/>
  <c r="J21" i="9"/>
  <c r="D21" i="9"/>
  <c r="L25" i="1"/>
  <c r="G25" i="1"/>
  <c r="C20" i="2"/>
  <c r="J19" i="2"/>
  <c r="J20" i="2"/>
  <c r="B21" i="2" s="1"/>
  <c r="J25" i="1"/>
  <c r="B20" i="2"/>
  <c r="K47" i="3"/>
  <c r="M46" i="3"/>
  <c r="D8" i="1"/>
  <c r="D19" i="2"/>
  <c r="H19" i="2"/>
  <c r="L24" i="1"/>
  <c r="L27" i="1" s="1"/>
  <c r="G24" i="1"/>
  <c r="J20" i="9"/>
  <c r="D20" i="9"/>
  <c r="L20" i="9"/>
  <c r="B21" i="9" s="1"/>
  <c r="E21" i="9" s="1"/>
  <c r="K21" i="9" s="1"/>
  <c r="G21" i="9" s="1"/>
  <c r="I21" i="9" s="1"/>
  <c r="C19" i="2"/>
  <c r="J24" i="1"/>
  <c r="J27" i="1" s="1"/>
  <c r="J14" i="9"/>
  <c r="J13" i="9"/>
  <c r="J12" i="9"/>
  <c r="J24" i="9" s="1"/>
  <c r="J8" i="9" s="1"/>
  <c r="D14" i="9"/>
  <c r="D13" i="9"/>
  <c r="D12" i="9"/>
  <c r="D24" i="9" s="1"/>
  <c r="E12" i="9"/>
  <c r="K12" i="9" s="1"/>
  <c r="J19" i="9"/>
  <c r="D19" i="9"/>
  <c r="H18" i="2"/>
  <c r="H17" i="2"/>
  <c r="H16" i="2"/>
  <c r="H15" i="2"/>
  <c r="H14" i="2"/>
  <c r="H13" i="2"/>
  <c r="H12" i="2"/>
  <c r="H11" i="2"/>
  <c r="D17" i="2"/>
  <c r="D16" i="2"/>
  <c r="D15" i="2"/>
  <c r="D14" i="2"/>
  <c r="D13" i="2"/>
  <c r="D12" i="2"/>
  <c r="D11" i="2"/>
  <c r="E11" i="2" s="1"/>
  <c r="I11" i="2" s="1"/>
  <c r="D18" i="2"/>
  <c r="L22" i="1"/>
  <c r="L16" i="1"/>
  <c r="L14" i="1"/>
  <c r="L13" i="1"/>
  <c r="L12" i="1"/>
  <c r="L15" i="1"/>
  <c r="L28" i="1" s="1"/>
  <c r="L7" i="1" s="1"/>
  <c r="G16" i="1"/>
  <c r="G19" i="1"/>
  <c r="G14" i="1"/>
  <c r="G13" i="1"/>
  <c r="G12" i="1"/>
  <c r="G22" i="1"/>
  <c r="L19" i="9"/>
  <c r="B20" i="9" s="1"/>
  <c r="E20" i="9" s="1"/>
  <c r="K20" i="9" s="1"/>
  <c r="G20" i="9" s="1"/>
  <c r="I20" i="9" s="1"/>
  <c r="C18" i="2"/>
  <c r="J18" i="2"/>
  <c r="B19" i="2" s="1"/>
  <c r="E19" i="2" s="1"/>
  <c r="I19" i="2" s="1"/>
  <c r="G19" i="2" s="1"/>
  <c r="J22" i="1"/>
  <c r="E23" i="1"/>
  <c r="H23" i="1" s="1"/>
  <c r="M23" i="1" s="1"/>
  <c r="K23" i="1" s="1"/>
  <c r="D18" i="9"/>
  <c r="J18" i="9"/>
  <c r="G21" i="1"/>
  <c r="L21" i="1"/>
  <c r="L18" i="9"/>
  <c r="B19" i="9" s="1"/>
  <c r="E19" i="9" s="1"/>
  <c r="K19" i="9" s="1"/>
  <c r="G19" i="9" s="1"/>
  <c r="I19" i="9" s="1"/>
  <c r="J17" i="2"/>
  <c r="B18" i="2" s="1"/>
  <c r="C17" i="2"/>
  <c r="J21" i="1"/>
  <c r="D17" i="9"/>
  <c r="J17" i="9"/>
  <c r="G20" i="1"/>
  <c r="G23" i="1"/>
  <c r="L20" i="1"/>
  <c r="L23" i="1"/>
  <c r="E48" i="3"/>
  <c r="H48" i="3"/>
  <c r="N48" i="3" s="1"/>
  <c r="L48" i="3" s="1"/>
  <c r="D48" i="3"/>
  <c r="B35" i="3"/>
  <c r="E35" i="3" s="1"/>
  <c r="I35" i="3" s="1"/>
  <c r="G35" i="3" s="1"/>
  <c r="B22" i="3"/>
  <c r="E22" i="3"/>
  <c r="I22" i="3" s="1"/>
  <c r="G22" i="3" s="1"/>
  <c r="B9" i="3"/>
  <c r="E9" i="3"/>
  <c r="J9" i="3" s="1"/>
  <c r="I9" i="3" s="1"/>
  <c r="B9" i="9"/>
  <c r="E9" i="9"/>
  <c r="K9" i="9" s="1"/>
  <c r="G9" i="9" s="1"/>
  <c r="I9" i="9" s="1"/>
  <c r="E8" i="1"/>
  <c r="H8" i="1"/>
  <c r="M8" i="1" s="1"/>
  <c r="K8" i="1" s="1"/>
  <c r="J20" i="1"/>
  <c r="J23" i="1"/>
  <c r="L17" i="9"/>
  <c r="B18" i="9" s="1"/>
  <c r="E18" i="9" s="1"/>
  <c r="K18" i="9" s="1"/>
  <c r="G18" i="9" s="1"/>
  <c r="I18" i="9" s="1"/>
  <c r="J16" i="2"/>
  <c r="B17" i="2" s="1"/>
  <c r="C16" i="2"/>
  <c r="J16" i="9"/>
  <c r="D16" i="9"/>
  <c r="G18" i="1"/>
  <c r="L18" i="1"/>
  <c r="L19" i="1" s="1"/>
  <c r="L16" i="9"/>
  <c r="B17" i="9" s="1"/>
  <c r="E17" i="9" s="1"/>
  <c r="K17" i="9" s="1"/>
  <c r="G17" i="9" s="1"/>
  <c r="I17" i="9" s="1"/>
  <c r="L15" i="9"/>
  <c r="J15" i="2"/>
  <c r="B16" i="2" s="1"/>
  <c r="E16" i="2" s="1"/>
  <c r="J14" i="2"/>
  <c r="B15" i="2"/>
  <c r="C14" i="2"/>
  <c r="C15" i="2"/>
  <c r="J17" i="1"/>
  <c r="J18" i="1"/>
  <c r="B16" i="9"/>
  <c r="E16" i="9"/>
  <c r="K16" i="9" s="1"/>
  <c r="G16" i="9" s="1"/>
  <c r="I16" i="9" s="1"/>
  <c r="E19" i="1"/>
  <c r="H19" i="1" s="1"/>
  <c r="M19" i="1" s="1"/>
  <c r="K19" i="1" s="1"/>
  <c r="D15" i="9"/>
  <c r="J15" i="9"/>
  <c r="L17" i="1"/>
  <c r="G17" i="1"/>
  <c r="L14" i="9"/>
  <c r="L13" i="9"/>
  <c r="L12" i="9"/>
  <c r="B13" i="9"/>
  <c r="E13" i="9" s="1"/>
  <c r="K13" i="9" s="1"/>
  <c r="G13" i="9" s="1"/>
  <c r="I13" i="9" s="1"/>
  <c r="J13" i="2"/>
  <c r="B14" i="2" s="1"/>
  <c r="E14" i="2" s="1"/>
  <c r="I14" i="2" s="1"/>
  <c r="G14" i="2" s="1"/>
  <c r="J12" i="2"/>
  <c r="B13" i="2" s="1"/>
  <c r="E13" i="2" s="1"/>
  <c r="J11" i="2"/>
  <c r="B12" i="2" s="1"/>
  <c r="E12" i="2" s="1"/>
  <c r="I12" i="2" s="1"/>
  <c r="G12" i="2" s="1"/>
  <c r="C13" i="2"/>
  <c r="C12" i="2"/>
  <c r="C11" i="2"/>
  <c r="J16" i="1"/>
  <c r="J19" i="1" s="1"/>
  <c r="B15" i="9"/>
  <c r="E15" i="9" s="1"/>
  <c r="K15" i="9" s="1"/>
  <c r="G15" i="9" s="1"/>
  <c r="I15" i="9" s="1"/>
  <c r="B39" i="6"/>
  <c r="B38" i="5"/>
  <c r="B38" i="4"/>
  <c r="E47" i="3"/>
  <c r="H47" i="3"/>
  <c r="N47" i="3"/>
  <c r="L47" i="3"/>
  <c r="D47" i="3"/>
  <c r="K46" i="3"/>
  <c r="G46" i="3"/>
  <c r="H46" i="3"/>
  <c r="N46" i="3"/>
  <c r="L46" i="3"/>
  <c r="D46" i="3"/>
  <c r="B34" i="3"/>
  <c r="E34" i="3"/>
  <c r="I34" i="3" s="1"/>
  <c r="G34" i="3" s="1"/>
  <c r="E33" i="3"/>
  <c r="I33" i="3"/>
  <c r="G33" i="3"/>
  <c r="B21" i="3"/>
  <c r="E21" i="3"/>
  <c r="I21" i="3"/>
  <c r="G21" i="3"/>
  <c r="E20" i="3"/>
  <c r="I20" i="3"/>
  <c r="G20" i="3"/>
  <c r="B8" i="3"/>
  <c r="E8" i="3"/>
  <c r="J8" i="3"/>
  <c r="I8" i="3"/>
  <c r="E7" i="3"/>
  <c r="J7" i="3"/>
  <c r="I7" i="3"/>
  <c r="B30" i="9"/>
  <c r="B14" i="9"/>
  <c r="E14" i="9" s="1"/>
  <c r="K14" i="9" s="1"/>
  <c r="G14" i="9" s="1"/>
  <c r="I14" i="9" s="1"/>
  <c r="B29" i="2"/>
  <c r="B37" i="1"/>
  <c r="J14" i="1"/>
  <c r="J13" i="1"/>
  <c r="J12" i="1"/>
  <c r="J15" i="1" s="1"/>
  <c r="J28" i="1" s="1"/>
  <c r="J7" i="1" s="1"/>
  <c r="G15" i="1"/>
  <c r="H15" i="1" s="1"/>
  <c r="M15" i="1" s="1"/>
  <c r="F7" i="1"/>
  <c r="D7" i="1"/>
  <c r="B7" i="2"/>
  <c r="B8" i="9"/>
  <c r="E7" i="1"/>
  <c r="A5" i="10"/>
  <c r="D6" i="1"/>
  <c r="B52" i="3"/>
  <c r="E6" i="2"/>
  <c r="I6" i="2" s="1"/>
  <c r="G6" i="2" s="1"/>
  <c r="H6" i="1"/>
  <c r="M6" i="1" s="1"/>
  <c r="K6" i="1" s="1"/>
  <c r="E7" i="9"/>
  <c r="K7" i="9" s="1"/>
  <c r="G7" i="9" s="1"/>
  <c r="I7" i="9" s="1"/>
  <c r="G28" i="1"/>
  <c r="G7" i="1" s="1"/>
  <c r="H7" i="1" s="1"/>
  <c r="M7" i="1" s="1"/>
  <c r="D8" i="9" l="1"/>
  <c r="E8" i="9" s="1"/>
  <c r="K8" i="9" s="1"/>
  <c r="G8" i="9" s="1"/>
  <c r="I8" i="9" s="1"/>
  <c r="E24" i="9"/>
  <c r="G12" i="9"/>
  <c r="K24" i="9"/>
  <c r="I16" i="2"/>
  <c r="G16" i="2" s="1"/>
  <c r="E17" i="2"/>
  <c r="I17" i="2" s="1"/>
  <c r="G17" i="2" s="1"/>
  <c r="I13" i="2"/>
  <c r="G13" i="2" s="1"/>
  <c r="D23" i="2"/>
  <c r="D7" i="2" s="1"/>
  <c r="H23" i="2"/>
  <c r="H7" i="2" s="1"/>
  <c r="E22" i="2"/>
  <c r="I22" i="2" s="1"/>
  <c r="G22" i="2" s="1"/>
  <c r="C23" i="2"/>
  <c r="C7" i="2" s="1"/>
  <c r="E7" i="2" s="1"/>
  <c r="I7" i="2" s="1"/>
  <c r="G7" i="2" s="1"/>
  <c r="E15" i="2"/>
  <c r="I15" i="2" s="1"/>
  <c r="G15" i="2" s="1"/>
  <c r="E18" i="2"/>
  <c r="I18" i="2" s="1"/>
  <c r="G18" i="2" s="1"/>
  <c r="E20" i="2"/>
  <c r="I20" i="2" s="1"/>
  <c r="G20" i="2" s="1"/>
  <c r="E21" i="2"/>
  <c r="I21" i="2" s="1"/>
  <c r="G21" i="2" s="1"/>
  <c r="G11" i="2"/>
  <c r="K7" i="1"/>
  <c r="M28" i="1"/>
  <c r="K15" i="1"/>
  <c r="K27" i="1"/>
  <c r="I12" i="9" l="1"/>
  <c r="I24" i="9" s="1"/>
  <c r="G24" i="9"/>
  <c r="E23" i="2"/>
  <c r="I23" i="2"/>
  <c r="G23" i="2"/>
  <c r="K28" i="1"/>
</calcChain>
</file>

<file path=xl/sharedStrings.xml><?xml version="1.0" encoding="utf-8"?>
<sst xmlns="http://schemas.openxmlformats.org/spreadsheetml/2006/main" count="471" uniqueCount="201">
  <si>
    <t xml:space="preserve">          Supply</t>
  </si>
  <si>
    <t>Production</t>
  </si>
  <si>
    <t>Imports</t>
  </si>
  <si>
    <t>Total</t>
  </si>
  <si>
    <t>Exports</t>
  </si>
  <si>
    <t>residual</t>
  </si>
  <si>
    <t>Ending</t>
  </si>
  <si>
    <t>stocks</t>
  </si>
  <si>
    <t>Beginning</t>
  </si>
  <si>
    <t>Domestic</t>
  </si>
  <si>
    <t>NA</t>
  </si>
  <si>
    <t>Table 4--Cottonseed:  U.S. supply and disappearance</t>
  </si>
  <si>
    <t>Table 5--Cottonseed meal:  U.S. supply and disappearance</t>
  </si>
  <si>
    <t>Table 6--Cottonseed oil:  U.S. supply and disappearance</t>
  </si>
  <si>
    <t>Table 7--Peanuts:  U.S. supply and disappearance</t>
  </si>
  <si>
    <t>Marketing</t>
  </si>
  <si>
    <t>year</t>
  </si>
  <si>
    <t>Cottonseed</t>
  </si>
  <si>
    <t xml:space="preserve">     1,000 short tons</t>
  </si>
  <si>
    <t xml:space="preserve">  1,000 short tons</t>
  </si>
  <si>
    <t xml:space="preserve">     Million pounds</t>
  </si>
  <si>
    <t xml:space="preserve">      Million pounds</t>
  </si>
  <si>
    <t>Table 9--U.S. vegetable oil and fats prices</t>
  </si>
  <si>
    <t>Table 2--Soybean meal:  U.S. supply and disappearance</t>
  </si>
  <si>
    <t>Disappearance</t>
  </si>
  <si>
    <t>Table 3--Soybean oil:  U.S. supply and disappearance</t>
  </si>
  <si>
    <t>Last update:</t>
  </si>
  <si>
    <t>Area</t>
  </si>
  <si>
    <t>Planted</t>
  </si>
  <si>
    <t>Harvested</t>
  </si>
  <si>
    <t>Yield</t>
  </si>
  <si>
    <t xml:space="preserve">Exports  </t>
  </si>
  <si>
    <t xml:space="preserve">Total  </t>
  </si>
  <si>
    <t xml:space="preserve">stocks </t>
  </si>
  <si>
    <t xml:space="preserve">Ending </t>
  </si>
  <si>
    <t xml:space="preserve">Domestic </t>
  </si>
  <si>
    <t xml:space="preserve">Beginning </t>
  </si>
  <si>
    <t xml:space="preserve">Imports </t>
  </si>
  <si>
    <t xml:space="preserve">Total </t>
  </si>
  <si>
    <t xml:space="preserve">Exports </t>
  </si>
  <si>
    <t xml:space="preserve">Crush </t>
  </si>
  <si>
    <t xml:space="preserve">Other </t>
  </si>
  <si>
    <t xml:space="preserve">food </t>
  </si>
  <si>
    <t xml:space="preserve">Table 10--U.S. oilseed meal prices </t>
  </si>
  <si>
    <t xml:space="preserve">Soybean </t>
  </si>
  <si>
    <t xml:space="preserve">Peanut </t>
  </si>
  <si>
    <t xml:space="preserve">Canola  </t>
  </si>
  <si>
    <t xml:space="preserve">Linseed </t>
  </si>
  <si>
    <t xml:space="preserve">Edible  </t>
  </si>
  <si>
    <t xml:space="preserve">Corn  </t>
  </si>
  <si>
    <t xml:space="preserve">$/cwt. </t>
  </si>
  <si>
    <t>Table 8--Oilseed prices received by U.S. farmers</t>
  </si>
  <si>
    <t>Canola</t>
  </si>
  <si>
    <t>2008/09</t>
  </si>
  <si>
    <t xml:space="preserve">stocks  </t>
  </si>
  <si>
    <t>2009/10</t>
  </si>
  <si>
    <t>2010/11</t>
  </si>
  <si>
    <t>NA = Not available.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</si>
  <si>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</si>
  <si>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</si>
  <si>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</si>
  <si>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</si>
  <si>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</si>
  <si>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</si>
  <si>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</si>
  <si>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</si>
  <si>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</si>
  <si>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2011/12</t>
  </si>
  <si>
    <t>July</t>
  </si>
  <si>
    <t>August</t>
  </si>
  <si>
    <t>Use</t>
  </si>
  <si>
    <t>September</t>
  </si>
  <si>
    <t>Crush</t>
  </si>
  <si>
    <t>Table 1--Soybeans:  Annual U.S. supply and disappearance</t>
  </si>
  <si>
    <t>Soybeans:  Quarterly U.S. supply and disappearance</t>
  </si>
  <si>
    <t>Bu./acre</t>
  </si>
  <si>
    <t>Cents/pound</t>
  </si>
  <si>
    <t xml:space="preserve">$/bushel </t>
  </si>
  <si>
    <t>Foreign Trade Statistics.</t>
  </si>
  <si>
    <t>Pounds/acre</t>
  </si>
  <si>
    <t xml:space="preserve">  September-November</t>
  </si>
  <si>
    <t xml:space="preserve">  December-February</t>
  </si>
  <si>
    <t xml:space="preserve">  March-May</t>
  </si>
  <si>
    <t xml:space="preserve">  June-August</t>
  </si>
  <si>
    <t>Year beginning</t>
  </si>
  <si>
    <t>October 1</t>
  </si>
  <si>
    <t>August 1</t>
  </si>
  <si>
    <t xml:space="preserve">$/short ton  </t>
  </si>
  <si>
    <t>September 1</t>
  </si>
  <si>
    <t>Sunflowerseed</t>
  </si>
  <si>
    <t>NA= Not available.</t>
  </si>
  <si>
    <t>2012/13</t>
  </si>
  <si>
    <t>Supply</t>
  </si>
  <si>
    <t>Million acres</t>
  </si>
  <si>
    <t>1,000 acres</t>
  </si>
  <si>
    <t>--------------------------------------------------Million bushels--------------------------------------------------</t>
  </si>
  <si>
    <t xml:space="preserve">  Total  </t>
  </si>
  <si>
    <t xml:space="preserve"> stocks </t>
  </si>
  <si>
    <t>Biodiesel</t>
  </si>
  <si>
    <t>2013/14</t>
  </si>
  <si>
    <t>Seed and</t>
  </si>
  <si>
    <t>Seed &amp;</t>
  </si>
  <si>
    <t>2014/15</t>
  </si>
  <si>
    <t>2015/16</t>
  </si>
  <si>
    <t xml:space="preserve">  September</t>
  </si>
  <si>
    <t xml:space="preserve">     -------------------------------------------- 1,000 short tons--------------------------------------------</t>
  </si>
  <si>
    <t xml:space="preserve">$/cwt </t>
  </si>
  <si>
    <t>cwt=hundredweight.</t>
  </si>
  <si>
    <t>------------------------------------------------------- Cents/ pound----------------------------------------------</t>
  </si>
  <si>
    <t>--------------------------------------------------- $/short ton------------------------------------------</t>
  </si>
  <si>
    <t xml:space="preserve">  October</t>
  </si>
  <si>
    <t>Million pounds</t>
  </si>
  <si>
    <t xml:space="preserve">  November</t>
  </si>
  <si>
    <t xml:space="preserve">  December</t>
  </si>
  <si>
    <t xml:space="preserve">  January</t>
  </si>
  <si>
    <t xml:space="preserve">  February</t>
  </si>
  <si>
    <t xml:space="preserve">  March</t>
  </si>
  <si>
    <t xml:space="preserve">  April</t>
  </si>
  <si>
    <t xml:space="preserve">  May</t>
  </si>
  <si>
    <t>2016/17</t>
  </si>
  <si>
    <t>Food &amp; Other</t>
  </si>
  <si>
    <t>2017/18</t>
  </si>
  <si>
    <t>Oil Crops Outlook Tables</t>
  </si>
  <si>
    <t>Last update</t>
  </si>
  <si>
    <t xml:space="preserve">Contacts: Mark Ash at mash@ers.usda.gov   </t>
  </si>
  <si>
    <t xml:space="preserve">and Mariana Matias at mariana.matias@ers.usda.gov </t>
  </si>
  <si>
    <r>
      <t>2016/17</t>
    </r>
    <r>
      <rPr>
        <vertAlign val="superscript"/>
        <sz val="11"/>
        <rFont val="Arial"/>
        <family val="2"/>
      </rPr>
      <t>1</t>
    </r>
  </si>
  <si>
    <r>
      <t>2017/18</t>
    </r>
    <r>
      <rPr>
        <vertAlign val="superscript"/>
        <sz val="11"/>
        <rFont val="Arial"/>
        <family val="2"/>
      </rPr>
      <t>2</t>
    </r>
  </si>
  <si>
    <r>
      <t>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36.744 bushels and 1 acre equals 2.471 hectares.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</si>
  <si>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Grain Stocks </t>
    </r>
    <r>
      <rPr>
        <sz val="11"/>
        <rFont val="Arial"/>
        <family val="2"/>
      </rPr>
      <t>and U.S. Department of Commerce, U.S. Census Bureau,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</si>
  <si>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1.10231 short tons.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</si>
  <si>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</si>
  <si>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 Note: 1 metric ton equals 2,204.622 pounds. NA: Not available.</t>
    </r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</si>
  <si>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</si>
  <si>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 </t>
    </r>
    <r>
      <rPr>
        <sz val="11"/>
        <rFont val="Arial"/>
        <family val="2"/>
      </rPr>
      <t>and U.S. Department of Commerce,</t>
    </r>
  </si>
  <si>
    <r>
      <t xml:space="preserve">U.S. Census Bureau, </t>
    </r>
    <r>
      <rPr>
        <i/>
        <sz val="11"/>
        <rFont val="Arial"/>
        <family val="2"/>
      </rPr>
      <t>Foreign Trade Statistics.</t>
    </r>
  </si>
  <si>
    <r>
      <t xml:space="preserve">Source:  USDA, Foreign Agricultural Service, </t>
    </r>
    <r>
      <rPr>
        <i/>
        <sz val="11"/>
        <rFont val="Arial"/>
        <family val="2"/>
      </rPr>
      <t>PS&amp;D Online.</t>
    </r>
  </si>
  <si>
    <r>
      <t>Source:  USDA, Foreign Agricultural Service, Production, Supply, and Distribution Online</t>
    </r>
    <r>
      <rPr>
        <i/>
        <sz val="11"/>
        <rFont val="Arial"/>
        <family val="2"/>
      </rPr>
      <t>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</si>
  <si>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Peanut Stocks and Processing,</t>
    </r>
    <r>
      <rPr>
        <sz val="11"/>
        <rFont val="Arial"/>
        <family val="2"/>
      </rPr>
      <t>and U.S. Department of Commerce,</t>
    </r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</si>
  <si>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</si>
  <si>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</si>
  <si>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</si>
  <si>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</si>
  <si>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</si>
  <si>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</si>
  <si>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r>
      <t>2017/18</t>
    </r>
    <r>
      <rPr>
        <vertAlign val="superscript"/>
        <sz val="11"/>
        <rFont val="Arial"/>
        <family val="2"/>
      </rPr>
      <t>1</t>
    </r>
  </si>
  <si>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September-August.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August-July.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July-June.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</si>
  <si>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</si>
  <si>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</si>
  <si>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</si>
  <si>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</si>
  <si>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</si>
  <si>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</si>
  <si>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oil </t>
    </r>
    <r>
      <rPr>
        <vertAlign val="superscript"/>
        <sz val="11"/>
        <rFont val="Arial"/>
        <family val="2"/>
      </rPr>
      <t xml:space="preserve">6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</si>
  <si>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</si>
  <si>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r>
      <t xml:space="preserve">Sources: USDA, Agricultural Marketing Service,  </t>
    </r>
    <r>
      <rPr>
        <i/>
        <sz val="11"/>
        <rFont val="Arial"/>
        <family val="2"/>
      </rPr>
      <t xml:space="preserve">Monthly Feedstuff Prices </t>
    </r>
    <r>
      <rPr>
        <sz val="11"/>
        <rFont val="Arial"/>
        <family val="2"/>
      </rPr>
      <t>and</t>
    </r>
    <r>
      <rPr>
        <i/>
        <sz val="11"/>
        <rFont val="Arial"/>
        <family val="2"/>
      </rPr>
      <t xml:space="preserve"> Milling and Baking News.</t>
    </r>
    <r>
      <rPr>
        <sz val="11"/>
        <rFont val="Arial"/>
        <family val="2"/>
      </rPr>
      <t xml:space="preserve">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</si>
  <si>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</si>
  <si>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</si>
  <si>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</si>
  <si>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</si>
  <si>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</si>
  <si>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r>
      <t xml:space="preserve">meal </t>
    </r>
    <r>
      <rPr>
        <vertAlign val="superscript"/>
        <sz val="11"/>
        <rFont val="Arial"/>
        <family val="2"/>
      </rPr>
      <t xml:space="preserve">7  </t>
    </r>
  </si>
  <si>
    <r>
      <t>5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34-percent Minneapolis. </t>
    </r>
  </si>
  <si>
    <r>
      <t xml:space="preserve">Source: USDA, Agricultural Marketing Service, </t>
    </r>
    <r>
      <rPr>
        <i/>
        <sz val="11"/>
        <rFont val="Arial"/>
        <family val="2"/>
      </rPr>
      <t>Monthly Feedstuff Prices.</t>
    </r>
    <r>
      <rPr>
        <sz val="11"/>
        <rFont val="Arial"/>
        <family val="2"/>
      </rPr>
      <t xml:space="preserve"> </t>
    </r>
  </si>
  <si>
    <r>
      <t>1</t>
    </r>
    <r>
      <rPr>
        <sz val="11"/>
        <rFont val="Arial"/>
        <family val="2"/>
      </rPr>
      <t xml:space="preserve"> Preliminary.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Midwest. </t>
    </r>
    <r>
      <rPr>
        <vertAlign val="superscript"/>
        <sz val="11"/>
        <rFont val="Arial"/>
        <family val="2"/>
      </rPr>
      <t/>
    </r>
  </si>
  <si>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Southeast mills.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Chicago.  NA = Not available.</t>
    </r>
  </si>
  <si>
    <r>
      <t>1</t>
    </r>
    <r>
      <rPr>
        <sz val="11"/>
        <rFont val="Arial"/>
        <family val="2"/>
      </rPr>
      <t xml:space="preserve"> Preliminary.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High-protein Decatur, IL.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41-percent Memphis.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34-percent North Dakota-Minnesota.</t>
    </r>
  </si>
  <si>
    <r>
      <t>2018/19</t>
    </r>
    <r>
      <rPr>
        <vertAlign val="superscript"/>
        <sz val="11"/>
        <rFont val="Arial"/>
        <family val="2"/>
      </rPr>
      <t>1</t>
    </r>
  </si>
  <si>
    <r>
      <t>2018/19</t>
    </r>
    <r>
      <rPr>
        <vertAlign val="superscript"/>
        <sz val="11"/>
        <rFont val="Arial"/>
        <family val="2"/>
      </rPr>
      <t>2</t>
    </r>
  </si>
  <si>
    <t>28.0-32.0</t>
  </si>
  <si>
    <t>31.0-35.0</t>
  </si>
  <si>
    <t>290-330</t>
  </si>
  <si>
    <t>195-235</t>
  </si>
  <si>
    <t>2018/19</t>
  </si>
  <si>
    <t>Total to date</t>
  </si>
  <si>
    <t>Million short tons</t>
  </si>
  <si>
    <t>Feed &amp; other</t>
  </si>
  <si>
    <t>palm oil price</t>
  </si>
  <si>
    <t>$/MT</t>
  </si>
  <si>
    <t>FOB Malaysia</t>
  </si>
  <si>
    <t>U.S.</t>
  </si>
  <si>
    <t>Brazil</t>
  </si>
  <si>
    <t>Million metric tons</t>
  </si>
  <si>
    <t>Soybean</t>
  </si>
  <si>
    <t>exports</t>
  </si>
  <si>
    <t>121-161</t>
  </si>
  <si>
    <t>20.25-22.75</t>
  </si>
  <si>
    <t>15.65-18.15</t>
  </si>
  <si>
    <t>15.10-17.60</t>
  </si>
  <si>
    <t>53.0-57.0</t>
  </si>
  <si>
    <t>145-185</t>
  </si>
  <si>
    <t>255-295</t>
  </si>
  <si>
    <t>38.0-42.0</t>
  </si>
  <si>
    <t>220-260</t>
  </si>
  <si>
    <t>26.5-30.5</t>
  </si>
  <si>
    <t>32.0-36.0</t>
  </si>
  <si>
    <t>30.5-34.5</t>
  </si>
  <si>
    <t>65.5-69.5</t>
  </si>
  <si>
    <t>7.85-9.35</t>
  </si>
  <si>
    <t>8.75-10.25</t>
  </si>
  <si>
    <t>Refined, bleached, deodorized palm 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</si>
</sst>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  <numFmt numFmtId="167" formatCode="0.00_)"/>
    <numFmt numFmtId="168" formatCode="#,##0.0_);\(#,##0.0\)"/>
    <numFmt numFmtId="169" formatCode="0.000"/>
    <numFmt numFmtId="170" formatCode="#,##0.0"/>
    <numFmt numFmtId="171" formatCode="[$-409]mmm\-yy;@"/>
    <numFmt numFmtId="172" formatCode="mmm\-yyyy"/>
    <numFmt numFmtId="173" formatCode="0.0000"/>
  </numFmts>
  <fonts count="1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b/>
      <sz val="14"/>
      <name val="Helvetica"/>
    </font>
    <font>
      <u/>
      <sz val="8"/>
      <color indexed="12"/>
      <name val="Arial"/>
      <family val="2"/>
    </font>
    <font>
      <b/>
      <sz val="10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9" fontId="1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64" fontId="0" fillId="0" borderId="0" xfId="1" applyNumberFormat="1" applyFont="1" applyBorder="1"/>
    <xf numFmtId="164" fontId="0" fillId="0" borderId="0" xfId="1" quotePrefix="1" applyNumberFormat="1" applyFont="1" applyBorder="1" applyAlignment="1">
      <alignment horizontal="center"/>
    </xf>
    <xf numFmtId="164" fontId="0" fillId="0" borderId="0" xfId="1" quotePrefix="1" applyNumberFormat="1" applyFont="1" applyBorder="1"/>
    <xf numFmtId="43" fontId="0" fillId="0" borderId="0" xfId="1" applyFont="1"/>
    <xf numFmtId="43" fontId="0" fillId="0" borderId="0" xfId="1" applyNumberFormat="1" applyFont="1" applyBorder="1"/>
    <xf numFmtId="43" fontId="0" fillId="0" borderId="0" xfId="1" applyFont="1" applyBorder="1"/>
    <xf numFmtId="43" fontId="0" fillId="0" borderId="0" xfId="0" applyNumberFormat="1"/>
    <xf numFmtId="0" fontId="2" fillId="0" borderId="0" xfId="0" applyFont="1"/>
    <xf numFmtId="43" fontId="0" fillId="0" borderId="0" xfId="1" applyFont="1" applyAlignment="1">
      <alignment horizontal="center"/>
    </xf>
    <xf numFmtId="43" fontId="0" fillId="0" borderId="0" xfId="1" applyFont="1" applyBorder="1" applyAlignment="1">
      <alignment horizontal="center"/>
    </xf>
    <xf numFmtId="166" fontId="0" fillId="0" borderId="0" xfId="0" applyNumberFormat="1"/>
    <xf numFmtId="0" fontId="5" fillId="0" borderId="0" xfId="0" applyFont="1"/>
    <xf numFmtId="0" fontId="0" fillId="0" borderId="0" xfId="0" applyProtection="1"/>
    <xf numFmtId="2" fontId="0" fillId="0" borderId="0" xfId="0" applyNumberFormat="1"/>
    <xf numFmtId="165" fontId="0" fillId="0" borderId="0" xfId="0" applyNumberFormat="1"/>
    <xf numFmtId="166" fontId="0" fillId="0" borderId="0" xfId="0" applyNumberFormat="1" applyProtection="1"/>
    <xf numFmtId="172" fontId="0" fillId="0" borderId="0" xfId="0" applyNumberFormat="1" applyProtection="1"/>
    <xf numFmtId="165" fontId="0" fillId="0" borderId="0" xfId="1" applyNumberFormat="1" applyFont="1"/>
    <xf numFmtId="171" fontId="2" fillId="0" borderId="0" xfId="0" quotePrefix="1" applyNumberFormat="1" applyFont="1"/>
    <xf numFmtId="168" fontId="0" fillId="0" borderId="0" xfId="1" applyNumberFormat="1" applyFont="1"/>
    <xf numFmtId="170" fontId="5" fillId="0" borderId="0" xfId="1" applyNumberFormat="1" applyFont="1" applyBorder="1" applyAlignment="1">
      <alignment horizontal="center"/>
    </xf>
    <xf numFmtId="164" fontId="0" fillId="0" borderId="0" xfId="1" applyNumberFormat="1" applyFont="1"/>
    <xf numFmtId="0" fontId="2" fillId="0" borderId="0" xfId="8" applyFont="1" applyBorder="1" applyAlignment="1">
      <alignment vertical="top" wrapText="1"/>
    </xf>
    <xf numFmtId="0" fontId="2" fillId="0" borderId="0" xfId="8" applyFont="1"/>
    <xf numFmtId="0" fontId="7" fillId="0" borderId="0" xfId="7" applyFont="1" applyAlignment="1">
      <alignment horizontal="left"/>
    </xf>
    <xf numFmtId="0" fontId="8" fillId="0" borderId="0" xfId="5" applyFont="1" applyAlignment="1" applyProtection="1"/>
    <xf numFmtId="0" fontId="3" fillId="0" borderId="0" xfId="8" applyFont="1"/>
    <xf numFmtId="0" fontId="9" fillId="0" borderId="0" xfId="7" applyFont="1" applyAlignment="1">
      <alignment horizontal="left"/>
    </xf>
    <xf numFmtId="0" fontId="2" fillId="0" borderId="0" xfId="8" applyFont="1" applyFill="1"/>
    <xf numFmtId="0" fontId="2" fillId="0" borderId="0" xfId="8" quotePrefix="1" applyFont="1"/>
    <xf numFmtId="0" fontId="11" fillId="0" borderId="0" xfId="8" applyFont="1" applyFill="1"/>
    <xf numFmtId="0" fontId="2" fillId="0" borderId="0" xfId="8" applyFont="1" applyBorder="1" applyAlignment="1">
      <alignment wrapText="1"/>
    </xf>
    <xf numFmtId="0" fontId="12" fillId="0" borderId="0" xfId="8" applyFont="1"/>
    <xf numFmtId="0" fontId="6" fillId="0" borderId="0" xfId="7" quotePrefix="1" applyAlignment="1">
      <alignment horizontal="left"/>
    </xf>
    <xf numFmtId="0" fontId="4" fillId="0" borderId="0" xfId="4" applyAlignment="1" applyProtection="1"/>
    <xf numFmtId="14" fontId="9" fillId="0" borderId="0" xfId="7" applyNumberFormat="1" applyFont="1" applyAlignment="1">
      <alignment horizontal="left"/>
    </xf>
    <xf numFmtId="170" fontId="0" fillId="0" borderId="0" xfId="0" applyNumberFormat="1"/>
    <xf numFmtId="0" fontId="13" fillId="0" borderId="1" xfId="0" applyFont="1" applyBorder="1"/>
    <xf numFmtId="0" fontId="13" fillId="0" borderId="0" xfId="0" applyFont="1"/>
    <xf numFmtId="0" fontId="13" fillId="0" borderId="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applyFont="1" applyAlignment="1">
      <alignment horizontal="right"/>
    </xf>
    <xf numFmtId="16" fontId="13" fillId="0" borderId="1" xfId="0" quotePrefix="1" applyNumberFormat="1" applyFont="1" applyBorder="1"/>
    <xf numFmtId="16" fontId="13" fillId="0" borderId="1" xfId="0" applyNumberFormat="1" applyFont="1" applyBorder="1"/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indent="1"/>
    </xf>
    <xf numFmtId="0" fontId="14" fillId="0" borderId="0" xfId="0" quotePrefix="1" applyFont="1" applyAlignment="1">
      <alignment horizontal="right"/>
    </xf>
    <xf numFmtId="166" fontId="13" fillId="0" borderId="0" xfId="0" applyNumberFormat="1" applyFont="1" applyAlignment="1">
      <alignment horizontal="center"/>
    </xf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" fontId="13" fillId="0" borderId="0" xfId="1" applyNumberFormat="1" applyFont="1" applyBorder="1" applyAlignment="1">
      <alignment horizontal="right" indent="1"/>
    </xf>
    <xf numFmtId="165" fontId="13" fillId="0" borderId="0" xfId="1" applyNumberFormat="1" applyFont="1"/>
    <xf numFmtId="164" fontId="13" fillId="0" borderId="0" xfId="1" applyNumberFormat="1" applyFont="1" applyBorder="1"/>
    <xf numFmtId="164" fontId="13" fillId="0" borderId="0" xfId="1" applyNumberFormat="1" applyFont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0" fontId="14" fillId="0" borderId="3" xfId="0" quotePrefix="1" applyFont="1" applyBorder="1" applyAlignment="1"/>
    <xf numFmtId="164" fontId="13" fillId="0" borderId="0" xfId="1" quotePrefix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1"/>
    </xf>
    <xf numFmtId="170" fontId="13" fillId="0" borderId="0" xfId="1" applyNumberFormat="1" applyFont="1" applyBorder="1" applyAlignment="1">
      <alignment horizontal="right"/>
    </xf>
    <xf numFmtId="170" fontId="13" fillId="0" borderId="0" xfId="1" quotePrefix="1" applyNumberFormat="1" applyFont="1" applyBorder="1" applyAlignment="1">
      <alignment horizontal="right"/>
    </xf>
    <xf numFmtId="170" fontId="13" fillId="0" borderId="0" xfId="1" applyNumberFormat="1" applyFont="1" applyFill="1" applyBorder="1" applyAlignment="1">
      <alignment horizontal="right"/>
    </xf>
    <xf numFmtId="164" fontId="13" fillId="0" borderId="0" xfId="1" quotePrefix="1" applyNumberFormat="1" applyFont="1" applyAlignment="1">
      <alignment horizontal="center"/>
    </xf>
    <xf numFmtId="170" fontId="13" fillId="0" borderId="0" xfId="1" quotePrefix="1" applyNumberFormat="1" applyFont="1" applyAlignment="1">
      <alignment horizontal="right"/>
    </xf>
    <xf numFmtId="0" fontId="13" fillId="0" borderId="0" xfId="0" quotePrefix="1" applyFont="1"/>
    <xf numFmtId="164" fontId="13" fillId="0" borderId="1" xfId="1" applyNumberFormat="1" applyFont="1" applyBorder="1" applyAlignment="1">
      <alignment horizontal="center"/>
    </xf>
    <xf numFmtId="164" fontId="13" fillId="0" borderId="1" xfId="1" quotePrefix="1" applyNumberFormat="1" applyFont="1" applyBorder="1" applyAlignment="1">
      <alignment horizontal="center"/>
    </xf>
    <xf numFmtId="170" fontId="13" fillId="0" borderId="1" xfId="1" applyNumberFormat="1" applyFont="1" applyBorder="1" applyAlignment="1">
      <alignment horizontal="right" indent="1"/>
    </xf>
    <xf numFmtId="170" fontId="13" fillId="0" borderId="1" xfId="1" applyNumberFormat="1" applyFont="1" applyBorder="1" applyAlignment="1">
      <alignment horizontal="right"/>
    </xf>
    <xf numFmtId="170" fontId="13" fillId="0" borderId="1" xfId="1" quotePrefix="1" applyNumberFormat="1" applyFont="1" applyBorder="1" applyAlignment="1">
      <alignment horizontal="right"/>
    </xf>
    <xf numFmtId="170" fontId="13" fillId="0" borderId="1" xfId="1" applyNumberFormat="1" applyFont="1" applyFill="1" applyBorder="1" applyAlignment="1">
      <alignment horizontal="right"/>
    </xf>
    <xf numFmtId="0" fontId="15" fillId="0" borderId="0" xfId="0" applyFont="1" applyBorder="1"/>
    <xf numFmtId="164" fontId="13" fillId="0" borderId="0" xfId="0" applyNumberFormat="1" applyFont="1" applyBorder="1"/>
    <xf numFmtId="164" fontId="13" fillId="0" borderId="0" xfId="1" applyNumberFormat="1" applyFont="1"/>
    <xf numFmtId="0" fontId="14" fillId="0" borderId="0" xfId="0" applyFont="1"/>
    <xf numFmtId="14" fontId="13" fillId="0" borderId="0" xfId="0" applyNumberFormat="1" applyFont="1" applyAlignment="1">
      <alignment horizontal="left"/>
    </xf>
    <xf numFmtId="3" fontId="13" fillId="0" borderId="0" xfId="1" applyNumberFormat="1" applyFont="1" applyAlignment="1">
      <alignment horizontal="right" indent="2"/>
    </xf>
    <xf numFmtId="3" fontId="13" fillId="0" borderId="0" xfId="1" applyNumberFormat="1" applyFont="1" applyAlignment="1">
      <alignment horizontal="right" indent="1"/>
    </xf>
    <xf numFmtId="3" fontId="13" fillId="0" borderId="0" xfId="1" applyNumberFormat="1" applyFont="1" applyAlignment="1">
      <alignment horizontal="center"/>
    </xf>
    <xf numFmtId="170" fontId="13" fillId="0" borderId="0" xfId="1" applyNumberFormat="1" applyFont="1" applyBorder="1" applyAlignment="1">
      <alignment horizontal="center"/>
    </xf>
    <xf numFmtId="170" fontId="13" fillId="0" borderId="0" xfId="1" applyNumberFormat="1" applyFont="1" applyBorder="1" applyAlignment="1">
      <alignment horizontal="right" indent="2"/>
    </xf>
    <xf numFmtId="170" fontId="13" fillId="0" borderId="0" xfId="1" applyNumberFormat="1" applyFont="1" applyAlignment="1">
      <alignment horizontal="right" indent="1"/>
    </xf>
    <xf numFmtId="170" fontId="13" fillId="0" borderId="1" xfId="1" applyNumberFormat="1" applyFont="1" applyBorder="1" applyAlignment="1">
      <alignment horizontal="right" indent="2"/>
    </xf>
    <xf numFmtId="0" fontId="15" fillId="0" borderId="0" xfId="0" applyFont="1"/>
    <xf numFmtId="0" fontId="13" fillId="0" borderId="0" xfId="0" applyFont="1" applyBorder="1" applyAlignment="1">
      <alignment horizontal="center"/>
    </xf>
    <xf numFmtId="170" fontId="13" fillId="0" borderId="0" xfId="1" applyNumberFormat="1" applyFont="1" applyAlignment="1">
      <alignment horizontal="center"/>
    </xf>
    <xf numFmtId="170" fontId="13" fillId="0" borderId="1" xfId="1" applyNumberFormat="1" applyFont="1" applyBorder="1" applyAlignment="1">
      <alignment horizontal="center"/>
    </xf>
    <xf numFmtId="0" fontId="13" fillId="0" borderId="3" xfId="0" applyFont="1" applyBorder="1"/>
    <xf numFmtId="0" fontId="13" fillId="0" borderId="0" xfId="0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0" fontId="13" fillId="0" borderId="0" xfId="0" applyFont="1" applyBorder="1" applyAlignment="1"/>
    <xf numFmtId="37" fontId="13" fillId="0" borderId="0" xfId="1" applyNumberFormat="1" applyFont="1" applyAlignment="1">
      <alignment horizontal="center"/>
    </xf>
    <xf numFmtId="37" fontId="13" fillId="0" borderId="0" xfId="1" applyNumberFormat="1" applyFont="1" applyAlignment="1">
      <alignment horizontal="right" indent="2"/>
    </xf>
    <xf numFmtId="37" fontId="13" fillId="0" borderId="0" xfId="1" applyNumberFormat="1" applyFont="1" applyAlignment="1">
      <alignment horizontal="right" indent="1"/>
    </xf>
    <xf numFmtId="37" fontId="13" fillId="0" borderId="1" xfId="1" applyNumberFormat="1" applyFont="1" applyBorder="1" applyAlignment="1">
      <alignment horizontal="center"/>
    </xf>
    <xf numFmtId="37" fontId="13" fillId="0" borderId="1" xfId="1" applyNumberFormat="1" applyFont="1" applyBorder="1" applyAlignment="1">
      <alignment horizontal="right" indent="2"/>
    </xf>
    <xf numFmtId="165" fontId="13" fillId="0" borderId="1" xfId="1" applyNumberFormat="1" applyFont="1" applyBorder="1"/>
    <xf numFmtId="37" fontId="13" fillId="0" borderId="1" xfId="1" applyNumberFormat="1" applyFont="1" applyBorder="1" applyAlignment="1">
      <alignment horizontal="right" indent="1"/>
    </xf>
    <xf numFmtId="37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/>
    <xf numFmtId="1" fontId="13" fillId="0" borderId="0" xfId="0" applyNumberFormat="1" applyFont="1" applyAlignment="1">
      <alignment horizontal="center"/>
    </xf>
    <xf numFmtId="37" fontId="13" fillId="0" borderId="0" xfId="1" applyNumberFormat="1" applyFont="1" applyBorder="1" applyAlignment="1">
      <alignment horizontal="right" indent="1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14" fontId="13" fillId="0" borderId="0" xfId="0" applyNumberFormat="1" applyFont="1" applyAlignment="1">
      <alignment horizontal="right"/>
    </xf>
    <xf numFmtId="165" fontId="13" fillId="0" borderId="1" xfId="1" applyNumberFormat="1" applyFont="1" applyBorder="1" applyAlignment="1">
      <alignment horizontal="right"/>
    </xf>
    <xf numFmtId="16" fontId="13" fillId="0" borderId="0" xfId="0" applyNumberFormat="1" applyFont="1" applyBorder="1"/>
    <xf numFmtId="0" fontId="14" fillId="0" borderId="0" xfId="0" applyFont="1" applyBorder="1" applyAlignment="1">
      <alignment horizontal="center"/>
    </xf>
    <xf numFmtId="2" fontId="13" fillId="0" borderId="0" xfId="0" applyNumberFormat="1" applyFont="1" applyBorder="1" applyAlignment="1">
      <alignment horizontal="right" indent="2"/>
    </xf>
    <xf numFmtId="43" fontId="13" fillId="0" borderId="0" xfId="1" quotePrefix="1" applyFont="1" applyBorder="1" applyAlignment="1">
      <alignment horizontal="center"/>
    </xf>
    <xf numFmtId="173" fontId="13" fillId="0" borderId="0" xfId="0" applyNumberFormat="1" applyFont="1" applyBorder="1"/>
    <xf numFmtId="43" fontId="13" fillId="0" borderId="0" xfId="1" quotePrefix="1" applyNumberFormat="1" applyFont="1" applyBorder="1" applyAlignment="1">
      <alignment horizontal="center"/>
    </xf>
    <xf numFmtId="43" fontId="13" fillId="0" borderId="0" xfId="1" applyNumberFormat="1" applyFont="1" applyBorder="1" applyAlignment="1">
      <alignment horizontal="center"/>
    </xf>
    <xf numFmtId="2" fontId="13" fillId="0" borderId="1" xfId="0" applyNumberFormat="1" applyFont="1" applyBorder="1" applyAlignment="1">
      <alignment horizontal="right" indent="2"/>
    </xf>
    <xf numFmtId="43" fontId="13" fillId="0" borderId="0" xfId="1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indent="1"/>
    </xf>
    <xf numFmtId="0" fontId="13" fillId="0" borderId="3" xfId="0" applyFont="1" applyBorder="1" applyAlignment="1">
      <alignment horizontal="center"/>
    </xf>
    <xf numFmtId="0" fontId="14" fillId="0" borderId="3" xfId="0" applyFont="1" applyBorder="1" applyAlignment="1"/>
    <xf numFmtId="43" fontId="13" fillId="0" borderId="0" xfId="1" applyNumberFormat="1" applyFont="1" applyBorder="1"/>
    <xf numFmtId="43" fontId="13" fillId="0" borderId="0" xfId="0" applyNumberFormat="1" applyFont="1"/>
    <xf numFmtId="165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0" fontId="13" fillId="0" borderId="0" xfId="0" quotePrefix="1" applyFont="1" applyBorder="1"/>
    <xf numFmtId="0" fontId="13" fillId="0" borderId="1" xfId="0" quotePrefix="1" applyFont="1" applyBorder="1"/>
    <xf numFmtId="43" fontId="13" fillId="0" borderId="1" xfId="1" applyFont="1" applyBorder="1" applyAlignment="1">
      <alignment horizontal="center"/>
    </xf>
    <xf numFmtId="167" fontId="13" fillId="0" borderId="0" xfId="0" applyNumberFormat="1" applyFont="1"/>
    <xf numFmtId="2" fontId="13" fillId="0" borderId="0" xfId="0" applyNumberFormat="1" applyFont="1"/>
    <xf numFmtId="3" fontId="5" fillId="0" borderId="0" xfId="0" applyNumberFormat="1" applyFont="1" applyBorder="1" applyAlignment="1"/>
    <xf numFmtId="2" fontId="0" fillId="0" borderId="0" xfId="0" applyNumberFormat="1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4" xfId="0" applyNumberFormat="1" applyBorder="1" applyAlignment="1">
      <alignment wrapText="1"/>
    </xf>
    <xf numFmtId="2" fontId="13" fillId="0" borderId="0" xfId="0" applyNumberFormat="1" applyFont="1" applyBorder="1" applyAlignment="1">
      <alignment horizontal="center"/>
    </xf>
    <xf numFmtId="0" fontId="0" fillId="0" borderId="0" xfId="0" quotePrefix="1" applyAlignment="1" applyProtection="1">
      <alignment horizontal="left"/>
    </xf>
    <xf numFmtId="0" fontId="2" fillId="0" borderId="0" xfId="10"/>
    <xf numFmtId="0" fontId="5" fillId="0" borderId="0" xfId="10" applyFont="1"/>
    <xf numFmtId="2" fontId="5" fillId="0" borderId="0" xfId="10" quotePrefix="1" applyNumberFormat="1" applyFont="1"/>
    <xf numFmtId="2" fontId="2" fillId="0" borderId="0" xfId="10" applyNumberFormat="1" applyFont="1"/>
    <xf numFmtId="0" fontId="2" fillId="0" borderId="0" xfId="10" applyFont="1" applyBorder="1"/>
    <xf numFmtId="0" fontId="5" fillId="0" borderId="0" xfId="10" applyFont="1" applyBorder="1"/>
    <xf numFmtId="166" fontId="2" fillId="0" borderId="0" xfId="10" applyNumberFormat="1" applyBorder="1" applyAlignment="1">
      <alignment wrapText="1"/>
    </xf>
    <xf numFmtId="1" fontId="2" fillId="0" borderId="0" xfId="0" applyNumberFormat="1" applyFont="1"/>
    <xf numFmtId="14" fontId="0" fillId="0" borderId="0" xfId="0" applyNumberFormat="1"/>
    <xf numFmtId="169" fontId="0" fillId="0" borderId="0" xfId="12" applyNumberFormat="1" applyFont="1"/>
    <xf numFmtId="166" fontId="0" fillId="0" borderId="0" xfId="12" applyNumberFormat="1" applyFont="1"/>
    <xf numFmtId="0" fontId="2" fillId="0" borderId="0" xfId="0" quotePrefix="1" applyFont="1"/>
    <xf numFmtId="0" fontId="1" fillId="0" borderId="0" xfId="0" applyFont="1"/>
    <xf numFmtId="171" fontId="1" fillId="0" borderId="0" xfId="0" quotePrefix="1" applyNumberFormat="1" applyFont="1"/>
    <xf numFmtId="3" fontId="0" fillId="0" borderId="0" xfId="12" applyNumberFormat="1" applyFont="1"/>
    <xf numFmtId="17" fontId="13" fillId="0" borderId="0" xfId="0" applyNumberFormat="1" applyFont="1"/>
    <xf numFmtId="43" fontId="0" fillId="0" borderId="0" xfId="1" applyNumberFormat="1" applyFont="1"/>
    <xf numFmtId="17" fontId="2" fillId="0" borderId="0" xfId="0" quotePrefix="1" applyNumberFormat="1" applyFont="1"/>
    <xf numFmtId="0" fontId="14" fillId="0" borderId="3" xfId="0" quotePrefix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</cellXfs>
  <cellStyles count="13">
    <cellStyle name="Comma" xfId="1" builtinId="3"/>
    <cellStyle name="Comma 2" xfId="2"/>
    <cellStyle name="Comma 3" xfId="3"/>
    <cellStyle name="Hyperlink" xfId="4" builtinId="8"/>
    <cellStyle name="Hyperlink 2" xfId="5"/>
    <cellStyle name="Hyperlink 3" xfId="6"/>
    <cellStyle name="Normal" xfId="0" builtinId="0"/>
    <cellStyle name="Normal 2" xfId="7"/>
    <cellStyle name="Normal 2 2" xfId="8"/>
    <cellStyle name="Normal 3" xfId="9"/>
    <cellStyle name="Normal 4" xfId="10"/>
    <cellStyle name="Normal 5" xfId="11"/>
    <cellStyle name="Percent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Brazil soybean exports benefit from the lack </a:t>
            </a:r>
            <a:r>
              <a:rPr lang="en-US" baseline="0"/>
              <a:t>of a U.S. seasonal expansion</a:t>
            </a:r>
            <a:endParaRPr lang="en-US"/>
          </a:p>
        </c:rich>
      </c:tx>
      <c:layout>
        <c:manualLayout>
          <c:xMode val="edge"/>
          <c:yMode val="edge"/>
          <c:x val="3.9951743378178958E-2"/>
          <c:y val="3.80110152134873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Cover!$B$2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Cover!$A$4:$A$29</c:f>
              <c:numCache>
                <c:formatCode>mmm\-yy</c:formatCode>
                <c:ptCount val="26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</c:numCache>
            </c:numRef>
          </c:cat>
          <c:val>
            <c:numRef>
              <c:f>Cover!$B$4:$B$29</c:f>
              <c:numCache>
                <c:formatCode>_(* #,##0_);_(* \(#,##0\);_(* "-"??_);_(@_)</c:formatCode>
                <c:ptCount val="26"/>
                <c:pt idx="0">
                  <c:v>11.313574300000001</c:v>
                </c:pt>
                <c:pt idx="1">
                  <c:v>10.298568</c:v>
                </c:pt>
                <c:pt idx="2">
                  <c:v>7.9201182000000001</c:v>
                </c:pt>
                <c:pt idx="3">
                  <c:v>7.4229987999999993</c:v>
                </c:pt>
                <c:pt idx="4">
                  <c:v>4.4160457000000006</c:v>
                </c:pt>
                <c:pt idx="5">
                  <c:v>3.1206011000000005</c:v>
                </c:pt>
                <c:pt idx="6">
                  <c:v>2.4325142</c:v>
                </c:pt>
                <c:pt idx="7">
                  <c:v>1.4499701</c:v>
                </c:pt>
                <c:pt idx="8">
                  <c:v>1.7954512999999999</c:v>
                </c:pt>
                <c:pt idx="9" formatCode="_(* #,##0.0_);_(* \(#,##0.0\);_(* &quot;-&quot;??_);_(@_)">
                  <c:v>2.2629627000000001</c:v>
                </c:pt>
                <c:pt idx="10" formatCode="_(* #,##0.0_);_(* \(#,##0.0\);_(* &quot;-&quot;??_);_(@_)">
                  <c:v>3.0762605999999999</c:v>
                </c:pt>
                <c:pt idx="11" formatCode="_(* #,##0.0_);_(* \(#,##0.0\);_(* &quot;-&quot;??_);_(@_)">
                  <c:v>4.4654433999999998</c:v>
                </c:pt>
                <c:pt idx="12" formatCode="_(* #,##0.0_);_(* \(#,##0.0\);_(* &quot;-&quot;??_);_(@_)">
                  <c:v>9.6454791000000011</c:v>
                </c:pt>
                <c:pt idx="13" formatCode="_(* #,##0.0_);_(* \(#,##0.0\);_(* &quot;-&quot;??_);_(@_)">
                  <c:v>9.1891700000000007</c:v>
                </c:pt>
                <c:pt idx="14" formatCode="_(* #,##0.0_);_(* \(#,##0.0\);_(* &quot;-&quot;??_);_(@_)">
                  <c:v>6.2222410999999989</c:v>
                </c:pt>
                <c:pt idx="15" formatCode="_(* #,##0.0_);_(* \(#,##0.0\);_(* &quot;-&quot;??_);_(@_)">
                  <c:v>5.7628567999999998</c:v>
                </c:pt>
                <c:pt idx="16" formatCode="_(* #,##0.0_);_(* \(#,##0.0\);_(* &quot;-&quot;??_);_(@_)">
                  <c:v>4.2128249999999996</c:v>
                </c:pt>
                <c:pt idx="17" formatCode="_(* #,##0.0_);_(* \(#,##0.0\);_(* &quot;-&quot;??_);_(@_)">
                  <c:v>3.2385679000000001</c:v>
                </c:pt>
                <c:pt idx="18" formatCode="_(* #,##0.0_);_(* \(#,##0.0\);_(* &quot;-&quot;??_);_(@_)">
                  <c:v>2.1673659999999999</c:v>
                </c:pt>
                <c:pt idx="19" formatCode="_(* #,##0.00_);_(* \(#,##0.00\);_(* &quot;-&quot;??_);_(@_)">
                  <c:v>2.9907947999999998</c:v>
                </c:pt>
                <c:pt idx="20" formatCode="_(* #,##0.00_);_(* \(#,##0.00\);_(* &quot;-&quot;??_);_(@_)">
                  <c:v>3.2557830999999999</c:v>
                </c:pt>
                <c:pt idx="21" formatCode="_(* #,##0.00_);_(* \(#,##0.00\);_(* &quot;-&quot;??_);_(@_)">
                  <c:v>3.4266052</c:v>
                </c:pt>
                <c:pt idx="22" formatCode="_(* #,##0.00_);_(* \(#,##0.00\);_(* &quot;-&quot;??_);_(@_)">
                  <c:v>3.3675098999999999</c:v>
                </c:pt>
                <c:pt idx="23" formatCode="_(* #,##0.00_);_(* \(#,##0.00\);_(* &quot;-&quot;??_);_(@_)">
                  <c:v>3.2373094</c:v>
                </c:pt>
                <c:pt idx="24" formatCode="_(* #,##0.00_);_(* \(#,##0.00\);_(* &quot;-&quot;??_);_(@_)">
                  <c:v>5.5801458820000001</c:v>
                </c:pt>
                <c:pt idx="25" formatCode="_(* #,##0.00_);_(* \(#,##0.00\);_(* &quot;-&quot;??_);_(@_)">
                  <c:v>4.5283600000000002</c:v>
                </c:pt>
              </c:numCache>
            </c:numRef>
          </c:val>
        </c:ser>
        <c:ser>
          <c:idx val="0"/>
          <c:order val="1"/>
          <c:tx>
            <c:strRef>
              <c:f>Cover!$C$2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Cover!$A$4:$A$29</c:f>
              <c:numCache>
                <c:formatCode>mmm\-yy</c:formatCode>
                <c:ptCount val="26"/>
                <c:pt idx="0">
                  <c:v>42644</c:v>
                </c:pt>
                <c:pt idx="1">
                  <c:v>42675</c:v>
                </c:pt>
                <c:pt idx="2">
                  <c:v>42705</c:v>
                </c:pt>
                <c:pt idx="3">
                  <c:v>42736</c:v>
                </c:pt>
                <c:pt idx="4">
                  <c:v>42767</c:v>
                </c:pt>
                <c:pt idx="5">
                  <c:v>42795</c:v>
                </c:pt>
                <c:pt idx="6">
                  <c:v>42826</c:v>
                </c:pt>
                <c:pt idx="7">
                  <c:v>42856</c:v>
                </c:pt>
                <c:pt idx="8">
                  <c:v>42887</c:v>
                </c:pt>
                <c:pt idx="9">
                  <c:v>42917</c:v>
                </c:pt>
                <c:pt idx="10">
                  <c:v>42948</c:v>
                </c:pt>
                <c:pt idx="11">
                  <c:v>42979</c:v>
                </c:pt>
                <c:pt idx="12">
                  <c:v>43009</c:v>
                </c:pt>
                <c:pt idx="13">
                  <c:v>43040</c:v>
                </c:pt>
                <c:pt idx="14">
                  <c:v>43070</c:v>
                </c:pt>
                <c:pt idx="15">
                  <c:v>43101</c:v>
                </c:pt>
                <c:pt idx="16">
                  <c:v>43132</c:v>
                </c:pt>
                <c:pt idx="17">
                  <c:v>43160</c:v>
                </c:pt>
                <c:pt idx="18">
                  <c:v>43191</c:v>
                </c:pt>
                <c:pt idx="19">
                  <c:v>43221</c:v>
                </c:pt>
                <c:pt idx="20">
                  <c:v>43252</c:v>
                </c:pt>
                <c:pt idx="21">
                  <c:v>43282</c:v>
                </c:pt>
                <c:pt idx="22">
                  <c:v>43313</c:v>
                </c:pt>
                <c:pt idx="23">
                  <c:v>43344</c:v>
                </c:pt>
                <c:pt idx="24">
                  <c:v>43374</c:v>
                </c:pt>
                <c:pt idx="25">
                  <c:v>43405</c:v>
                </c:pt>
              </c:numCache>
            </c:numRef>
          </c:cat>
          <c:val>
            <c:numRef>
              <c:f>Cover!$C$4:$C$29</c:f>
              <c:numCache>
                <c:formatCode>_(* #,##0_);_(* \(#,##0\);_(* "-"??_);_(@_)</c:formatCode>
                <c:ptCount val="26"/>
                <c:pt idx="0">
                  <c:v>0.99819153500000002</c:v>
                </c:pt>
                <c:pt idx="1">
                  <c:v>0.31609430500000002</c:v>
                </c:pt>
                <c:pt idx="2">
                  <c:v>0.65309839299999994</c:v>
                </c:pt>
                <c:pt idx="3">
                  <c:v>0.91182694900000005</c:v>
                </c:pt>
                <c:pt idx="4">
                  <c:v>3.5094472720000001</c:v>
                </c:pt>
                <c:pt idx="5">
                  <c:v>8.9791274420000011</c:v>
                </c:pt>
                <c:pt idx="6">
                  <c:v>10.432129072</c:v>
                </c:pt>
                <c:pt idx="7">
                  <c:v>10.959858431000001</c:v>
                </c:pt>
                <c:pt idx="8" formatCode="_(* #,##0.0_);_(* \(#,##0.0\);_(* &quot;-&quot;??_);_(@_)">
                  <c:v>9.1970208000000007</c:v>
                </c:pt>
                <c:pt idx="9" formatCode="_(* #,##0.0_);_(* \(#,##0.0\);_(* &quot;-&quot;??_);_(@_)">
                  <c:v>6.9552204370000004</c:v>
                </c:pt>
                <c:pt idx="10" formatCode="_(* #,##0.0_);_(* \(#,##0.0\);_(* &quot;-&quot;??_);_(@_)">
                  <c:v>5.9524113060000001</c:v>
                </c:pt>
                <c:pt idx="11" formatCode="_(* #,##0.0_);_(* \(#,##0.0\);_(* &quot;-&quot;??_);_(@_)">
                  <c:v>4.2724629279999995</c:v>
                </c:pt>
                <c:pt idx="12" formatCode="_(* #,##0.0_);_(* \(#,##0.0\);_(* &quot;-&quot;??_);_(@_)">
                  <c:v>2.4869381260000001</c:v>
                </c:pt>
                <c:pt idx="13" formatCode="_(* #,##0.0_);_(* \(#,##0.0\);_(* &quot;-&quot;??_);_(@_)">
                  <c:v>2.1427293779999999</c:v>
                </c:pt>
                <c:pt idx="14" formatCode="_(* #,##0.0_);_(* \(#,##0.0\);_(* &quot;-&quot;??_);_(@_)">
                  <c:v>2.3556365709999998</c:v>
                </c:pt>
                <c:pt idx="15" formatCode="_(* #,##0.0_);_(* \(#,##0.0\);_(* &quot;-&quot;??_);_(@_)">
                  <c:v>1.563589001</c:v>
                </c:pt>
                <c:pt idx="16" formatCode="_(* #,##0.0_);_(* \(#,##0.0\);_(* &quot;-&quot;??_);_(@_)">
                  <c:v>2.8642527229999999</c:v>
                </c:pt>
                <c:pt idx="17" formatCode="_(* #,##0.0_);_(* \(#,##0.0\);_(* &quot;-&quot;??_);_(@_)">
                  <c:v>8.8137597729999992</c:v>
                </c:pt>
                <c:pt idx="18" formatCode="_(* #,##0.0_);_(* \(#,##0.0\);_(* &quot;-&quot;??_);_(@_)">
                  <c:v>10.258699613999999</c:v>
                </c:pt>
                <c:pt idx="19" formatCode="_(* #,##0.00_);_(* \(#,##0.00\);_(* &quot;-&quot;??_);_(@_)">
                  <c:v>12.353479438000001</c:v>
                </c:pt>
                <c:pt idx="20" formatCode="_(* #,##0.00_);_(* \(#,##0.00\);_(* &quot;-&quot;??_);_(@_)">
                  <c:v>10.420130276</c:v>
                </c:pt>
                <c:pt idx="21" formatCode="_(* #,##0.00_);_(* \(#,##0.00\);_(* &quot;-&quot;??_);_(@_)">
                  <c:v>10.198036004</c:v>
                </c:pt>
                <c:pt idx="22" formatCode="_(* #,##0.00_);_(* \(#,##0.00\);_(* &quot;-&quot;??_);_(@_)">
                  <c:v>8.1252288230000005</c:v>
                </c:pt>
                <c:pt idx="23" formatCode="_(* #,##0.00_);_(* \(#,##0.00\);_(* &quot;-&quot;??_);_(@_)">
                  <c:v>4.6108046680000001</c:v>
                </c:pt>
                <c:pt idx="24" formatCode="_(* #,##0.00_);_(* \(#,##0.00\);_(* &quot;-&quot;??_);_(@_)">
                  <c:v>5.3533869709999999</c:v>
                </c:pt>
                <c:pt idx="25" formatCode="_(* #,##0.00_);_(* \(#,##0.00\);_(* &quot;-&quot;??_);_(@_)">
                  <c:v>5.0715680329999993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18040"/>
        <c:axId val="237618432"/>
      </c:barChart>
      <c:dateAx>
        <c:axId val="237618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Sources: USDA, Foreign Agricultural Statistics Service,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Global Agricultural Trade System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and Brazil customs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 </a:t>
                </a:r>
              </a:p>
            </c:rich>
          </c:tx>
          <c:layout>
            <c:manualLayout>
              <c:xMode val="edge"/>
              <c:yMode val="edge"/>
              <c:x val="4.1945775929855551E-2"/>
              <c:y val="0.92290239463774126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18432"/>
        <c:crosses val="autoZero"/>
        <c:auto val="1"/>
        <c:lblOffset val="100"/>
        <c:baseTimeUnit val="months"/>
      </c:dateAx>
      <c:valAx>
        <c:axId val="237618432"/>
        <c:scaling>
          <c:orientation val="minMax"/>
          <c:max val="15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3498605082025479E-2"/>
              <c:y val="0.12330720673645772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18040"/>
        <c:crosses val="autoZero"/>
        <c:crossBetween val="between"/>
        <c:majorUnit val="5"/>
        <c:minorUnit val="1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653367371486225"/>
          <c:y val="0.20278563577722122"/>
          <c:w val="0.12777250831941894"/>
          <c:h val="4.76914187984603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Decline in cottonseed supplie</a:t>
            </a:r>
            <a:r>
              <a:rPr lang="en-US" baseline="0"/>
              <a:t>s likely to temper use </a:t>
            </a:r>
            <a:endParaRPr lang="en-US"/>
          </a:p>
        </c:rich>
      </c:tx>
      <c:layout>
        <c:manualLayout>
          <c:xMode val="edge"/>
          <c:yMode val="edge"/>
          <c:x val="2.4326560361638695E-2"/>
          <c:y val="4.05219469517529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203390556188967E-2"/>
          <c:y val="0.19511964750582575"/>
          <c:w val="0.74789475912285153"/>
          <c:h val="0.661615896962091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'Oil Crops Chart Gallery Fig 1'!$B$2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'Oil Crops Chart Gallery Fig 1'!$A$4:$A$12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'Oil Crops Chart Gallery Fig 1'!$B$4:$B$12</c:f>
              <c:numCache>
                <c:formatCode>0.0</c:formatCode>
                <c:ptCount val="9"/>
                <c:pt idx="0">
                  <c:v>6096.1</c:v>
                </c:pt>
                <c:pt idx="1">
                  <c:v>5370</c:v>
                </c:pt>
                <c:pt idx="2">
                  <c:v>5666</c:v>
                </c:pt>
                <c:pt idx="3">
                  <c:v>4203</c:v>
                </c:pt>
                <c:pt idx="4">
                  <c:v>5125</c:v>
                </c:pt>
                <c:pt idx="5">
                  <c:v>4043</c:v>
                </c:pt>
                <c:pt idx="6">
                  <c:v>5369</c:v>
                </c:pt>
                <c:pt idx="7">
                  <c:v>6422</c:v>
                </c:pt>
                <c:pt idx="8">
                  <c:v>5858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21176"/>
        <c:axId val="237619216"/>
      </c:barChart>
      <c:lineChart>
        <c:grouping val="standard"/>
        <c:varyColors val="0"/>
        <c:ser>
          <c:idx val="1"/>
          <c:order val="1"/>
          <c:tx>
            <c:strRef>
              <c:f>'Oil Crops Chart Gallery Fig 1'!$C$2</c:f>
              <c:strCache>
                <c:ptCount val="1"/>
                <c:pt idx="0">
                  <c:v>Crush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'Oil Crops Chart Gallery Fig 1'!$A$4:$A$12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'Oil Crops Chart Gallery Fig 1'!$C$4:$C$12</c:f>
              <c:numCache>
                <c:formatCode>0.0</c:formatCode>
                <c:ptCount val="9"/>
                <c:pt idx="0">
                  <c:v>2562.5510700000004</c:v>
                </c:pt>
                <c:pt idx="1">
                  <c:v>2400</c:v>
                </c:pt>
                <c:pt idx="2">
                  <c:v>2500</c:v>
                </c:pt>
                <c:pt idx="3">
                  <c:v>2000</c:v>
                </c:pt>
                <c:pt idx="4">
                  <c:v>1900</c:v>
                </c:pt>
                <c:pt idx="5">
                  <c:v>1500.181</c:v>
                </c:pt>
                <c:pt idx="6">
                  <c:v>1769.4399999999998</c:v>
                </c:pt>
                <c:pt idx="7">
                  <c:v>1853.576</c:v>
                </c:pt>
                <c:pt idx="8">
                  <c:v>1800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'Oil Crops Chart Gallery Fig 1'!$D$2</c:f>
              <c:strCache>
                <c:ptCount val="1"/>
                <c:pt idx="0">
                  <c:v>Feed &amp; other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'Oil Crops Chart Gallery Fig 1'!$A$4:$A$12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'Oil Crops Chart Gallery Fig 1'!$D$4:$D$12</c:f>
              <c:numCache>
                <c:formatCode>0.0</c:formatCode>
                <c:ptCount val="9"/>
                <c:pt idx="0">
                  <c:v>2982.7006398487019</c:v>
                </c:pt>
                <c:pt idx="1">
                  <c:v>3120.1660962219903</c:v>
                </c:pt>
                <c:pt idx="2">
                  <c:v>3004.1252187691671</c:v>
                </c:pt>
                <c:pt idx="3">
                  <c:v>2141.6738024460892</c:v>
                </c:pt>
                <c:pt idx="4">
                  <c:v>3044.8538978358692</c:v>
                </c:pt>
                <c:pt idx="5">
                  <c:v>2469.0775520124048</c:v>
                </c:pt>
                <c:pt idx="6">
                  <c:v>3299.9844832140616</c:v>
                </c:pt>
                <c:pt idx="7">
                  <c:v>4040.0387247054159</c:v>
                </c:pt>
                <c:pt idx="8">
                  <c:v>3683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'Oil Crops Chart Gallery Fig 1'!$E$2</c:f>
              <c:strCache>
                <c:ptCount val="1"/>
                <c:pt idx="0">
                  <c:v>Exports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'Oil Crops Chart Gallery Fig 1'!$A$4:$A$12</c:f>
              <c:strCache>
                <c:ptCount val="9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</c:strCache>
            </c:strRef>
          </c:cat>
          <c:val>
            <c:numRef>
              <c:f>'Oil Crops Chart Gallery Fig 1'!$E$4:$E$12</c:f>
              <c:numCache>
                <c:formatCode>0.0</c:formatCode>
                <c:ptCount val="9"/>
                <c:pt idx="0">
                  <c:v>275.15730984531302</c:v>
                </c:pt>
                <c:pt idx="1">
                  <c:v>132.68900780534699</c:v>
                </c:pt>
                <c:pt idx="2">
                  <c:v>191.37798110346301</c:v>
                </c:pt>
                <c:pt idx="3">
                  <c:v>218.92546272334502</c:v>
                </c:pt>
                <c:pt idx="4">
                  <c:v>228.13998571249201</c:v>
                </c:pt>
                <c:pt idx="5">
                  <c:v>136.11302056359</c:v>
                </c:pt>
                <c:pt idx="6">
                  <c:v>341.65464751467005</c:v>
                </c:pt>
                <c:pt idx="7">
                  <c:v>478.38527529458401</c:v>
                </c:pt>
                <c:pt idx="8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21176"/>
        <c:axId val="237619216"/>
      </c:lineChart>
      <c:catAx>
        <c:axId val="237621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Sources:  USDA, National Agricultural Service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, Crop Production 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and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Oilseed Crushings, Production, Consumption, and Stocks</a:t>
                </a: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and Foreign Agricultural Service, Global Agricultural Trade System.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.</a:t>
                </a:r>
              </a:p>
            </c:rich>
          </c:tx>
          <c:layout>
            <c:manualLayout>
              <c:xMode val="edge"/>
              <c:yMode val="edge"/>
              <c:x val="4.1945901518587875E-2"/>
              <c:y val="0.9288620020058469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19216"/>
        <c:crosses val="autoZero"/>
        <c:auto val="1"/>
        <c:lblAlgn val="ctr"/>
        <c:lblOffset val="100"/>
        <c:noMultiLvlLbl val="0"/>
      </c:catAx>
      <c:valAx>
        <c:axId val="237619216"/>
        <c:scaling>
          <c:orientation val="minMax"/>
          <c:max val="7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short tons</a:t>
                </a:r>
              </a:p>
            </c:rich>
          </c:tx>
          <c:layout>
            <c:manualLayout>
              <c:xMode val="edge"/>
              <c:yMode val="edge"/>
              <c:x val="2.6313867339699232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21176"/>
        <c:crosses val="autoZero"/>
        <c:crossBetween val="between"/>
        <c:majorUnit val="1000"/>
        <c:minorUnit val="250"/>
      </c:valAx>
      <c:spPr>
        <a:ln>
          <a:solidFill>
            <a:prstClr val="black"/>
          </a:solidFill>
        </a:ln>
      </c:spPr>
    </c:plotArea>
    <c:legend>
      <c:legendPos val="t"/>
      <c:layout>
        <c:manualLayout>
          <c:xMode val="edge"/>
          <c:yMode val="edge"/>
          <c:x val="0.10754502068334515"/>
          <c:y val="0.20596205962059622"/>
          <c:w val="0.54115353749171313"/>
          <c:h val="4.023195271322792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High global stocks pressure palm oil prices toward a</a:t>
            </a:r>
            <a:r>
              <a:rPr lang="en-US" baseline="0"/>
              <a:t> </a:t>
            </a:r>
            <a:r>
              <a:rPr lang="en-US"/>
              <a:t>decade-low level </a:t>
            </a:r>
          </a:p>
        </c:rich>
      </c:tx>
      <c:layout>
        <c:manualLayout>
          <c:xMode val="edge"/>
          <c:yMode val="edge"/>
          <c:x val="4.5455290691403298E-2"/>
          <c:y val="3.801102843795901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036488153600843E-2"/>
          <c:y val="0.18703442093917655"/>
          <c:w val="0.74789475912285153"/>
          <c:h val="0.66161589696209167"/>
        </c:manualLayout>
      </c:layout>
      <c:lineChart>
        <c:grouping val="standard"/>
        <c:varyColors val="0"/>
        <c:ser>
          <c:idx val="1"/>
          <c:order val="0"/>
          <c:tx>
            <c:strRef>
              <c:f>'Oil Crops Chart Gallery Fig 2'!$B$2:$B$3</c:f>
              <c:strCache>
                <c:ptCount val="2"/>
                <c:pt idx="0">
                  <c:v>Refined, bleached, deodorized palm oil</c:v>
                </c:pt>
                <c:pt idx="1">
                  <c:v>FOB Malaysia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cat>
            <c:numRef>
              <c:f>'Oil Crops Chart Gallery Fig 2'!$A$5:$A$135</c:f>
              <c:numCache>
                <c:formatCode>mmm\-yy</c:formatCode>
                <c:ptCount val="13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</c:numCache>
            </c:numRef>
          </c:cat>
          <c:val>
            <c:numRef>
              <c:f>'Oil Crops Chart Gallery Fig 2'!$B$5:$B$135</c:f>
              <c:numCache>
                <c:formatCode>#,##0</c:formatCode>
                <c:ptCount val="131"/>
                <c:pt idx="0">
                  <c:v>1053</c:v>
                </c:pt>
                <c:pt idx="1">
                  <c:v>1192</c:v>
                </c:pt>
                <c:pt idx="2">
                  <c:v>1291</c:v>
                </c:pt>
                <c:pt idx="3">
                  <c:v>1247</c:v>
                </c:pt>
                <c:pt idx="4">
                  <c:v>1250</c:v>
                </c:pt>
                <c:pt idx="5">
                  <c:v>1199</c:v>
                </c:pt>
                <c:pt idx="6">
                  <c:v>1115</c:v>
                </c:pt>
                <c:pt idx="7">
                  <c:v>879</c:v>
                </c:pt>
                <c:pt idx="8">
                  <c:v>743</c:v>
                </c:pt>
                <c:pt idx="9">
                  <c:v>564</c:v>
                </c:pt>
                <c:pt idx="10">
                  <c:v>489</c:v>
                </c:pt>
                <c:pt idx="11">
                  <c:v>511</c:v>
                </c:pt>
                <c:pt idx="12">
                  <c:v>566</c:v>
                </c:pt>
                <c:pt idx="13">
                  <c:v>577</c:v>
                </c:pt>
                <c:pt idx="14">
                  <c:v>595</c:v>
                </c:pt>
                <c:pt idx="15">
                  <c:v>716</c:v>
                </c:pt>
                <c:pt idx="16">
                  <c:v>799</c:v>
                </c:pt>
                <c:pt idx="17">
                  <c:v>732</c:v>
                </c:pt>
                <c:pt idx="18">
                  <c:v>647</c:v>
                </c:pt>
                <c:pt idx="19">
                  <c:v>719</c:v>
                </c:pt>
                <c:pt idx="20">
                  <c:v>675</c:v>
                </c:pt>
                <c:pt idx="21">
                  <c:v>663</c:v>
                </c:pt>
                <c:pt idx="22">
                  <c:v>703</c:v>
                </c:pt>
                <c:pt idx="23">
                  <c:v>766</c:v>
                </c:pt>
                <c:pt idx="24">
                  <c:v>774</c:v>
                </c:pt>
                <c:pt idx="25">
                  <c:v>778</c:v>
                </c:pt>
                <c:pt idx="26">
                  <c:v>809</c:v>
                </c:pt>
                <c:pt idx="27">
                  <c:v>811</c:v>
                </c:pt>
                <c:pt idx="28">
                  <c:v>798</c:v>
                </c:pt>
                <c:pt idx="29">
                  <c:v>787</c:v>
                </c:pt>
                <c:pt idx="30">
                  <c:v>801</c:v>
                </c:pt>
                <c:pt idx="31">
                  <c:v>915</c:v>
                </c:pt>
                <c:pt idx="32">
                  <c:v>906</c:v>
                </c:pt>
                <c:pt idx="33">
                  <c:v>997</c:v>
                </c:pt>
                <c:pt idx="34">
                  <c:v>1107</c:v>
                </c:pt>
                <c:pt idx="35">
                  <c:v>1196</c:v>
                </c:pt>
                <c:pt idx="36">
                  <c:v>1256</c:v>
                </c:pt>
                <c:pt idx="37">
                  <c:v>1282</c:v>
                </c:pt>
                <c:pt idx="38">
                  <c:v>1196</c:v>
                </c:pt>
                <c:pt idx="39">
                  <c:v>1167</c:v>
                </c:pt>
                <c:pt idx="40">
                  <c:v>1199</c:v>
                </c:pt>
                <c:pt idx="41">
                  <c:v>1123</c:v>
                </c:pt>
                <c:pt idx="42">
                  <c:v>1123</c:v>
                </c:pt>
                <c:pt idx="43">
                  <c:v>1133</c:v>
                </c:pt>
                <c:pt idx="44">
                  <c:v>1066</c:v>
                </c:pt>
                <c:pt idx="45">
                  <c:v>970</c:v>
                </c:pt>
                <c:pt idx="46">
                  <c:v>1034</c:v>
                </c:pt>
                <c:pt idx="47">
                  <c:v>1053</c:v>
                </c:pt>
                <c:pt idx="48">
                  <c:v>1056</c:v>
                </c:pt>
                <c:pt idx="49">
                  <c:v>1070</c:v>
                </c:pt>
                <c:pt idx="50">
                  <c:v>1126</c:v>
                </c:pt>
                <c:pt idx="51">
                  <c:v>1166</c:v>
                </c:pt>
                <c:pt idx="52">
                  <c:v>1062</c:v>
                </c:pt>
                <c:pt idx="53">
                  <c:v>965</c:v>
                </c:pt>
                <c:pt idx="54">
                  <c:v>990</c:v>
                </c:pt>
                <c:pt idx="55">
                  <c:v>960</c:v>
                </c:pt>
                <c:pt idx="56">
                  <c:v>935</c:v>
                </c:pt>
                <c:pt idx="57">
                  <c:v>823</c:v>
                </c:pt>
                <c:pt idx="58">
                  <c:v>799</c:v>
                </c:pt>
                <c:pt idx="59">
                  <c:v>763</c:v>
                </c:pt>
                <c:pt idx="60">
                  <c:v>812</c:v>
                </c:pt>
                <c:pt idx="61">
                  <c:v>828</c:v>
                </c:pt>
                <c:pt idx="62">
                  <c:v>804</c:v>
                </c:pt>
                <c:pt idx="63">
                  <c:v>793</c:v>
                </c:pt>
                <c:pt idx="64">
                  <c:v>795</c:v>
                </c:pt>
                <c:pt idx="65">
                  <c:v>796</c:v>
                </c:pt>
                <c:pt idx="66">
                  <c:v>765</c:v>
                </c:pt>
                <c:pt idx="67">
                  <c:v>757</c:v>
                </c:pt>
                <c:pt idx="68">
                  <c:v>760</c:v>
                </c:pt>
                <c:pt idx="69">
                  <c:v>795</c:v>
                </c:pt>
                <c:pt idx="70">
                  <c:v>835</c:v>
                </c:pt>
                <c:pt idx="71">
                  <c:v>813</c:v>
                </c:pt>
                <c:pt idx="72">
                  <c:v>796</c:v>
                </c:pt>
                <c:pt idx="73">
                  <c:v>846</c:v>
                </c:pt>
                <c:pt idx="74">
                  <c:v>890</c:v>
                </c:pt>
                <c:pt idx="75">
                  <c:v>858</c:v>
                </c:pt>
                <c:pt idx="76">
                  <c:v>828</c:v>
                </c:pt>
                <c:pt idx="77">
                  <c:v>793</c:v>
                </c:pt>
                <c:pt idx="78">
                  <c:v>782</c:v>
                </c:pt>
                <c:pt idx="79">
                  <c:v>701</c:v>
                </c:pt>
                <c:pt idx="80">
                  <c:v>694</c:v>
                </c:pt>
                <c:pt idx="81">
                  <c:v>693</c:v>
                </c:pt>
                <c:pt idx="82">
                  <c:v>693</c:v>
                </c:pt>
                <c:pt idx="83">
                  <c:v>656</c:v>
                </c:pt>
                <c:pt idx="84">
                  <c:v>652</c:v>
                </c:pt>
                <c:pt idx="85">
                  <c:v>662</c:v>
                </c:pt>
                <c:pt idx="86">
                  <c:v>629</c:v>
                </c:pt>
                <c:pt idx="87">
                  <c:v>610</c:v>
                </c:pt>
                <c:pt idx="88">
                  <c:v>628</c:v>
                </c:pt>
                <c:pt idx="89">
                  <c:v>638</c:v>
                </c:pt>
                <c:pt idx="90">
                  <c:v>610</c:v>
                </c:pt>
                <c:pt idx="91">
                  <c:v>524</c:v>
                </c:pt>
                <c:pt idx="92">
                  <c:v>521</c:v>
                </c:pt>
                <c:pt idx="93">
                  <c:v>565</c:v>
                </c:pt>
                <c:pt idx="94">
                  <c:v>541</c:v>
                </c:pt>
                <c:pt idx="95">
                  <c:v>539</c:v>
                </c:pt>
                <c:pt idx="96">
                  <c:v>550</c:v>
                </c:pt>
                <c:pt idx="97">
                  <c:v>613</c:v>
                </c:pt>
                <c:pt idx="98">
                  <c:v>654</c:v>
                </c:pt>
                <c:pt idx="99">
                  <c:v>707</c:v>
                </c:pt>
                <c:pt idx="100">
                  <c:v>686</c:v>
                </c:pt>
                <c:pt idx="101">
                  <c:v>640</c:v>
                </c:pt>
                <c:pt idx="102">
                  <c:v>615</c:v>
                </c:pt>
                <c:pt idx="103">
                  <c:v>704</c:v>
                </c:pt>
                <c:pt idx="104">
                  <c:v>716</c:v>
                </c:pt>
                <c:pt idx="105">
                  <c:v>677</c:v>
                </c:pt>
                <c:pt idx="106">
                  <c:v>708</c:v>
                </c:pt>
                <c:pt idx="107">
                  <c:v>745</c:v>
                </c:pt>
                <c:pt idx="108">
                  <c:v>759</c:v>
                </c:pt>
                <c:pt idx="109">
                  <c:v>740</c:v>
                </c:pt>
                <c:pt idx="110">
                  <c:v>713</c:v>
                </c:pt>
                <c:pt idx="111">
                  <c:v>681</c:v>
                </c:pt>
                <c:pt idx="112">
                  <c:v>698</c:v>
                </c:pt>
                <c:pt idx="113">
                  <c:v>670</c:v>
                </c:pt>
                <c:pt idx="114">
                  <c:v>658</c:v>
                </c:pt>
                <c:pt idx="115">
                  <c:v>651</c:v>
                </c:pt>
                <c:pt idx="116">
                  <c:v>690</c:v>
                </c:pt>
                <c:pt idx="117">
                  <c:v>681</c:v>
                </c:pt>
                <c:pt idx="118">
                  <c:v>670</c:v>
                </c:pt>
                <c:pt idx="119">
                  <c:v>619</c:v>
                </c:pt>
                <c:pt idx="120">
                  <c:v>650</c:v>
                </c:pt>
                <c:pt idx="121">
                  <c:v>654</c:v>
                </c:pt>
                <c:pt idx="122">
                  <c:v>658</c:v>
                </c:pt>
                <c:pt idx="123">
                  <c:v>651</c:v>
                </c:pt>
                <c:pt idx="124">
                  <c:v>639</c:v>
                </c:pt>
                <c:pt idx="125">
                  <c:v>605</c:v>
                </c:pt>
                <c:pt idx="126">
                  <c:v>570</c:v>
                </c:pt>
                <c:pt idx="127">
                  <c:v>559</c:v>
                </c:pt>
                <c:pt idx="128">
                  <c:v>552</c:v>
                </c:pt>
                <c:pt idx="129">
                  <c:v>539</c:v>
                </c:pt>
                <c:pt idx="130">
                  <c:v>492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619608"/>
        <c:axId val="237615688"/>
      </c:lineChart>
      <c:catAx>
        <c:axId val="237619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Source: USDA, Foreign Agricultural Statistics Service, Oilseeds: 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World Markets and Trade.</a:t>
                </a:r>
              </a:p>
            </c:rich>
          </c:tx>
          <c:layout>
            <c:manualLayout>
              <c:xMode val="edge"/>
              <c:yMode val="edge"/>
              <c:x val="4.1945852658828602E-2"/>
              <c:y val="0.92886200004815922"/>
            </c:manualLayout>
          </c:layout>
          <c:overlay val="0"/>
        </c:title>
        <c:numFmt formatCode="[$-409]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15688"/>
        <c:crosses val="autoZero"/>
        <c:auto val="0"/>
        <c:lblAlgn val="ctr"/>
        <c:lblOffset val="100"/>
        <c:noMultiLvlLbl val="0"/>
      </c:catAx>
      <c:valAx>
        <c:axId val="237615688"/>
        <c:scaling>
          <c:orientation val="minMax"/>
          <c:max val="1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$/Metric ton</a:t>
                </a:r>
              </a:p>
            </c:rich>
          </c:tx>
          <c:layout>
            <c:manualLayout>
              <c:xMode val="edge"/>
              <c:yMode val="edge"/>
              <c:x val="4.5338942221263438E-2"/>
              <c:y val="0.12330708661417324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spPr>
          <a:ln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7619608"/>
        <c:crosses val="autoZero"/>
        <c:crossBetween val="between"/>
        <c:majorUnit val="500"/>
        <c:minorUnit val="100"/>
      </c:valAx>
      <c:spPr>
        <a:ln>
          <a:solidFill>
            <a:prstClr val="black"/>
          </a:solidFill>
        </a:ln>
      </c:spPr>
    </c:plotArea>
    <c:legend>
      <c:legendPos val="r"/>
      <c:layout>
        <c:manualLayout>
          <c:xMode val="edge"/>
          <c:yMode val="edge"/>
          <c:x val="0.50028990591386391"/>
          <c:y val="0.24069969326739274"/>
          <c:w val="0.30887643795283803"/>
          <c:h val="6.563480081140929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3" name="Picture 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4" name="Picture 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5" name="Picture 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6" name="Picture 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7" name="Picture 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8" name="Picture 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19" name="Picture 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0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1" name="Picture 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2" name="Picture 1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3" name="Picture 1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4" name="Picture 1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5" name="Picture 1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6" name="Picture 1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7" name="Picture 1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8" name="Picture 1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29" name="Picture 1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0" name="Picture 1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1" name="Picture 1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2" name="Picture 2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3" name="Picture 2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4" name="Picture 2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5" name="Picture 2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6" name="Picture 2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7" name="Picture 2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8" name="Picture 2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39" name="Picture 2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0" name="Picture 2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1" name="Picture 2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2" name="Picture 3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3" name="Picture 3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4" name="Picture 3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5" name="Picture 3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6" name="Picture 3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7" name="Picture 3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8" name="Picture 36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49" name="Picture 37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0" name="Picture 3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1" name="Picture 3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2" name="Picture 4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3" name="Picture 4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0</xdr:rowOff>
    </xdr:from>
    <xdr:to>
      <xdr:col>1</xdr:col>
      <xdr:colOff>47625</xdr:colOff>
      <xdr:row>0</xdr:row>
      <xdr:rowOff>514350</xdr:rowOff>
    </xdr:to>
    <xdr:pic>
      <xdr:nvPicPr>
        <xdr:cNvPr id="9868254" name="Picture 4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0"/>
          <a:ext cx="426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5" name="Picture 209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6" name="Picture 2099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7" name="Picture 2100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8" name="Picture 2101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59" name="Picture 2102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0" name="Picture 2103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1" name="Picture 2104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57150</xdr:rowOff>
    </xdr:from>
    <xdr:to>
      <xdr:col>1</xdr:col>
      <xdr:colOff>47625</xdr:colOff>
      <xdr:row>1</xdr:row>
      <xdr:rowOff>0</xdr:rowOff>
    </xdr:to>
    <xdr:pic>
      <xdr:nvPicPr>
        <xdr:cNvPr id="9868262" name="Picture 2105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7150"/>
          <a:ext cx="4267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576695</xdr:colOff>
      <xdr:row>0</xdr:row>
      <xdr:rowOff>51089</xdr:rowOff>
    </xdr:from>
    <xdr:to>
      <xdr:col>14</xdr:col>
      <xdr:colOff>319521</xdr:colOff>
      <xdr:row>26</xdr:row>
      <xdr:rowOff>3464</xdr:rowOff>
    </xdr:to>
    <xdr:graphicFrame macro="">
      <xdr:nvGraphicFramePr>
        <xdr:cNvPr id="707786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28575</xdr:rowOff>
    </xdr:from>
    <xdr:to>
      <xdr:col>15</xdr:col>
      <xdr:colOff>381000</xdr:colOff>
      <xdr:row>25</xdr:row>
      <xdr:rowOff>152400</xdr:rowOff>
    </xdr:to>
    <xdr:graphicFrame macro="">
      <xdr:nvGraphicFramePr>
        <xdr:cNvPr id="767560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12123</xdr:rowOff>
    </xdr:from>
    <xdr:to>
      <xdr:col>13</xdr:col>
      <xdr:colOff>359352</xdr:colOff>
      <xdr:row>25</xdr:row>
      <xdr:rowOff>119496</xdr:rowOff>
    </xdr:to>
    <xdr:graphicFrame macro="">
      <xdr:nvGraphicFramePr>
        <xdr:cNvPr id="849658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12"/>
  </sheetPr>
  <dimension ref="A1:C18"/>
  <sheetViews>
    <sheetView tabSelected="1" workbookViewId="0">
      <selection activeCell="A2" sqref="A2"/>
    </sheetView>
  </sheetViews>
  <sheetFormatPr defaultColWidth="9.7109375" defaultRowHeight="12.75" x14ac:dyDescent="0.2"/>
  <cols>
    <col min="1" max="1" width="64.7109375" style="34" customWidth="1"/>
    <col min="2" max="16384" width="9.7109375" style="26"/>
  </cols>
  <sheetData>
    <row r="1" spans="1:3" ht="44.25" customHeight="1" x14ac:dyDescent="0.2">
      <c r="A1" s="25"/>
    </row>
    <row r="2" spans="1:3" ht="18" x14ac:dyDescent="0.25">
      <c r="A2" s="27" t="s">
        <v>122</v>
      </c>
    </row>
    <row r="3" spans="1:3" s="29" customFormat="1" ht="11.25" x14ac:dyDescent="0.2">
      <c r="A3" s="28"/>
    </row>
    <row r="4" spans="1:3" x14ac:dyDescent="0.2">
      <c r="A4" s="30" t="s">
        <v>123</v>
      </c>
    </row>
    <row r="5" spans="1:3" x14ac:dyDescent="0.2">
      <c r="A5" s="38">
        <f ca="1">TODAY()</f>
        <v>43447</v>
      </c>
      <c r="B5" s="31"/>
    </row>
    <row r="6" spans="1:3" s="29" customFormat="1" x14ac:dyDescent="0.2">
      <c r="A6" s="28"/>
      <c r="B6" s="31"/>
      <c r="C6" s="32"/>
    </row>
    <row r="7" spans="1:3" x14ac:dyDescent="0.2">
      <c r="A7" s="37" t="s">
        <v>73</v>
      </c>
      <c r="B7" s="33"/>
      <c r="C7" s="29"/>
    </row>
    <row r="8" spans="1:3" x14ac:dyDescent="0.2">
      <c r="A8" s="37" t="s">
        <v>23</v>
      </c>
      <c r="B8" s="35"/>
    </row>
    <row r="9" spans="1:3" x14ac:dyDescent="0.2">
      <c r="A9" s="37" t="s">
        <v>25</v>
      </c>
      <c r="B9" s="35"/>
    </row>
    <row r="10" spans="1:3" x14ac:dyDescent="0.2">
      <c r="A10" s="37" t="s">
        <v>11</v>
      </c>
      <c r="B10" s="35"/>
    </row>
    <row r="11" spans="1:3" x14ac:dyDescent="0.2">
      <c r="A11" s="37" t="s">
        <v>12</v>
      </c>
      <c r="B11" s="35"/>
    </row>
    <row r="12" spans="1:3" x14ac:dyDescent="0.2">
      <c r="A12" s="37" t="s">
        <v>13</v>
      </c>
      <c r="B12" s="35"/>
    </row>
    <row r="13" spans="1:3" x14ac:dyDescent="0.2">
      <c r="A13" s="37" t="s">
        <v>14</v>
      </c>
      <c r="B13" s="35"/>
    </row>
    <row r="14" spans="1:3" x14ac:dyDescent="0.2">
      <c r="A14" s="37" t="s">
        <v>51</v>
      </c>
      <c r="B14" s="35"/>
    </row>
    <row r="15" spans="1:3" x14ac:dyDescent="0.2">
      <c r="A15" s="37" t="s">
        <v>22</v>
      </c>
      <c r="B15" s="35"/>
    </row>
    <row r="16" spans="1:3" x14ac:dyDescent="0.2">
      <c r="A16" s="37" t="s">
        <v>43</v>
      </c>
      <c r="B16" s="35"/>
    </row>
    <row r="17" spans="1:2" x14ac:dyDescent="0.2">
      <c r="A17" s="36" t="s">
        <v>124</v>
      </c>
      <c r="B17" s="35"/>
    </row>
    <row r="18" spans="1:2" x14ac:dyDescent="0.2">
      <c r="A18" s="36" t="s">
        <v>125</v>
      </c>
    </row>
  </sheetData>
  <hyperlinks>
    <hyperlink ref="A7" location="'Table 1'!A1" display="Table 1--Soybeans:  Annual U.S. supply and disappearance"/>
    <hyperlink ref="A8" location="'Table 2'!A1" display="Table 2--Soybean meal:  U.S. supply and disappearance"/>
    <hyperlink ref="A9" location="'Table 3'!A1" display="Table 3--Soybean oil:  U.S. supply and disappearance"/>
    <hyperlink ref="A10" location="'Tables 4-7'!A1" display="Table 4--Cottonseed:  U.S. supply and disappearance"/>
    <hyperlink ref="A11" location="'Tables 4-7'!A1" display="Table 5--Cottonseed meal:  U.S. supply and disappearance"/>
    <hyperlink ref="A12" location="'Tables 4-7'!A1" display="Table 6--Cottonseed oil:  U.S. supply and disappearance"/>
    <hyperlink ref="A13" location="'Tables 4-7'!A1" display="Table 7--Peanuts:  U.S. supply and disappearance"/>
    <hyperlink ref="A14" location="'Table 8'!A1" display="Table 8--Oilseed prices received by U.S. farmers"/>
    <hyperlink ref="A15" location="'Table 9'!A1" display="Table 9--U.S. vegetable oil and fats prices"/>
    <hyperlink ref="A16" location="'Table 10'!A1" display="Table 10--U.S. oilseed meal prices 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218"/>
  <sheetViews>
    <sheetView workbookViewId="0">
      <selection activeCell="A2" sqref="A2"/>
    </sheetView>
  </sheetViews>
  <sheetFormatPr defaultRowHeight="12.75" x14ac:dyDescent="0.2"/>
  <cols>
    <col min="1" max="1" width="10.7109375" style="1" customWidth="1"/>
    <col min="2" max="3" width="10.7109375" style="16" bestFit="1" customWidth="1"/>
  </cols>
  <sheetData>
    <row r="1" spans="1:5" ht="15.75" x14ac:dyDescent="0.25">
      <c r="A1" s="142" t="s">
        <v>17</v>
      </c>
      <c r="B1" s="139"/>
      <c r="C1" s="139"/>
      <c r="D1" s="139"/>
      <c r="E1" s="139"/>
    </row>
    <row r="2" spans="1:5" ht="15.75" x14ac:dyDescent="0.25">
      <c r="A2" s="143"/>
      <c r="B2" s="140" t="s">
        <v>1</v>
      </c>
      <c r="C2" s="140" t="s">
        <v>72</v>
      </c>
      <c r="D2" s="138" t="s">
        <v>176</v>
      </c>
      <c r="E2" s="138" t="s">
        <v>4</v>
      </c>
    </row>
    <row r="3" spans="1:5" x14ac:dyDescent="0.2">
      <c r="A3" s="138"/>
      <c r="B3" s="141" t="s">
        <v>175</v>
      </c>
      <c r="C3" s="141"/>
      <c r="D3" s="138"/>
      <c r="E3" s="138"/>
    </row>
    <row r="4" spans="1:5" ht="14.25" x14ac:dyDescent="0.2">
      <c r="A4" s="41" t="s">
        <v>56</v>
      </c>
      <c r="B4" s="144">
        <v>6096.1</v>
      </c>
      <c r="C4" s="144">
        <v>2562.5510700000004</v>
      </c>
      <c r="D4" s="144">
        <v>2982.7006398487019</v>
      </c>
      <c r="E4" s="144">
        <v>275.15730984531302</v>
      </c>
    </row>
    <row r="5" spans="1:5" ht="14.25" x14ac:dyDescent="0.2">
      <c r="A5" s="41" t="s">
        <v>67</v>
      </c>
      <c r="B5" s="144">
        <v>5370</v>
      </c>
      <c r="C5" s="144">
        <v>2400</v>
      </c>
      <c r="D5" s="144">
        <v>3120.1660962219903</v>
      </c>
      <c r="E5" s="144">
        <v>132.68900780534699</v>
      </c>
    </row>
    <row r="6" spans="1:5" ht="14.25" x14ac:dyDescent="0.2">
      <c r="A6" s="41" t="s">
        <v>91</v>
      </c>
      <c r="B6" s="144">
        <v>5666</v>
      </c>
      <c r="C6" s="144">
        <v>2500</v>
      </c>
      <c r="D6" s="144">
        <v>3004.1252187691671</v>
      </c>
      <c r="E6" s="144">
        <v>191.37798110346301</v>
      </c>
    </row>
    <row r="7" spans="1:5" ht="14.25" x14ac:dyDescent="0.2">
      <c r="A7" s="41" t="s">
        <v>99</v>
      </c>
      <c r="B7" s="144">
        <v>4203</v>
      </c>
      <c r="C7" s="144">
        <v>2000</v>
      </c>
      <c r="D7" s="144">
        <v>2141.6738024460892</v>
      </c>
      <c r="E7" s="144">
        <v>218.92546272334502</v>
      </c>
    </row>
    <row r="8" spans="1:5" ht="14.25" x14ac:dyDescent="0.2">
      <c r="A8" s="41" t="s">
        <v>102</v>
      </c>
      <c r="B8" s="144">
        <v>5125</v>
      </c>
      <c r="C8" s="144">
        <v>1900</v>
      </c>
      <c r="D8" s="144">
        <v>3044.8538978358692</v>
      </c>
      <c r="E8" s="144">
        <v>228.13998571249201</v>
      </c>
    </row>
    <row r="9" spans="1:5" ht="14.25" x14ac:dyDescent="0.2">
      <c r="A9" s="41" t="s">
        <v>103</v>
      </c>
      <c r="B9" s="144">
        <v>4043</v>
      </c>
      <c r="C9" s="144">
        <v>1500.181</v>
      </c>
      <c r="D9" s="144">
        <v>2469.0775520124048</v>
      </c>
      <c r="E9" s="144">
        <v>136.11302056359</v>
      </c>
    </row>
    <row r="10" spans="1:5" ht="14.25" x14ac:dyDescent="0.2">
      <c r="A10" s="41" t="s">
        <v>119</v>
      </c>
      <c r="B10" s="144">
        <v>5369</v>
      </c>
      <c r="C10" s="144">
        <v>1769.4399999999998</v>
      </c>
      <c r="D10" s="144">
        <v>3299.9844832140616</v>
      </c>
      <c r="E10" s="144">
        <v>341.65464751467005</v>
      </c>
    </row>
    <row r="11" spans="1:5" ht="14.25" x14ac:dyDescent="0.2">
      <c r="A11" s="41" t="s">
        <v>121</v>
      </c>
      <c r="B11" s="144">
        <v>6422</v>
      </c>
      <c r="C11" s="144">
        <v>1853.576</v>
      </c>
      <c r="D11" s="144">
        <v>4040.0387247054159</v>
      </c>
      <c r="E11" s="144">
        <v>478.38527529458401</v>
      </c>
    </row>
    <row r="12" spans="1:5" ht="14.25" x14ac:dyDescent="0.2">
      <c r="A12" s="41" t="s">
        <v>173</v>
      </c>
      <c r="B12" s="144">
        <v>5858</v>
      </c>
      <c r="C12" s="144">
        <v>1800</v>
      </c>
      <c r="D12" s="144">
        <v>3683</v>
      </c>
      <c r="E12" s="144">
        <v>425</v>
      </c>
    </row>
    <row r="13" spans="1:5" ht="15.75" x14ac:dyDescent="0.25">
      <c r="A13" s="139"/>
      <c r="B13" s="144"/>
      <c r="C13" s="144"/>
      <c r="D13" s="144"/>
      <c r="E13" s="144"/>
    </row>
    <row r="14" spans="1:5" ht="15.75" x14ac:dyDescent="0.25">
      <c r="A14" s="139"/>
      <c r="B14" s="144"/>
      <c r="C14" s="144"/>
      <c r="D14" s="144"/>
      <c r="E14" s="144"/>
    </row>
    <row r="15" spans="1:5" ht="15.75" x14ac:dyDescent="0.25">
      <c r="A15" s="139"/>
      <c r="B15" s="144"/>
      <c r="C15" s="144"/>
      <c r="D15" s="144"/>
      <c r="E15" s="144"/>
    </row>
    <row r="16" spans="1:5" ht="15.75" x14ac:dyDescent="0.25">
      <c r="A16" s="134"/>
      <c r="B16" s="133"/>
      <c r="C16" s="133"/>
      <c r="D16" s="132"/>
    </row>
    <row r="17" spans="1:4" ht="15.75" x14ac:dyDescent="0.25">
      <c r="A17" s="134"/>
      <c r="B17" s="133"/>
      <c r="C17" s="133"/>
      <c r="D17" s="132"/>
    </row>
    <row r="18" spans="1:4" ht="15.75" x14ac:dyDescent="0.25">
      <c r="A18" s="134"/>
      <c r="B18" s="133"/>
      <c r="C18" s="133"/>
      <c r="D18" s="132"/>
    </row>
    <row r="19" spans="1:4" ht="15.75" x14ac:dyDescent="0.25">
      <c r="A19" s="134"/>
      <c r="B19" s="133"/>
      <c r="C19" s="133"/>
      <c r="D19" s="132"/>
    </row>
    <row r="20" spans="1:4" x14ac:dyDescent="0.2">
      <c r="A20" s="134"/>
      <c r="B20" s="133"/>
      <c r="C20" s="133"/>
    </row>
    <row r="21" spans="1:4" x14ac:dyDescent="0.2">
      <c r="A21" s="134"/>
      <c r="B21" s="133"/>
      <c r="C21" s="133"/>
    </row>
    <row r="22" spans="1:4" x14ac:dyDescent="0.2">
      <c r="A22" s="134"/>
      <c r="B22" s="133"/>
      <c r="C22" s="133"/>
    </row>
    <row r="23" spans="1:4" x14ac:dyDescent="0.2">
      <c r="A23" s="134"/>
      <c r="B23" s="133"/>
      <c r="C23" s="133"/>
    </row>
    <row r="24" spans="1:4" x14ac:dyDescent="0.2">
      <c r="A24" s="134"/>
      <c r="B24" s="133"/>
      <c r="C24" s="133"/>
    </row>
    <row r="25" spans="1:4" x14ac:dyDescent="0.2">
      <c r="A25" s="134"/>
      <c r="B25" s="133"/>
      <c r="C25" s="133"/>
    </row>
    <row r="26" spans="1:4" x14ac:dyDescent="0.2">
      <c r="A26" s="134"/>
      <c r="B26" s="133"/>
      <c r="C26" s="133"/>
    </row>
    <row r="27" spans="1:4" x14ac:dyDescent="0.2">
      <c r="A27" s="134"/>
      <c r="B27" s="133"/>
      <c r="C27" s="133"/>
    </row>
    <row r="28" spans="1:4" x14ac:dyDescent="0.2">
      <c r="A28" s="134"/>
      <c r="B28" s="133"/>
      <c r="C28" s="133"/>
    </row>
    <row r="29" spans="1:4" x14ac:dyDescent="0.2">
      <c r="A29" s="134"/>
      <c r="B29" s="133"/>
      <c r="C29" s="133"/>
    </row>
    <row r="30" spans="1:4" x14ac:dyDescent="0.2">
      <c r="A30" s="134"/>
      <c r="B30" s="133"/>
      <c r="C30" s="133"/>
    </row>
    <row r="31" spans="1:4" x14ac:dyDescent="0.2">
      <c r="A31" s="134"/>
      <c r="B31" s="133"/>
      <c r="C31" s="133"/>
    </row>
    <row r="32" spans="1:4" x14ac:dyDescent="0.2">
      <c r="A32" s="134"/>
      <c r="B32" s="133"/>
      <c r="C32" s="133"/>
    </row>
    <row r="33" spans="1:3" x14ac:dyDescent="0.2">
      <c r="A33" s="134"/>
      <c r="B33" s="133"/>
      <c r="C33" s="133"/>
    </row>
    <row r="34" spans="1:3" x14ac:dyDescent="0.2">
      <c r="A34" s="134"/>
      <c r="B34" s="133"/>
      <c r="C34" s="133"/>
    </row>
    <row r="35" spans="1:3" x14ac:dyDescent="0.2">
      <c r="A35" s="134"/>
      <c r="B35" s="133"/>
      <c r="C35" s="133"/>
    </row>
    <row r="36" spans="1:3" x14ac:dyDescent="0.2">
      <c r="A36" s="134"/>
      <c r="B36" s="133"/>
      <c r="C36" s="133"/>
    </row>
    <row r="37" spans="1:3" x14ac:dyDescent="0.2">
      <c r="A37" s="134"/>
      <c r="B37" s="133"/>
      <c r="C37" s="133"/>
    </row>
    <row r="38" spans="1:3" x14ac:dyDescent="0.2">
      <c r="A38" s="134"/>
      <c r="B38" s="133"/>
      <c r="C38" s="133"/>
    </row>
    <row r="39" spans="1:3" x14ac:dyDescent="0.2">
      <c r="A39" s="134"/>
      <c r="B39" s="133"/>
      <c r="C39" s="133"/>
    </row>
    <row r="40" spans="1:3" x14ac:dyDescent="0.2">
      <c r="A40" s="134"/>
      <c r="B40" s="133"/>
      <c r="C40" s="133"/>
    </row>
    <row r="41" spans="1:3" x14ac:dyDescent="0.2">
      <c r="A41" s="134"/>
      <c r="B41" s="133"/>
      <c r="C41" s="133"/>
    </row>
    <row r="42" spans="1:3" x14ac:dyDescent="0.2">
      <c r="A42" s="134"/>
      <c r="B42" s="133"/>
      <c r="C42" s="133"/>
    </row>
    <row r="43" spans="1:3" x14ac:dyDescent="0.2">
      <c r="A43" s="134"/>
      <c r="B43" s="133"/>
      <c r="C43" s="133"/>
    </row>
    <row r="44" spans="1:3" x14ac:dyDescent="0.2">
      <c r="A44" s="134"/>
      <c r="B44" s="133"/>
      <c r="C44" s="133"/>
    </row>
    <row r="45" spans="1:3" x14ac:dyDescent="0.2">
      <c r="A45" s="134"/>
      <c r="B45" s="133"/>
      <c r="C45" s="133"/>
    </row>
    <row r="46" spans="1:3" x14ac:dyDescent="0.2">
      <c r="A46" s="134"/>
      <c r="B46" s="133"/>
      <c r="C46" s="133"/>
    </row>
    <row r="47" spans="1:3" x14ac:dyDescent="0.2">
      <c r="A47" s="134"/>
      <c r="B47" s="133"/>
      <c r="C47" s="133"/>
    </row>
    <row r="48" spans="1:3" x14ac:dyDescent="0.2">
      <c r="A48" s="134"/>
      <c r="B48" s="133"/>
      <c r="C48" s="133"/>
    </row>
    <row r="49" spans="1:3" x14ac:dyDescent="0.2">
      <c r="A49" s="134"/>
      <c r="B49" s="133"/>
      <c r="C49" s="133"/>
    </row>
    <row r="50" spans="1:3" x14ac:dyDescent="0.2">
      <c r="A50" s="134"/>
      <c r="B50" s="133"/>
      <c r="C50" s="133"/>
    </row>
    <row r="51" spans="1:3" x14ac:dyDescent="0.2">
      <c r="A51" s="134"/>
      <c r="B51" s="133"/>
      <c r="C51" s="133"/>
    </row>
    <row r="52" spans="1:3" x14ac:dyDescent="0.2">
      <c r="A52" s="134"/>
      <c r="B52" s="133"/>
      <c r="C52" s="133"/>
    </row>
    <row r="53" spans="1:3" x14ac:dyDescent="0.2">
      <c r="A53" s="134"/>
      <c r="B53" s="133"/>
      <c r="C53" s="133"/>
    </row>
    <row r="54" spans="1:3" x14ac:dyDescent="0.2">
      <c r="A54" s="134"/>
      <c r="B54" s="133"/>
      <c r="C54" s="133"/>
    </row>
    <row r="55" spans="1:3" x14ac:dyDescent="0.2">
      <c r="A55" s="134"/>
      <c r="B55" s="133"/>
      <c r="C55" s="133"/>
    </row>
    <row r="56" spans="1:3" x14ac:dyDescent="0.2">
      <c r="A56" s="134"/>
      <c r="B56" s="133"/>
      <c r="C56" s="133"/>
    </row>
    <row r="57" spans="1:3" x14ac:dyDescent="0.2">
      <c r="A57" s="134"/>
      <c r="B57" s="133"/>
      <c r="C57" s="133"/>
    </row>
    <row r="58" spans="1:3" x14ac:dyDescent="0.2">
      <c r="A58" s="134"/>
      <c r="B58" s="133"/>
      <c r="C58" s="133"/>
    </row>
    <row r="59" spans="1:3" x14ac:dyDescent="0.2">
      <c r="A59" s="134"/>
      <c r="B59" s="133"/>
      <c r="C59" s="133"/>
    </row>
    <row r="60" spans="1:3" x14ac:dyDescent="0.2">
      <c r="A60" s="134"/>
      <c r="B60" s="133"/>
      <c r="C60" s="133"/>
    </row>
    <row r="61" spans="1:3" x14ac:dyDescent="0.2">
      <c r="A61" s="134"/>
      <c r="B61" s="133"/>
      <c r="C61" s="133"/>
    </row>
    <row r="62" spans="1:3" x14ac:dyDescent="0.2">
      <c r="A62" s="134"/>
      <c r="B62" s="133"/>
      <c r="C62" s="133"/>
    </row>
    <row r="63" spans="1:3" x14ac:dyDescent="0.2">
      <c r="A63" s="134"/>
      <c r="B63" s="133"/>
      <c r="C63" s="133"/>
    </row>
    <row r="64" spans="1:3" x14ac:dyDescent="0.2">
      <c r="A64" s="134"/>
      <c r="B64" s="133"/>
      <c r="C64" s="133"/>
    </row>
    <row r="65" spans="1:3" x14ac:dyDescent="0.2">
      <c r="A65" s="134"/>
      <c r="B65" s="133"/>
      <c r="C65" s="133"/>
    </row>
    <row r="66" spans="1:3" x14ac:dyDescent="0.2">
      <c r="A66" s="134"/>
      <c r="B66" s="133"/>
      <c r="C66" s="133"/>
    </row>
    <row r="67" spans="1:3" x14ac:dyDescent="0.2">
      <c r="A67" s="134"/>
      <c r="B67" s="133"/>
      <c r="C67" s="133"/>
    </row>
    <row r="68" spans="1:3" x14ac:dyDescent="0.2">
      <c r="A68" s="134"/>
      <c r="B68" s="133"/>
      <c r="C68" s="133"/>
    </row>
    <row r="69" spans="1:3" x14ac:dyDescent="0.2">
      <c r="A69" s="134"/>
      <c r="B69" s="133"/>
      <c r="C69" s="133"/>
    </row>
    <row r="70" spans="1:3" x14ac:dyDescent="0.2">
      <c r="A70" s="134"/>
      <c r="B70" s="133"/>
      <c r="C70" s="133"/>
    </row>
    <row r="71" spans="1:3" x14ac:dyDescent="0.2">
      <c r="A71" s="134"/>
      <c r="B71" s="133"/>
      <c r="C71" s="133"/>
    </row>
    <row r="72" spans="1:3" x14ac:dyDescent="0.2">
      <c r="A72" s="134"/>
      <c r="B72" s="133"/>
      <c r="C72" s="133"/>
    </row>
    <row r="73" spans="1:3" x14ac:dyDescent="0.2">
      <c r="A73" s="134"/>
      <c r="B73" s="133"/>
      <c r="C73" s="133"/>
    </row>
    <row r="74" spans="1:3" x14ac:dyDescent="0.2">
      <c r="A74" s="134"/>
      <c r="B74" s="133"/>
      <c r="C74" s="133"/>
    </row>
    <row r="75" spans="1:3" x14ac:dyDescent="0.2">
      <c r="A75" s="134"/>
      <c r="B75" s="133"/>
      <c r="C75" s="133"/>
    </row>
    <row r="76" spans="1:3" x14ac:dyDescent="0.2">
      <c r="A76" s="134"/>
      <c r="B76" s="133"/>
      <c r="C76" s="133"/>
    </row>
    <row r="77" spans="1:3" x14ac:dyDescent="0.2">
      <c r="A77" s="134"/>
      <c r="B77" s="133"/>
      <c r="C77" s="133"/>
    </row>
    <row r="78" spans="1:3" x14ac:dyDescent="0.2">
      <c r="A78" s="134"/>
      <c r="B78" s="133"/>
      <c r="C78" s="133"/>
    </row>
    <row r="79" spans="1:3" x14ac:dyDescent="0.2">
      <c r="A79" s="134"/>
      <c r="B79" s="133"/>
      <c r="C79" s="133"/>
    </row>
    <row r="80" spans="1:3" x14ac:dyDescent="0.2">
      <c r="A80" s="134"/>
      <c r="B80" s="133"/>
      <c r="C80" s="133"/>
    </row>
    <row r="81" spans="1:3" x14ac:dyDescent="0.2">
      <c r="A81" s="134"/>
      <c r="B81" s="133"/>
      <c r="C81" s="133"/>
    </row>
    <row r="82" spans="1:3" x14ac:dyDescent="0.2">
      <c r="A82" s="134"/>
      <c r="B82" s="133"/>
      <c r="C82" s="133"/>
    </row>
    <row r="83" spans="1:3" x14ac:dyDescent="0.2">
      <c r="A83" s="134"/>
      <c r="B83" s="133"/>
      <c r="C83" s="133"/>
    </row>
    <row r="84" spans="1:3" x14ac:dyDescent="0.2">
      <c r="A84" s="134"/>
      <c r="B84" s="133"/>
      <c r="C84" s="133"/>
    </row>
    <row r="85" spans="1:3" x14ac:dyDescent="0.2">
      <c r="A85" s="134"/>
      <c r="B85" s="133"/>
      <c r="C85" s="133"/>
    </row>
    <row r="86" spans="1:3" x14ac:dyDescent="0.2">
      <c r="A86" s="134"/>
      <c r="B86" s="133"/>
      <c r="C86" s="133"/>
    </row>
    <row r="87" spans="1:3" x14ac:dyDescent="0.2">
      <c r="A87" s="134"/>
      <c r="B87" s="133"/>
      <c r="C87" s="133"/>
    </row>
    <row r="88" spans="1:3" x14ac:dyDescent="0.2">
      <c r="A88" s="134"/>
      <c r="B88" s="133"/>
      <c r="C88" s="133"/>
    </row>
    <row r="89" spans="1:3" x14ac:dyDescent="0.2">
      <c r="A89" s="134"/>
      <c r="B89" s="133"/>
      <c r="C89" s="133"/>
    </row>
    <row r="90" spans="1:3" x14ac:dyDescent="0.2">
      <c r="A90" s="134"/>
      <c r="B90" s="133"/>
      <c r="C90" s="133"/>
    </row>
    <row r="91" spans="1:3" x14ac:dyDescent="0.2">
      <c r="A91" s="134"/>
      <c r="B91" s="133"/>
      <c r="C91" s="133"/>
    </row>
    <row r="92" spans="1:3" x14ac:dyDescent="0.2">
      <c r="A92" s="134"/>
      <c r="B92" s="133"/>
      <c r="C92" s="133"/>
    </row>
    <row r="93" spans="1:3" x14ac:dyDescent="0.2">
      <c r="A93" s="134"/>
      <c r="B93" s="133"/>
      <c r="C93" s="133"/>
    </row>
    <row r="94" spans="1:3" x14ac:dyDescent="0.2">
      <c r="A94" s="134"/>
      <c r="B94" s="133"/>
      <c r="C94" s="133"/>
    </row>
    <row r="95" spans="1:3" x14ac:dyDescent="0.2">
      <c r="A95" s="134"/>
      <c r="B95" s="133"/>
      <c r="C95" s="133"/>
    </row>
    <row r="96" spans="1:3" x14ac:dyDescent="0.2">
      <c r="A96" s="134"/>
      <c r="B96" s="133"/>
      <c r="C96" s="133"/>
    </row>
    <row r="97" spans="1:3" x14ac:dyDescent="0.2">
      <c r="A97" s="134"/>
      <c r="B97" s="133"/>
      <c r="C97" s="133"/>
    </row>
    <row r="98" spans="1:3" x14ac:dyDescent="0.2">
      <c r="A98" s="134"/>
      <c r="B98" s="133"/>
      <c r="C98" s="133"/>
    </row>
    <row r="99" spans="1:3" x14ac:dyDescent="0.2">
      <c r="A99" s="134"/>
      <c r="B99" s="133"/>
      <c r="C99" s="133"/>
    </row>
    <row r="100" spans="1:3" x14ac:dyDescent="0.2">
      <c r="A100" s="134"/>
      <c r="B100" s="133"/>
      <c r="C100" s="133"/>
    </row>
    <row r="101" spans="1:3" x14ac:dyDescent="0.2">
      <c r="A101" s="134"/>
      <c r="B101" s="133"/>
      <c r="C101" s="133"/>
    </row>
    <row r="102" spans="1:3" x14ac:dyDescent="0.2">
      <c r="A102" s="134"/>
      <c r="B102" s="133"/>
      <c r="C102" s="133"/>
    </row>
    <row r="103" spans="1:3" x14ac:dyDescent="0.2">
      <c r="A103" s="134"/>
      <c r="B103" s="133"/>
      <c r="C103" s="133"/>
    </row>
    <row r="104" spans="1:3" x14ac:dyDescent="0.2">
      <c r="A104" s="134"/>
      <c r="B104" s="133"/>
      <c r="C104" s="133"/>
    </row>
    <row r="105" spans="1:3" x14ac:dyDescent="0.2">
      <c r="A105" s="134"/>
      <c r="B105" s="133"/>
      <c r="C105" s="133"/>
    </row>
    <row r="106" spans="1:3" x14ac:dyDescent="0.2">
      <c r="A106" s="134"/>
      <c r="B106" s="133"/>
      <c r="C106" s="133"/>
    </row>
    <row r="107" spans="1:3" x14ac:dyDescent="0.2">
      <c r="A107" s="134"/>
      <c r="B107" s="133"/>
      <c r="C107" s="133"/>
    </row>
    <row r="108" spans="1:3" x14ac:dyDescent="0.2">
      <c r="A108" s="134"/>
      <c r="B108" s="133"/>
      <c r="C108" s="133"/>
    </row>
    <row r="109" spans="1:3" x14ac:dyDescent="0.2">
      <c r="A109" s="134"/>
      <c r="B109" s="133"/>
      <c r="C109" s="133"/>
    </row>
    <row r="110" spans="1:3" x14ac:dyDescent="0.2">
      <c r="A110" s="134"/>
      <c r="B110" s="133"/>
      <c r="C110" s="133"/>
    </row>
    <row r="111" spans="1:3" x14ac:dyDescent="0.2">
      <c r="A111" s="134"/>
      <c r="B111" s="133"/>
      <c r="C111" s="133"/>
    </row>
    <row r="112" spans="1:3" x14ac:dyDescent="0.2">
      <c r="A112" s="134"/>
      <c r="B112" s="133"/>
      <c r="C112" s="133"/>
    </row>
    <row r="113" spans="1:3" x14ac:dyDescent="0.2">
      <c r="A113" s="134"/>
      <c r="B113" s="133"/>
      <c r="C113" s="133"/>
    </row>
    <row r="114" spans="1:3" x14ac:dyDescent="0.2">
      <c r="A114" s="134"/>
      <c r="B114" s="133"/>
      <c r="C114" s="133"/>
    </row>
    <row r="115" spans="1:3" x14ac:dyDescent="0.2">
      <c r="A115" s="134"/>
      <c r="B115" s="133"/>
      <c r="C115" s="133"/>
    </row>
    <row r="116" spans="1:3" x14ac:dyDescent="0.2">
      <c r="A116" s="134"/>
      <c r="B116" s="133"/>
      <c r="C116" s="133"/>
    </row>
    <row r="117" spans="1:3" x14ac:dyDescent="0.2">
      <c r="A117" s="134"/>
      <c r="B117" s="133"/>
      <c r="C117" s="133"/>
    </row>
    <row r="118" spans="1:3" x14ac:dyDescent="0.2">
      <c r="A118" s="134"/>
      <c r="B118" s="133"/>
      <c r="C118" s="133"/>
    </row>
    <row r="119" spans="1:3" x14ac:dyDescent="0.2">
      <c r="A119" s="134"/>
      <c r="B119" s="133"/>
      <c r="C119" s="133"/>
    </row>
    <row r="120" spans="1:3" x14ac:dyDescent="0.2">
      <c r="A120" s="134"/>
      <c r="B120" s="133"/>
      <c r="C120" s="133"/>
    </row>
    <row r="121" spans="1:3" x14ac:dyDescent="0.2">
      <c r="A121" s="134"/>
      <c r="B121" s="133"/>
      <c r="C121" s="133"/>
    </row>
    <row r="122" spans="1:3" x14ac:dyDescent="0.2">
      <c r="A122" s="134"/>
      <c r="B122" s="133"/>
      <c r="C122" s="133"/>
    </row>
    <row r="123" spans="1:3" x14ac:dyDescent="0.2">
      <c r="A123" s="134"/>
      <c r="B123" s="133"/>
      <c r="C123" s="133"/>
    </row>
    <row r="124" spans="1:3" x14ac:dyDescent="0.2">
      <c r="A124" s="134"/>
      <c r="B124" s="133"/>
      <c r="C124" s="133"/>
    </row>
    <row r="125" spans="1:3" x14ac:dyDescent="0.2">
      <c r="A125" s="134"/>
      <c r="B125" s="133"/>
      <c r="C125" s="133"/>
    </row>
    <row r="126" spans="1:3" x14ac:dyDescent="0.2">
      <c r="A126" s="134"/>
      <c r="B126" s="133"/>
      <c r="C126" s="133"/>
    </row>
    <row r="127" spans="1:3" x14ac:dyDescent="0.2">
      <c r="A127" s="134"/>
      <c r="B127" s="133"/>
      <c r="C127" s="133"/>
    </row>
    <row r="128" spans="1:3" x14ac:dyDescent="0.2">
      <c r="A128" s="134"/>
      <c r="B128" s="133"/>
      <c r="C128" s="133"/>
    </row>
    <row r="129" spans="1:3" x14ac:dyDescent="0.2">
      <c r="A129" s="134"/>
      <c r="B129" s="133"/>
      <c r="C129" s="133"/>
    </row>
    <row r="130" spans="1:3" x14ac:dyDescent="0.2">
      <c r="A130" s="134"/>
      <c r="B130" s="133"/>
      <c r="C130" s="133"/>
    </row>
    <row r="131" spans="1:3" x14ac:dyDescent="0.2">
      <c r="A131" s="134"/>
      <c r="B131" s="133"/>
    </row>
    <row r="132" spans="1:3" x14ac:dyDescent="0.2">
      <c r="A132" s="134"/>
      <c r="B132" s="133"/>
      <c r="C132" s="133"/>
    </row>
    <row r="133" spans="1:3" x14ac:dyDescent="0.2">
      <c r="A133" s="134"/>
      <c r="B133" s="133"/>
      <c r="C133" s="133"/>
    </row>
    <row r="134" spans="1:3" x14ac:dyDescent="0.2">
      <c r="A134" s="134"/>
      <c r="B134" s="133"/>
      <c r="C134" s="133"/>
    </row>
    <row r="135" spans="1:3" x14ac:dyDescent="0.2">
      <c r="A135" s="134"/>
      <c r="B135" s="133"/>
      <c r="C135" s="133"/>
    </row>
    <row r="136" spans="1:3" x14ac:dyDescent="0.2">
      <c r="A136" s="134"/>
      <c r="B136" s="133"/>
      <c r="C136" s="133"/>
    </row>
    <row r="137" spans="1:3" x14ac:dyDescent="0.2">
      <c r="A137" s="134"/>
      <c r="B137" s="133"/>
      <c r="C137" s="133"/>
    </row>
    <row r="138" spans="1:3" x14ac:dyDescent="0.2">
      <c r="A138" s="134"/>
      <c r="B138" s="133"/>
      <c r="C138" s="133"/>
    </row>
    <row r="139" spans="1:3" x14ac:dyDescent="0.2">
      <c r="A139" s="134"/>
      <c r="B139" s="133"/>
      <c r="C139" s="133"/>
    </row>
    <row r="140" spans="1:3" x14ac:dyDescent="0.2">
      <c r="A140" s="134"/>
      <c r="B140" s="133"/>
      <c r="C140" s="133"/>
    </row>
    <row r="141" spans="1:3" x14ac:dyDescent="0.2">
      <c r="A141" s="134"/>
      <c r="B141" s="133"/>
      <c r="C141" s="133"/>
    </row>
    <row r="142" spans="1:3" x14ac:dyDescent="0.2">
      <c r="A142" s="134"/>
      <c r="B142" s="133"/>
      <c r="C142" s="133"/>
    </row>
    <row r="143" spans="1:3" x14ac:dyDescent="0.2">
      <c r="A143" s="134"/>
      <c r="B143" s="133"/>
      <c r="C143" s="133"/>
    </row>
    <row r="144" spans="1:3" x14ac:dyDescent="0.2">
      <c r="A144" s="134"/>
      <c r="B144" s="133"/>
      <c r="C144" s="133"/>
    </row>
    <row r="145" spans="1:3" x14ac:dyDescent="0.2">
      <c r="A145" s="134"/>
      <c r="B145" s="133"/>
      <c r="C145" s="133"/>
    </row>
    <row r="146" spans="1:3" x14ac:dyDescent="0.2">
      <c r="A146" s="134"/>
      <c r="B146" s="133"/>
      <c r="C146" s="133"/>
    </row>
    <row r="147" spans="1:3" x14ac:dyDescent="0.2">
      <c r="A147" s="134"/>
      <c r="B147" s="133"/>
      <c r="C147" s="133"/>
    </row>
    <row r="148" spans="1:3" x14ac:dyDescent="0.2">
      <c r="A148" s="134"/>
      <c r="B148" s="133"/>
      <c r="C148" s="133"/>
    </row>
    <row r="149" spans="1:3" x14ac:dyDescent="0.2">
      <c r="A149" s="134"/>
      <c r="B149" s="133"/>
      <c r="C149" s="133"/>
    </row>
    <row r="150" spans="1:3" x14ac:dyDescent="0.2">
      <c r="A150" s="134"/>
      <c r="B150" s="133"/>
      <c r="C150" s="133"/>
    </row>
    <row r="151" spans="1:3" x14ac:dyDescent="0.2">
      <c r="A151" s="134"/>
      <c r="B151" s="133"/>
      <c r="C151" s="133"/>
    </row>
    <row r="152" spans="1:3" x14ac:dyDescent="0.2">
      <c r="A152" s="134"/>
      <c r="B152" s="133"/>
      <c r="C152" s="133"/>
    </row>
    <row r="153" spans="1:3" x14ac:dyDescent="0.2">
      <c r="A153" s="134"/>
      <c r="B153" s="133"/>
      <c r="C153" s="133"/>
    </row>
    <row r="154" spans="1:3" x14ac:dyDescent="0.2">
      <c r="A154" s="134"/>
      <c r="B154" s="133"/>
      <c r="C154" s="133"/>
    </row>
    <row r="155" spans="1:3" x14ac:dyDescent="0.2">
      <c r="A155" s="134"/>
      <c r="B155" s="133"/>
      <c r="C155" s="133"/>
    </row>
    <row r="156" spans="1:3" x14ac:dyDescent="0.2">
      <c r="A156" s="134"/>
      <c r="B156" s="133"/>
      <c r="C156" s="133"/>
    </row>
    <row r="157" spans="1:3" x14ac:dyDescent="0.2">
      <c r="A157" s="134"/>
      <c r="B157" s="133"/>
      <c r="C157" s="133"/>
    </row>
    <row r="158" spans="1:3" x14ac:dyDescent="0.2">
      <c r="A158" s="134"/>
      <c r="B158" s="133"/>
    </row>
    <row r="159" spans="1:3" x14ac:dyDescent="0.2">
      <c r="A159" s="134"/>
      <c r="B159" s="133"/>
      <c r="C159" s="133"/>
    </row>
    <row r="160" spans="1:3" x14ac:dyDescent="0.2">
      <c r="A160" s="134"/>
      <c r="B160" s="133"/>
      <c r="C160" s="133"/>
    </row>
    <row r="161" spans="1:3" x14ac:dyDescent="0.2">
      <c r="A161" s="134"/>
      <c r="B161" s="133"/>
      <c r="C161" s="133"/>
    </row>
    <row r="162" spans="1:3" x14ac:dyDescent="0.2">
      <c r="A162" s="134"/>
      <c r="B162" s="133"/>
      <c r="C162" s="133"/>
    </row>
    <row r="163" spans="1:3" x14ac:dyDescent="0.2">
      <c r="A163" s="134"/>
      <c r="B163" s="133"/>
      <c r="C163" s="133"/>
    </row>
    <row r="164" spans="1:3" x14ac:dyDescent="0.2">
      <c r="A164" s="134"/>
      <c r="B164" s="133"/>
      <c r="C164" s="133"/>
    </row>
    <row r="165" spans="1:3" x14ac:dyDescent="0.2">
      <c r="A165" s="134"/>
      <c r="B165" s="133"/>
      <c r="C165" s="133"/>
    </row>
    <row r="166" spans="1:3" x14ac:dyDescent="0.2">
      <c r="A166" s="134"/>
      <c r="B166" s="133"/>
      <c r="C166" s="133"/>
    </row>
    <row r="167" spans="1:3" x14ac:dyDescent="0.2">
      <c r="A167" s="134"/>
      <c r="B167" s="133"/>
      <c r="C167" s="133"/>
    </row>
    <row r="168" spans="1:3" x14ac:dyDescent="0.2">
      <c r="A168" s="134"/>
      <c r="B168" s="133"/>
    </row>
    <row r="169" spans="1:3" x14ac:dyDescent="0.2">
      <c r="A169" s="134"/>
      <c r="B169" s="133"/>
      <c r="C169" s="133"/>
    </row>
    <row r="170" spans="1:3" x14ac:dyDescent="0.2">
      <c r="A170" s="134"/>
      <c r="B170" s="133"/>
      <c r="C170" s="133"/>
    </row>
    <row r="171" spans="1:3" x14ac:dyDescent="0.2">
      <c r="A171" s="134"/>
      <c r="B171" s="133"/>
      <c r="C171" s="133"/>
    </row>
    <row r="172" spans="1:3" x14ac:dyDescent="0.2">
      <c r="A172" s="134"/>
      <c r="B172" s="133"/>
      <c r="C172" s="133"/>
    </row>
    <row r="173" spans="1:3" x14ac:dyDescent="0.2">
      <c r="A173" s="134"/>
      <c r="B173" s="133"/>
      <c r="C173" s="133"/>
    </row>
    <row r="174" spans="1:3" x14ac:dyDescent="0.2">
      <c r="A174" s="134"/>
      <c r="B174" s="133"/>
      <c r="C174" s="133"/>
    </row>
    <row r="175" spans="1:3" x14ac:dyDescent="0.2">
      <c r="A175" s="134"/>
      <c r="B175" s="133"/>
      <c r="C175" s="133"/>
    </row>
    <row r="176" spans="1:3" x14ac:dyDescent="0.2">
      <c r="A176" s="134"/>
      <c r="B176" s="133"/>
      <c r="C176" s="133"/>
    </row>
    <row r="177" spans="1:3" x14ac:dyDescent="0.2">
      <c r="A177" s="134"/>
      <c r="B177" s="133"/>
      <c r="C177" s="133"/>
    </row>
    <row r="178" spans="1:3" x14ac:dyDescent="0.2">
      <c r="A178" s="134"/>
      <c r="B178" s="133"/>
      <c r="C178" s="133"/>
    </row>
    <row r="179" spans="1:3" x14ac:dyDescent="0.2">
      <c r="A179" s="134"/>
      <c r="B179" s="133"/>
      <c r="C179" s="133"/>
    </row>
    <row r="180" spans="1:3" x14ac:dyDescent="0.2">
      <c r="A180" s="134"/>
      <c r="B180" s="133"/>
      <c r="C180" s="133"/>
    </row>
    <row r="181" spans="1:3" x14ac:dyDescent="0.2">
      <c r="A181" s="134"/>
      <c r="B181" s="133"/>
      <c r="C181" s="133"/>
    </row>
    <row r="182" spans="1:3" x14ac:dyDescent="0.2">
      <c r="A182" s="134"/>
      <c r="B182" s="133"/>
      <c r="C182" s="133"/>
    </row>
    <row r="183" spans="1:3" x14ac:dyDescent="0.2">
      <c r="A183" s="134"/>
      <c r="B183" s="133"/>
      <c r="C183" s="133"/>
    </row>
    <row r="184" spans="1:3" x14ac:dyDescent="0.2">
      <c r="A184" s="134"/>
      <c r="B184" s="133"/>
      <c r="C184" s="133"/>
    </row>
    <row r="185" spans="1:3" x14ac:dyDescent="0.2">
      <c r="A185" s="134"/>
      <c r="B185" s="133"/>
      <c r="C185" s="133"/>
    </row>
    <row r="186" spans="1:3" x14ac:dyDescent="0.2">
      <c r="A186" s="134"/>
      <c r="B186" s="133"/>
      <c r="C186" s="133"/>
    </row>
    <row r="187" spans="1:3" x14ac:dyDescent="0.2">
      <c r="A187" s="134"/>
      <c r="B187" s="133"/>
      <c r="C187" s="133"/>
    </row>
    <row r="188" spans="1:3" x14ac:dyDescent="0.2">
      <c r="A188" s="134"/>
      <c r="B188" s="133"/>
      <c r="C188" s="133"/>
    </row>
    <row r="189" spans="1:3" x14ac:dyDescent="0.2">
      <c r="A189" s="134"/>
      <c r="B189" s="133"/>
      <c r="C189" s="133"/>
    </row>
    <row r="190" spans="1:3" x14ac:dyDescent="0.2">
      <c r="A190" s="134"/>
      <c r="B190" s="133"/>
      <c r="C190" s="133"/>
    </row>
    <row r="191" spans="1:3" x14ac:dyDescent="0.2">
      <c r="A191" s="134"/>
      <c r="B191" s="133"/>
      <c r="C191" s="133"/>
    </row>
    <row r="192" spans="1:3" x14ac:dyDescent="0.2">
      <c r="A192" s="134"/>
      <c r="B192" s="133"/>
      <c r="C192" s="133"/>
    </row>
    <row r="193" spans="1:3" x14ac:dyDescent="0.2">
      <c r="A193" s="134"/>
      <c r="B193" s="133"/>
      <c r="C193" s="133"/>
    </row>
    <row r="194" spans="1:3" x14ac:dyDescent="0.2">
      <c r="A194" s="134"/>
      <c r="B194" s="133"/>
      <c r="C194" s="133"/>
    </row>
    <row r="195" spans="1:3" x14ac:dyDescent="0.2">
      <c r="A195" s="134"/>
      <c r="B195" s="133"/>
      <c r="C195" s="133"/>
    </row>
    <row r="196" spans="1:3" x14ac:dyDescent="0.2">
      <c r="A196" s="134"/>
      <c r="B196" s="133"/>
      <c r="C196" s="133"/>
    </row>
    <row r="197" spans="1:3" x14ac:dyDescent="0.2">
      <c r="A197" s="134"/>
      <c r="B197" s="133"/>
      <c r="C197" s="133"/>
    </row>
    <row r="198" spans="1:3" x14ac:dyDescent="0.2">
      <c r="A198" s="134"/>
      <c r="B198" s="133"/>
      <c r="C198" s="133"/>
    </row>
    <row r="199" spans="1:3" x14ac:dyDescent="0.2">
      <c r="A199" s="134"/>
      <c r="B199" s="133"/>
      <c r="C199" s="133"/>
    </row>
    <row r="200" spans="1:3" x14ac:dyDescent="0.2">
      <c r="A200" s="134"/>
      <c r="B200" s="133"/>
      <c r="C200" s="133"/>
    </row>
    <row r="201" spans="1:3" x14ac:dyDescent="0.2">
      <c r="A201" s="134"/>
      <c r="B201" s="133"/>
      <c r="C201" s="133"/>
    </row>
    <row r="202" spans="1:3" x14ac:dyDescent="0.2">
      <c r="A202" s="134"/>
      <c r="B202" s="133"/>
      <c r="C202" s="133"/>
    </row>
    <row r="203" spans="1:3" x14ac:dyDescent="0.2">
      <c r="A203" s="134"/>
      <c r="B203" s="133"/>
      <c r="C203" s="133"/>
    </row>
    <row r="204" spans="1:3" x14ac:dyDescent="0.2">
      <c r="A204" s="134"/>
      <c r="B204" s="133"/>
      <c r="C204" s="133"/>
    </row>
    <row r="205" spans="1:3" x14ac:dyDescent="0.2">
      <c r="A205" s="134"/>
      <c r="B205" s="133"/>
      <c r="C205" s="133"/>
    </row>
    <row r="206" spans="1:3" x14ac:dyDescent="0.2">
      <c r="A206" s="134"/>
      <c r="B206" s="133"/>
      <c r="C206" s="133"/>
    </row>
    <row r="207" spans="1:3" x14ac:dyDescent="0.2">
      <c r="A207" s="134"/>
      <c r="B207" s="133"/>
      <c r="C207" s="133"/>
    </row>
    <row r="208" spans="1:3" x14ac:dyDescent="0.2">
      <c r="A208" s="134"/>
      <c r="B208" s="133"/>
      <c r="C208" s="133"/>
    </row>
    <row r="209" spans="1:3" x14ac:dyDescent="0.2">
      <c r="A209" s="134"/>
      <c r="B209" s="133"/>
      <c r="C209" s="133"/>
    </row>
    <row r="210" spans="1:3" x14ac:dyDescent="0.2">
      <c r="A210" s="134"/>
      <c r="B210" s="133"/>
      <c r="C210" s="133"/>
    </row>
    <row r="211" spans="1:3" x14ac:dyDescent="0.2">
      <c r="A211" s="134"/>
      <c r="B211" s="133"/>
      <c r="C211" s="133"/>
    </row>
    <row r="212" spans="1:3" x14ac:dyDescent="0.2">
      <c r="A212" s="134"/>
      <c r="B212" s="133"/>
      <c r="C212" s="133"/>
    </row>
    <row r="213" spans="1:3" x14ac:dyDescent="0.2">
      <c r="A213" s="135"/>
      <c r="C213" s="133"/>
    </row>
    <row r="214" spans="1:3" x14ac:dyDescent="0.2">
      <c r="A214" s="135"/>
      <c r="C214" s="133"/>
    </row>
    <row r="215" spans="1:3" x14ac:dyDescent="0.2">
      <c r="A215" s="135"/>
    </row>
    <row r="216" spans="1:3" x14ac:dyDescent="0.2">
      <c r="A216" s="135"/>
    </row>
    <row r="217" spans="1:3" x14ac:dyDescent="0.2">
      <c r="A217" s="135"/>
    </row>
    <row r="218" spans="1:3" x14ac:dyDescent="0.2">
      <c r="A218" s="135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255"/>
  <sheetViews>
    <sheetView zoomScale="110" zoomScaleNormal="110" workbookViewId="0"/>
  </sheetViews>
  <sheetFormatPr defaultRowHeight="12.75" x14ac:dyDescent="0.2"/>
  <cols>
    <col min="1" max="1" width="10.5703125" customWidth="1"/>
    <col min="2" max="5" width="8.7109375" customWidth="1"/>
    <col min="6" max="11" width="10.5703125" customWidth="1"/>
  </cols>
  <sheetData>
    <row r="1" spans="1:7" x14ac:dyDescent="0.2">
      <c r="A1" s="150" t="s">
        <v>177</v>
      </c>
    </row>
    <row r="2" spans="1:7" x14ac:dyDescent="0.2">
      <c r="A2" s="151"/>
      <c r="B2" s="151" t="s">
        <v>200</v>
      </c>
      <c r="C2" s="145"/>
      <c r="D2" s="145"/>
      <c r="F2" s="10"/>
      <c r="G2" s="21"/>
    </row>
    <row r="3" spans="1:7" x14ac:dyDescent="0.2">
      <c r="A3" s="10"/>
      <c r="B3" s="150" t="s">
        <v>179</v>
      </c>
      <c r="C3" s="10"/>
      <c r="D3" s="10"/>
    </row>
    <row r="4" spans="1:7" x14ac:dyDescent="0.2">
      <c r="B4" s="150" t="s">
        <v>178</v>
      </c>
      <c r="C4" s="10"/>
      <c r="D4" s="10"/>
    </row>
    <row r="5" spans="1:7" ht="14.25" x14ac:dyDescent="0.2">
      <c r="A5" s="153">
        <v>39448</v>
      </c>
      <c r="B5" s="152">
        <v>1053</v>
      </c>
      <c r="C5" s="148"/>
      <c r="D5" s="147"/>
      <c r="F5" s="22"/>
      <c r="G5" s="24"/>
    </row>
    <row r="6" spans="1:7" ht="14.25" x14ac:dyDescent="0.2">
      <c r="A6" s="153">
        <v>39479</v>
      </c>
      <c r="B6" s="152">
        <v>1192</v>
      </c>
      <c r="C6" s="148"/>
      <c r="D6" s="147"/>
      <c r="F6" s="22"/>
      <c r="G6" s="24"/>
    </row>
    <row r="7" spans="1:7" ht="14.25" x14ac:dyDescent="0.2">
      <c r="A7" s="153">
        <v>39508</v>
      </c>
      <c r="B7" s="152">
        <v>1291</v>
      </c>
      <c r="C7" s="148"/>
      <c r="D7" s="147"/>
    </row>
    <row r="8" spans="1:7" ht="14.25" x14ac:dyDescent="0.2">
      <c r="A8" s="153">
        <v>39539</v>
      </c>
      <c r="B8" s="152">
        <v>1247</v>
      </c>
      <c r="C8" s="148"/>
      <c r="D8" s="147"/>
    </row>
    <row r="9" spans="1:7" ht="14.25" x14ac:dyDescent="0.2">
      <c r="A9" s="153">
        <v>39569</v>
      </c>
      <c r="B9" s="152">
        <v>1250</v>
      </c>
      <c r="C9" s="148"/>
      <c r="D9" s="147"/>
    </row>
    <row r="10" spans="1:7" ht="14.25" x14ac:dyDescent="0.2">
      <c r="A10" s="153">
        <v>39600</v>
      </c>
      <c r="B10" s="152">
        <v>1199</v>
      </c>
      <c r="C10" s="148"/>
      <c r="D10" s="147"/>
    </row>
    <row r="11" spans="1:7" ht="14.25" x14ac:dyDescent="0.2">
      <c r="A11" s="153">
        <v>39630</v>
      </c>
      <c r="B11" s="152">
        <v>1115</v>
      </c>
      <c r="C11" s="148"/>
      <c r="D11" s="147"/>
    </row>
    <row r="12" spans="1:7" ht="14.25" x14ac:dyDescent="0.2">
      <c r="A12" s="153">
        <v>39661</v>
      </c>
      <c r="B12" s="152">
        <v>879</v>
      </c>
      <c r="C12" s="148"/>
      <c r="D12" s="147"/>
    </row>
    <row r="13" spans="1:7" ht="14.25" x14ac:dyDescent="0.2">
      <c r="A13" s="153">
        <v>39692</v>
      </c>
      <c r="B13" s="152">
        <v>743</v>
      </c>
      <c r="C13" s="148"/>
      <c r="D13" s="147"/>
    </row>
    <row r="14" spans="1:7" ht="14.25" x14ac:dyDescent="0.2">
      <c r="A14" s="153">
        <v>39722</v>
      </c>
      <c r="B14" s="152">
        <v>564</v>
      </c>
      <c r="C14" s="148"/>
      <c r="D14" s="147"/>
    </row>
    <row r="15" spans="1:7" ht="14.25" x14ac:dyDescent="0.2">
      <c r="A15" s="153">
        <v>39753</v>
      </c>
      <c r="B15" s="152">
        <v>489</v>
      </c>
      <c r="C15" s="148"/>
      <c r="D15" s="147"/>
    </row>
    <row r="16" spans="1:7" ht="14.25" x14ac:dyDescent="0.2">
      <c r="A16" s="153">
        <v>39783</v>
      </c>
      <c r="B16" s="152">
        <v>511</v>
      </c>
      <c r="C16" s="148"/>
      <c r="D16" s="147"/>
    </row>
    <row r="17" spans="1:9" ht="14.25" x14ac:dyDescent="0.2">
      <c r="A17" s="153">
        <v>39814</v>
      </c>
      <c r="B17" s="152">
        <v>566</v>
      </c>
      <c r="C17" s="148"/>
      <c r="D17" s="147"/>
      <c r="H17" s="20"/>
      <c r="I17" s="20"/>
    </row>
    <row r="18" spans="1:9" ht="14.25" x14ac:dyDescent="0.2">
      <c r="A18" s="153">
        <v>39845</v>
      </c>
      <c r="B18" s="152">
        <v>577</v>
      </c>
      <c r="C18" s="148"/>
      <c r="D18" s="147"/>
      <c r="H18" s="13"/>
    </row>
    <row r="19" spans="1:9" ht="14.25" x14ac:dyDescent="0.2">
      <c r="A19" s="153">
        <v>39873</v>
      </c>
      <c r="B19" s="152">
        <v>595</v>
      </c>
      <c r="C19" s="148"/>
      <c r="D19" s="147"/>
      <c r="H19" s="13"/>
    </row>
    <row r="20" spans="1:9" ht="14.25" x14ac:dyDescent="0.2">
      <c r="A20" s="153">
        <v>39904</v>
      </c>
      <c r="B20" s="152">
        <v>716</v>
      </c>
      <c r="C20" s="148"/>
      <c r="D20" s="147"/>
      <c r="H20" s="13"/>
    </row>
    <row r="21" spans="1:9" ht="14.25" x14ac:dyDescent="0.2">
      <c r="A21" s="153">
        <v>39934</v>
      </c>
      <c r="B21" s="152">
        <v>799</v>
      </c>
      <c r="C21" s="148"/>
      <c r="D21" s="147"/>
      <c r="H21" s="13"/>
    </row>
    <row r="22" spans="1:9" ht="14.25" x14ac:dyDescent="0.2">
      <c r="A22" s="153">
        <v>39965</v>
      </c>
      <c r="B22" s="152">
        <v>732</v>
      </c>
      <c r="C22" s="148"/>
      <c r="D22" s="147"/>
      <c r="H22" s="13"/>
    </row>
    <row r="23" spans="1:9" ht="14.25" x14ac:dyDescent="0.2">
      <c r="A23" s="153">
        <v>39995</v>
      </c>
      <c r="B23" s="152">
        <v>647</v>
      </c>
      <c r="C23" s="148"/>
      <c r="D23" s="147"/>
      <c r="H23" s="13"/>
    </row>
    <row r="24" spans="1:9" ht="14.25" x14ac:dyDescent="0.2">
      <c r="A24" s="153">
        <v>40026</v>
      </c>
      <c r="B24" s="152">
        <v>719</v>
      </c>
      <c r="C24" s="147"/>
      <c r="D24" s="147"/>
      <c r="H24" s="13"/>
    </row>
    <row r="25" spans="1:9" ht="14.25" x14ac:dyDescent="0.2">
      <c r="A25" s="153">
        <v>40057</v>
      </c>
      <c r="B25" s="152">
        <v>675</v>
      </c>
      <c r="C25" s="147"/>
      <c r="D25" s="147"/>
      <c r="H25" s="13"/>
    </row>
    <row r="26" spans="1:9" ht="14.25" x14ac:dyDescent="0.2">
      <c r="A26" s="153">
        <v>40087</v>
      </c>
      <c r="B26" s="152">
        <v>663</v>
      </c>
      <c r="C26" s="147"/>
      <c r="D26" s="147"/>
      <c r="H26" s="13"/>
    </row>
    <row r="27" spans="1:9" ht="14.25" x14ac:dyDescent="0.2">
      <c r="A27" s="153">
        <v>40118</v>
      </c>
      <c r="B27" s="152">
        <v>703</v>
      </c>
      <c r="C27" s="147"/>
      <c r="D27" s="147"/>
      <c r="H27" s="13"/>
    </row>
    <row r="28" spans="1:9" ht="14.25" x14ac:dyDescent="0.2">
      <c r="A28" s="153">
        <v>40148</v>
      </c>
      <c r="B28" s="152">
        <v>766</v>
      </c>
      <c r="C28" s="147"/>
      <c r="D28" s="147"/>
      <c r="H28" s="13"/>
    </row>
    <row r="29" spans="1:9" ht="14.25" x14ac:dyDescent="0.2">
      <c r="A29" s="153">
        <v>40179</v>
      </c>
      <c r="B29" s="152">
        <v>774</v>
      </c>
      <c r="C29" s="147"/>
      <c r="D29" s="147"/>
      <c r="H29" s="13"/>
    </row>
    <row r="30" spans="1:9" ht="14.25" x14ac:dyDescent="0.2">
      <c r="A30" s="153">
        <v>40210</v>
      </c>
      <c r="B30" s="152">
        <v>778</v>
      </c>
      <c r="C30" s="147"/>
      <c r="D30" s="147"/>
    </row>
    <row r="31" spans="1:9" ht="14.25" x14ac:dyDescent="0.2">
      <c r="A31" s="153">
        <v>40238</v>
      </c>
      <c r="B31" s="152">
        <v>809</v>
      </c>
      <c r="C31" s="147"/>
      <c r="D31" s="147"/>
    </row>
    <row r="32" spans="1:9" ht="14.25" x14ac:dyDescent="0.2">
      <c r="A32" s="153">
        <v>40269</v>
      </c>
      <c r="B32" s="152">
        <v>811</v>
      </c>
      <c r="C32" s="147"/>
      <c r="D32" s="147"/>
    </row>
    <row r="33" spans="1:4" ht="14.25" x14ac:dyDescent="0.2">
      <c r="A33" s="153">
        <v>40299</v>
      </c>
      <c r="B33" s="152">
        <v>798</v>
      </c>
      <c r="C33" s="147"/>
      <c r="D33" s="147"/>
    </row>
    <row r="34" spans="1:4" ht="14.25" x14ac:dyDescent="0.2">
      <c r="A34" s="153">
        <v>40330</v>
      </c>
      <c r="B34" s="152">
        <v>787</v>
      </c>
      <c r="C34" s="147"/>
      <c r="D34" s="147"/>
    </row>
    <row r="35" spans="1:4" ht="14.25" x14ac:dyDescent="0.2">
      <c r="A35" s="153">
        <v>40360</v>
      </c>
      <c r="B35" s="152">
        <v>801</v>
      </c>
      <c r="C35" s="147"/>
      <c r="D35" s="147"/>
    </row>
    <row r="36" spans="1:4" ht="14.25" x14ac:dyDescent="0.2">
      <c r="A36" s="153">
        <v>40391</v>
      </c>
      <c r="B36" s="152">
        <v>915</v>
      </c>
      <c r="C36" s="147"/>
      <c r="D36" s="147"/>
    </row>
    <row r="37" spans="1:4" ht="14.25" x14ac:dyDescent="0.2">
      <c r="A37" s="153">
        <v>40422</v>
      </c>
      <c r="B37" s="152">
        <v>906</v>
      </c>
      <c r="C37" s="147"/>
      <c r="D37" s="147"/>
    </row>
    <row r="38" spans="1:4" ht="14.25" x14ac:dyDescent="0.2">
      <c r="A38" s="153">
        <v>40452</v>
      </c>
      <c r="B38" s="152">
        <v>997</v>
      </c>
      <c r="C38" s="147"/>
      <c r="D38" s="147"/>
    </row>
    <row r="39" spans="1:4" ht="14.25" x14ac:dyDescent="0.2">
      <c r="A39" s="153">
        <v>40483</v>
      </c>
      <c r="B39" s="152">
        <v>1107</v>
      </c>
      <c r="C39" s="147"/>
      <c r="D39" s="147"/>
    </row>
    <row r="40" spans="1:4" ht="14.25" x14ac:dyDescent="0.2">
      <c r="A40" s="153">
        <v>40513</v>
      </c>
      <c r="B40" s="152">
        <v>1196</v>
      </c>
      <c r="C40" s="147"/>
      <c r="D40" s="147"/>
    </row>
    <row r="41" spans="1:4" ht="14.25" x14ac:dyDescent="0.2">
      <c r="A41" s="153">
        <v>40544</v>
      </c>
      <c r="B41" s="152">
        <v>1256</v>
      </c>
      <c r="C41" s="147"/>
      <c r="D41" s="147"/>
    </row>
    <row r="42" spans="1:4" ht="14.25" x14ac:dyDescent="0.2">
      <c r="A42" s="153">
        <v>40575</v>
      </c>
      <c r="B42" s="152">
        <v>1282</v>
      </c>
      <c r="C42" s="147"/>
      <c r="D42" s="147"/>
    </row>
    <row r="43" spans="1:4" ht="14.25" x14ac:dyDescent="0.2">
      <c r="A43" s="153">
        <v>40603</v>
      </c>
      <c r="B43" s="152">
        <v>1196</v>
      </c>
      <c r="C43" s="147"/>
      <c r="D43" s="147"/>
    </row>
    <row r="44" spans="1:4" ht="14.25" x14ac:dyDescent="0.2">
      <c r="A44" s="153">
        <v>40634</v>
      </c>
      <c r="B44" s="152">
        <v>1167</v>
      </c>
      <c r="C44" s="147"/>
      <c r="D44" s="147"/>
    </row>
    <row r="45" spans="1:4" ht="14.25" x14ac:dyDescent="0.2">
      <c r="A45" s="153">
        <v>40664</v>
      </c>
      <c r="B45" s="152">
        <v>1199</v>
      </c>
      <c r="C45" s="147"/>
      <c r="D45" s="147"/>
    </row>
    <row r="46" spans="1:4" ht="14.25" x14ac:dyDescent="0.2">
      <c r="A46" s="153">
        <v>40695</v>
      </c>
      <c r="B46" s="152">
        <v>1123</v>
      </c>
      <c r="C46" s="147"/>
      <c r="D46" s="147"/>
    </row>
    <row r="47" spans="1:4" ht="14.25" x14ac:dyDescent="0.2">
      <c r="A47" s="153">
        <v>40725</v>
      </c>
      <c r="B47" s="152">
        <v>1123</v>
      </c>
      <c r="C47" s="147"/>
      <c r="D47" s="147"/>
    </row>
    <row r="48" spans="1:4" ht="14.25" x14ac:dyDescent="0.2">
      <c r="A48" s="153">
        <v>40756</v>
      </c>
      <c r="B48" s="152">
        <v>1133</v>
      </c>
      <c r="C48" s="147"/>
      <c r="D48" s="147"/>
    </row>
    <row r="49" spans="1:4" ht="14.25" x14ac:dyDescent="0.2">
      <c r="A49" s="153">
        <v>40787</v>
      </c>
      <c r="B49" s="152">
        <v>1066</v>
      </c>
      <c r="C49" s="147"/>
      <c r="D49" s="147"/>
    </row>
    <row r="50" spans="1:4" ht="14.25" x14ac:dyDescent="0.2">
      <c r="A50" s="153">
        <v>40817</v>
      </c>
      <c r="B50" s="152">
        <v>970</v>
      </c>
      <c r="C50" s="147"/>
      <c r="D50" s="147"/>
    </row>
    <row r="51" spans="1:4" ht="14.25" x14ac:dyDescent="0.2">
      <c r="A51" s="153">
        <v>40848</v>
      </c>
      <c r="B51" s="152">
        <v>1034</v>
      </c>
      <c r="C51" s="147"/>
      <c r="D51" s="147"/>
    </row>
    <row r="52" spans="1:4" ht="14.25" x14ac:dyDescent="0.2">
      <c r="A52" s="153">
        <v>40878</v>
      </c>
      <c r="B52" s="152">
        <v>1053</v>
      </c>
      <c r="C52" s="147"/>
      <c r="D52" s="147"/>
    </row>
    <row r="53" spans="1:4" ht="14.25" x14ac:dyDescent="0.2">
      <c r="A53" s="153">
        <v>40909</v>
      </c>
      <c r="B53" s="152">
        <v>1056</v>
      </c>
      <c r="C53" s="147"/>
      <c r="D53" s="147"/>
    </row>
    <row r="54" spans="1:4" ht="14.25" x14ac:dyDescent="0.2">
      <c r="A54" s="153">
        <v>40940</v>
      </c>
      <c r="B54" s="152">
        <v>1070</v>
      </c>
      <c r="C54" s="147"/>
      <c r="D54" s="147"/>
    </row>
    <row r="55" spans="1:4" ht="14.25" x14ac:dyDescent="0.2">
      <c r="A55" s="153">
        <v>40969</v>
      </c>
      <c r="B55" s="152">
        <v>1126</v>
      </c>
      <c r="C55" s="147"/>
      <c r="D55" s="147"/>
    </row>
    <row r="56" spans="1:4" ht="14.25" x14ac:dyDescent="0.2">
      <c r="A56" s="153">
        <v>41000</v>
      </c>
      <c r="B56" s="152">
        <v>1166</v>
      </c>
      <c r="C56" s="147"/>
      <c r="D56" s="147"/>
    </row>
    <row r="57" spans="1:4" ht="14.25" x14ac:dyDescent="0.2">
      <c r="A57" s="153">
        <v>41030</v>
      </c>
      <c r="B57" s="152">
        <v>1062</v>
      </c>
      <c r="C57" s="147"/>
      <c r="D57" s="147"/>
    </row>
    <row r="58" spans="1:4" ht="14.25" x14ac:dyDescent="0.2">
      <c r="A58" s="153">
        <v>41061</v>
      </c>
      <c r="B58" s="152">
        <v>965</v>
      </c>
      <c r="C58" s="147"/>
      <c r="D58" s="147"/>
    </row>
    <row r="59" spans="1:4" ht="14.25" x14ac:dyDescent="0.2">
      <c r="A59" s="153">
        <v>41091</v>
      </c>
      <c r="B59" s="152">
        <v>990</v>
      </c>
      <c r="C59" s="147"/>
      <c r="D59" s="147"/>
    </row>
    <row r="60" spans="1:4" ht="14.25" x14ac:dyDescent="0.2">
      <c r="A60" s="153">
        <v>41122</v>
      </c>
      <c r="B60" s="152">
        <v>960</v>
      </c>
      <c r="C60" s="147"/>
      <c r="D60" s="147"/>
    </row>
    <row r="61" spans="1:4" ht="14.25" x14ac:dyDescent="0.2">
      <c r="A61" s="153">
        <v>41153</v>
      </c>
      <c r="B61" s="152">
        <v>935</v>
      </c>
      <c r="C61" s="147"/>
      <c r="D61" s="147"/>
    </row>
    <row r="62" spans="1:4" ht="14.25" x14ac:dyDescent="0.2">
      <c r="A62" s="153">
        <v>41183</v>
      </c>
      <c r="B62" s="152">
        <v>823</v>
      </c>
      <c r="C62" s="147"/>
      <c r="D62" s="147"/>
    </row>
    <row r="63" spans="1:4" ht="14.25" x14ac:dyDescent="0.2">
      <c r="A63" s="153">
        <v>41214</v>
      </c>
      <c r="B63" s="152">
        <v>799</v>
      </c>
      <c r="C63" s="147"/>
      <c r="D63" s="147"/>
    </row>
    <row r="64" spans="1:4" ht="14.25" x14ac:dyDescent="0.2">
      <c r="A64" s="153">
        <v>41244</v>
      </c>
      <c r="B64" s="152">
        <v>763</v>
      </c>
      <c r="C64" s="147"/>
      <c r="D64" s="147"/>
    </row>
    <row r="65" spans="1:4" ht="14.25" x14ac:dyDescent="0.2">
      <c r="A65" s="153">
        <v>41275</v>
      </c>
      <c r="B65" s="152">
        <v>812</v>
      </c>
      <c r="C65" s="147"/>
      <c r="D65" s="147"/>
    </row>
    <row r="66" spans="1:4" ht="14.25" x14ac:dyDescent="0.2">
      <c r="A66" s="153">
        <v>41306</v>
      </c>
      <c r="B66" s="152">
        <v>828</v>
      </c>
      <c r="C66" s="147"/>
      <c r="D66" s="147"/>
    </row>
    <row r="67" spans="1:4" ht="14.25" x14ac:dyDescent="0.2">
      <c r="A67" s="153">
        <v>41334</v>
      </c>
      <c r="B67" s="152">
        <v>804</v>
      </c>
      <c r="C67" s="147"/>
      <c r="D67" s="147"/>
    </row>
    <row r="68" spans="1:4" ht="14.25" x14ac:dyDescent="0.2">
      <c r="A68" s="153">
        <v>41365</v>
      </c>
      <c r="B68" s="152">
        <v>793</v>
      </c>
      <c r="C68" s="147"/>
      <c r="D68" s="147"/>
    </row>
    <row r="69" spans="1:4" ht="14.25" x14ac:dyDescent="0.2">
      <c r="A69" s="153">
        <v>41395</v>
      </c>
      <c r="B69" s="152">
        <v>795</v>
      </c>
      <c r="C69" s="147"/>
      <c r="D69" s="147"/>
    </row>
    <row r="70" spans="1:4" ht="14.25" x14ac:dyDescent="0.2">
      <c r="A70" s="153">
        <v>41426</v>
      </c>
      <c r="B70" s="152">
        <v>796</v>
      </c>
      <c r="C70" s="147"/>
      <c r="D70" s="147"/>
    </row>
    <row r="71" spans="1:4" ht="14.25" x14ac:dyDescent="0.2">
      <c r="A71" s="153">
        <v>41456</v>
      </c>
      <c r="B71" s="152">
        <v>765</v>
      </c>
      <c r="C71" s="147"/>
      <c r="D71" s="147"/>
    </row>
    <row r="72" spans="1:4" ht="14.25" x14ac:dyDescent="0.2">
      <c r="A72" s="153">
        <v>41487</v>
      </c>
      <c r="B72" s="152">
        <v>757</v>
      </c>
      <c r="C72" s="147"/>
      <c r="D72" s="147"/>
    </row>
    <row r="73" spans="1:4" ht="14.25" x14ac:dyDescent="0.2">
      <c r="A73" s="153">
        <v>41518</v>
      </c>
      <c r="B73" s="152">
        <v>760</v>
      </c>
      <c r="C73" s="147"/>
      <c r="D73" s="147"/>
    </row>
    <row r="74" spans="1:4" ht="14.25" x14ac:dyDescent="0.2">
      <c r="A74" s="153">
        <v>41548</v>
      </c>
      <c r="B74" s="152">
        <v>795</v>
      </c>
      <c r="C74" s="147"/>
      <c r="D74" s="147"/>
    </row>
    <row r="75" spans="1:4" ht="14.25" x14ac:dyDescent="0.2">
      <c r="A75" s="153">
        <v>41579</v>
      </c>
      <c r="B75" s="152">
        <v>835</v>
      </c>
      <c r="C75" s="147"/>
      <c r="D75" s="147"/>
    </row>
    <row r="76" spans="1:4" ht="14.25" x14ac:dyDescent="0.2">
      <c r="A76" s="153">
        <v>41609</v>
      </c>
      <c r="B76" s="152">
        <v>813</v>
      </c>
      <c r="C76" s="147"/>
      <c r="D76" s="147"/>
    </row>
    <row r="77" spans="1:4" ht="14.25" x14ac:dyDescent="0.2">
      <c r="A77" s="153">
        <v>41640</v>
      </c>
      <c r="B77" s="152">
        <v>796</v>
      </c>
      <c r="C77" s="147"/>
      <c r="D77" s="147"/>
    </row>
    <row r="78" spans="1:4" ht="14.25" x14ac:dyDescent="0.2">
      <c r="A78" s="153">
        <v>41671</v>
      </c>
      <c r="B78" s="152">
        <v>846</v>
      </c>
      <c r="C78" s="147"/>
      <c r="D78" s="147"/>
    </row>
    <row r="79" spans="1:4" ht="14.25" x14ac:dyDescent="0.2">
      <c r="A79" s="153">
        <v>41699</v>
      </c>
      <c r="B79" s="152">
        <v>890</v>
      </c>
      <c r="C79" s="147"/>
      <c r="D79" s="147"/>
    </row>
    <row r="80" spans="1:4" ht="14.25" x14ac:dyDescent="0.2">
      <c r="A80" s="153">
        <v>41730</v>
      </c>
      <c r="B80" s="152">
        <v>858</v>
      </c>
      <c r="C80" s="147"/>
      <c r="D80" s="147"/>
    </row>
    <row r="81" spans="1:4" ht="14.25" x14ac:dyDescent="0.2">
      <c r="A81" s="153">
        <v>41760</v>
      </c>
      <c r="B81" s="152">
        <v>828</v>
      </c>
      <c r="C81" s="147"/>
      <c r="D81" s="147"/>
    </row>
    <row r="82" spans="1:4" ht="14.25" x14ac:dyDescent="0.2">
      <c r="A82" s="153">
        <v>41791</v>
      </c>
      <c r="B82" s="152">
        <v>793</v>
      </c>
      <c r="C82" s="147"/>
      <c r="D82" s="147"/>
    </row>
    <row r="83" spans="1:4" ht="14.25" x14ac:dyDescent="0.2">
      <c r="A83" s="153">
        <v>41821</v>
      </c>
      <c r="B83" s="152">
        <v>782</v>
      </c>
      <c r="C83" s="147"/>
      <c r="D83" s="147"/>
    </row>
    <row r="84" spans="1:4" ht="14.25" x14ac:dyDescent="0.2">
      <c r="A84" s="153">
        <v>41852</v>
      </c>
      <c r="B84" s="152">
        <v>701</v>
      </c>
      <c r="C84" s="147"/>
      <c r="D84" s="147"/>
    </row>
    <row r="85" spans="1:4" ht="14.25" x14ac:dyDescent="0.2">
      <c r="A85" s="153">
        <v>41883</v>
      </c>
      <c r="B85" s="152">
        <v>694</v>
      </c>
      <c r="C85" s="147"/>
      <c r="D85" s="147"/>
    </row>
    <row r="86" spans="1:4" ht="14.25" x14ac:dyDescent="0.2">
      <c r="A86" s="153">
        <v>41913</v>
      </c>
      <c r="B86" s="152">
        <v>693</v>
      </c>
      <c r="C86" s="147"/>
      <c r="D86" s="147"/>
    </row>
    <row r="87" spans="1:4" ht="14.25" x14ac:dyDescent="0.2">
      <c r="A87" s="153">
        <v>41944</v>
      </c>
      <c r="B87" s="152">
        <v>693</v>
      </c>
      <c r="C87" s="147"/>
      <c r="D87" s="147"/>
    </row>
    <row r="88" spans="1:4" ht="14.25" x14ac:dyDescent="0.2">
      <c r="A88" s="153">
        <v>41974</v>
      </c>
      <c r="B88" s="152">
        <v>656</v>
      </c>
      <c r="C88" s="147"/>
      <c r="D88" s="147"/>
    </row>
    <row r="89" spans="1:4" ht="14.25" x14ac:dyDescent="0.2">
      <c r="A89" s="153">
        <v>42005</v>
      </c>
      <c r="B89" s="152">
        <v>652</v>
      </c>
      <c r="C89" s="147"/>
      <c r="D89" s="147"/>
    </row>
    <row r="90" spans="1:4" ht="14.25" x14ac:dyDescent="0.2">
      <c r="A90" s="153">
        <v>42036</v>
      </c>
      <c r="B90" s="152">
        <v>662</v>
      </c>
      <c r="C90" s="147"/>
      <c r="D90" s="147"/>
    </row>
    <row r="91" spans="1:4" ht="14.25" x14ac:dyDescent="0.2">
      <c r="A91" s="153">
        <v>42064</v>
      </c>
      <c r="B91" s="152">
        <v>629</v>
      </c>
      <c r="C91" s="147"/>
      <c r="D91" s="147"/>
    </row>
    <row r="92" spans="1:4" ht="14.25" x14ac:dyDescent="0.2">
      <c r="A92" s="153">
        <v>42095</v>
      </c>
      <c r="B92" s="152">
        <v>610</v>
      </c>
      <c r="C92" s="147"/>
      <c r="D92" s="147"/>
    </row>
    <row r="93" spans="1:4" ht="14.25" x14ac:dyDescent="0.2">
      <c r="A93" s="153">
        <v>42125</v>
      </c>
      <c r="B93" s="152">
        <v>628</v>
      </c>
      <c r="C93" s="147"/>
      <c r="D93" s="147"/>
    </row>
    <row r="94" spans="1:4" ht="14.25" x14ac:dyDescent="0.2">
      <c r="A94" s="153">
        <v>42156</v>
      </c>
      <c r="B94" s="152">
        <v>638</v>
      </c>
      <c r="C94" s="147"/>
      <c r="D94" s="147"/>
    </row>
    <row r="95" spans="1:4" ht="14.25" x14ac:dyDescent="0.2">
      <c r="A95" s="153">
        <v>42186</v>
      </c>
      <c r="B95" s="152">
        <v>610</v>
      </c>
      <c r="C95" s="147"/>
      <c r="D95" s="147"/>
    </row>
    <row r="96" spans="1:4" ht="14.25" x14ac:dyDescent="0.2">
      <c r="A96" s="153">
        <v>42217</v>
      </c>
      <c r="B96" s="152">
        <v>524</v>
      </c>
      <c r="C96" s="147"/>
      <c r="D96" s="147"/>
    </row>
    <row r="97" spans="1:4" ht="14.25" x14ac:dyDescent="0.2">
      <c r="A97" s="153">
        <v>42248</v>
      </c>
      <c r="B97" s="152">
        <v>521</v>
      </c>
      <c r="C97" s="147"/>
      <c r="D97" s="147"/>
    </row>
    <row r="98" spans="1:4" ht="14.25" x14ac:dyDescent="0.2">
      <c r="A98" s="153">
        <v>42278</v>
      </c>
      <c r="B98" s="152">
        <v>565</v>
      </c>
      <c r="C98" s="147"/>
      <c r="D98" s="147"/>
    </row>
    <row r="99" spans="1:4" ht="14.25" x14ac:dyDescent="0.2">
      <c r="A99" s="153">
        <v>42309</v>
      </c>
      <c r="B99" s="152">
        <v>541</v>
      </c>
      <c r="C99" s="147"/>
      <c r="D99" s="147"/>
    </row>
    <row r="100" spans="1:4" ht="14.25" x14ac:dyDescent="0.2">
      <c r="A100" s="153">
        <v>42339</v>
      </c>
      <c r="B100" s="152">
        <v>539</v>
      </c>
      <c r="C100" s="147"/>
      <c r="D100" s="147"/>
    </row>
    <row r="101" spans="1:4" ht="14.25" x14ac:dyDescent="0.2">
      <c r="A101" s="153">
        <v>42370</v>
      </c>
      <c r="B101" s="152">
        <v>550</v>
      </c>
      <c r="C101" s="147"/>
      <c r="D101" s="147"/>
    </row>
    <row r="102" spans="1:4" ht="14.25" x14ac:dyDescent="0.2">
      <c r="A102" s="153">
        <v>42401</v>
      </c>
      <c r="B102" s="152">
        <v>613</v>
      </c>
      <c r="C102" s="147"/>
      <c r="D102" s="147"/>
    </row>
    <row r="103" spans="1:4" ht="14.25" x14ac:dyDescent="0.2">
      <c r="A103" s="153">
        <v>42430</v>
      </c>
      <c r="B103" s="152">
        <v>654</v>
      </c>
      <c r="C103" s="147"/>
      <c r="D103" s="147"/>
    </row>
    <row r="104" spans="1:4" ht="14.25" x14ac:dyDescent="0.2">
      <c r="A104" s="153">
        <v>42461</v>
      </c>
      <c r="B104" s="152">
        <v>707</v>
      </c>
      <c r="C104" s="147"/>
      <c r="D104" s="147"/>
    </row>
    <row r="105" spans="1:4" ht="14.25" x14ac:dyDescent="0.2">
      <c r="A105" s="153">
        <v>42491</v>
      </c>
      <c r="B105" s="152">
        <v>686</v>
      </c>
      <c r="C105" s="147"/>
      <c r="D105" s="147"/>
    </row>
    <row r="106" spans="1:4" ht="14.25" x14ac:dyDescent="0.2">
      <c r="A106" s="153">
        <v>42522</v>
      </c>
      <c r="B106" s="152">
        <v>640</v>
      </c>
      <c r="C106" s="147"/>
      <c r="D106" s="147"/>
    </row>
    <row r="107" spans="1:4" ht="14.25" x14ac:dyDescent="0.2">
      <c r="A107" s="153">
        <v>42552</v>
      </c>
      <c r="B107" s="152">
        <v>615</v>
      </c>
      <c r="C107" s="147"/>
      <c r="D107" s="147"/>
    </row>
    <row r="108" spans="1:4" ht="14.25" x14ac:dyDescent="0.2">
      <c r="A108" s="153">
        <v>42583</v>
      </c>
      <c r="B108" s="152">
        <v>704</v>
      </c>
      <c r="C108" s="147"/>
      <c r="D108" s="147"/>
    </row>
    <row r="109" spans="1:4" ht="14.25" x14ac:dyDescent="0.2">
      <c r="A109" s="153">
        <v>42614</v>
      </c>
      <c r="B109" s="152">
        <v>716</v>
      </c>
      <c r="C109" s="147"/>
      <c r="D109" s="147"/>
    </row>
    <row r="110" spans="1:4" ht="14.25" x14ac:dyDescent="0.2">
      <c r="A110" s="153">
        <v>42644</v>
      </c>
      <c r="B110" s="152">
        <v>677</v>
      </c>
      <c r="C110" s="147"/>
      <c r="D110" s="147"/>
    </row>
    <row r="111" spans="1:4" ht="14.25" x14ac:dyDescent="0.2">
      <c r="A111" s="153">
        <v>42675</v>
      </c>
      <c r="B111" s="152">
        <v>708</v>
      </c>
      <c r="C111" s="147"/>
      <c r="D111" s="147"/>
    </row>
    <row r="112" spans="1:4" ht="14.25" x14ac:dyDescent="0.2">
      <c r="A112" s="153">
        <v>42705</v>
      </c>
      <c r="B112" s="152">
        <v>745</v>
      </c>
      <c r="C112" s="147"/>
      <c r="D112" s="147"/>
    </row>
    <row r="113" spans="1:4" ht="14.25" x14ac:dyDescent="0.2">
      <c r="A113" s="153">
        <v>42736</v>
      </c>
      <c r="B113" s="152">
        <v>759</v>
      </c>
      <c r="C113" s="147"/>
      <c r="D113" s="147"/>
    </row>
    <row r="114" spans="1:4" ht="14.25" x14ac:dyDescent="0.2">
      <c r="A114" s="153">
        <v>42767</v>
      </c>
      <c r="B114" s="152">
        <v>740</v>
      </c>
      <c r="C114" s="147"/>
      <c r="D114" s="147"/>
    </row>
    <row r="115" spans="1:4" ht="14.25" x14ac:dyDescent="0.2">
      <c r="A115" s="153">
        <v>42795</v>
      </c>
      <c r="B115" s="152">
        <v>713</v>
      </c>
      <c r="C115" s="147"/>
      <c r="D115" s="147"/>
    </row>
    <row r="116" spans="1:4" ht="14.25" x14ac:dyDescent="0.2">
      <c r="A116" s="153">
        <v>42826</v>
      </c>
      <c r="B116" s="152">
        <v>681</v>
      </c>
      <c r="C116" s="147"/>
      <c r="D116" s="147"/>
    </row>
    <row r="117" spans="1:4" ht="14.25" x14ac:dyDescent="0.2">
      <c r="A117" s="153">
        <v>42856</v>
      </c>
      <c r="B117" s="152">
        <v>698</v>
      </c>
      <c r="C117" s="147"/>
      <c r="D117" s="147"/>
    </row>
    <row r="118" spans="1:4" ht="14.25" x14ac:dyDescent="0.2">
      <c r="A118" s="153">
        <v>42887</v>
      </c>
      <c r="B118" s="152">
        <v>670</v>
      </c>
      <c r="C118" s="147"/>
      <c r="D118" s="147"/>
    </row>
    <row r="119" spans="1:4" ht="14.25" x14ac:dyDescent="0.2">
      <c r="A119" s="153">
        <v>42917</v>
      </c>
      <c r="B119" s="152">
        <v>658</v>
      </c>
      <c r="C119" s="147"/>
      <c r="D119" s="147"/>
    </row>
    <row r="120" spans="1:4" ht="14.25" x14ac:dyDescent="0.2">
      <c r="A120" s="153">
        <v>42948</v>
      </c>
      <c r="B120" s="152">
        <v>651</v>
      </c>
      <c r="C120" s="147"/>
      <c r="D120" s="147"/>
    </row>
    <row r="121" spans="1:4" ht="14.25" x14ac:dyDescent="0.2">
      <c r="A121" s="153">
        <v>42979</v>
      </c>
      <c r="B121" s="152">
        <v>690</v>
      </c>
      <c r="C121" s="147"/>
      <c r="D121" s="147"/>
    </row>
    <row r="122" spans="1:4" ht="14.25" x14ac:dyDescent="0.2">
      <c r="A122" s="153">
        <v>43009</v>
      </c>
      <c r="B122" s="152">
        <v>681</v>
      </c>
      <c r="C122" s="147"/>
      <c r="D122" s="147"/>
    </row>
    <row r="123" spans="1:4" ht="14.25" x14ac:dyDescent="0.2">
      <c r="A123" s="153">
        <v>43040</v>
      </c>
      <c r="B123" s="152">
        <v>670</v>
      </c>
      <c r="C123" s="147"/>
      <c r="D123" s="147"/>
    </row>
    <row r="124" spans="1:4" ht="14.25" x14ac:dyDescent="0.2">
      <c r="A124" s="153">
        <v>43070</v>
      </c>
      <c r="B124" s="152">
        <v>619</v>
      </c>
      <c r="C124" s="147"/>
      <c r="D124" s="147"/>
    </row>
    <row r="125" spans="1:4" ht="14.25" x14ac:dyDescent="0.2">
      <c r="A125" s="153">
        <v>43101</v>
      </c>
      <c r="B125" s="152">
        <v>650</v>
      </c>
      <c r="C125" s="147"/>
      <c r="D125" s="147"/>
    </row>
    <row r="126" spans="1:4" ht="14.25" x14ac:dyDescent="0.2">
      <c r="A126" s="153">
        <v>43132</v>
      </c>
      <c r="B126" s="152">
        <v>654</v>
      </c>
      <c r="C126" s="147"/>
      <c r="D126" s="147"/>
    </row>
    <row r="127" spans="1:4" ht="14.25" x14ac:dyDescent="0.2">
      <c r="A127" s="153">
        <v>43160</v>
      </c>
      <c r="B127" s="152">
        <v>658</v>
      </c>
      <c r="C127" s="147"/>
      <c r="D127" s="147"/>
    </row>
    <row r="128" spans="1:4" ht="14.25" x14ac:dyDescent="0.2">
      <c r="A128" s="153">
        <v>43191</v>
      </c>
      <c r="B128" s="152">
        <v>651</v>
      </c>
      <c r="C128" s="147"/>
      <c r="D128" s="147"/>
    </row>
    <row r="129" spans="1:4" ht="14.25" x14ac:dyDescent="0.2">
      <c r="A129" s="153">
        <v>43221</v>
      </c>
      <c r="B129" s="152">
        <v>639</v>
      </c>
      <c r="C129" s="147"/>
      <c r="D129" s="147"/>
    </row>
    <row r="130" spans="1:4" ht="14.25" x14ac:dyDescent="0.2">
      <c r="A130" s="153">
        <v>43252</v>
      </c>
      <c r="B130" s="152">
        <v>605</v>
      </c>
      <c r="C130" s="147"/>
      <c r="D130" s="147"/>
    </row>
    <row r="131" spans="1:4" ht="14.25" x14ac:dyDescent="0.2">
      <c r="A131" s="153">
        <v>43282</v>
      </c>
      <c r="B131" s="152">
        <v>570</v>
      </c>
      <c r="C131" s="147"/>
      <c r="D131" s="147"/>
    </row>
    <row r="132" spans="1:4" ht="14.25" x14ac:dyDescent="0.2">
      <c r="A132" s="153">
        <v>43313</v>
      </c>
      <c r="B132" s="152">
        <v>559</v>
      </c>
      <c r="C132" s="147"/>
      <c r="D132" s="147"/>
    </row>
    <row r="133" spans="1:4" ht="14.25" x14ac:dyDescent="0.2">
      <c r="A133" s="153">
        <v>43344</v>
      </c>
      <c r="B133" s="152">
        <v>552</v>
      </c>
      <c r="C133" s="147"/>
      <c r="D133" s="147"/>
    </row>
    <row r="134" spans="1:4" ht="14.25" x14ac:dyDescent="0.2">
      <c r="A134" s="153">
        <v>43374</v>
      </c>
      <c r="B134" s="152">
        <v>539</v>
      </c>
      <c r="C134" s="147"/>
      <c r="D134" s="147"/>
    </row>
    <row r="135" spans="1:4" ht="14.25" x14ac:dyDescent="0.2">
      <c r="A135" s="153">
        <v>43405</v>
      </c>
      <c r="B135" s="152">
        <v>492</v>
      </c>
      <c r="C135" s="147"/>
      <c r="D135" s="147"/>
    </row>
    <row r="136" spans="1:4" x14ac:dyDescent="0.2">
      <c r="A136" s="146"/>
      <c r="B136" s="147"/>
      <c r="C136" s="147"/>
      <c r="D136" s="147"/>
    </row>
    <row r="137" spans="1:4" x14ac:dyDescent="0.2">
      <c r="A137" s="146"/>
      <c r="B137" s="147"/>
      <c r="C137" s="147"/>
      <c r="D137" s="147"/>
    </row>
    <row r="138" spans="1:4" x14ac:dyDescent="0.2">
      <c r="A138" s="146"/>
      <c r="B138" s="147"/>
      <c r="C138" s="147"/>
      <c r="D138" s="147"/>
    </row>
    <row r="139" spans="1:4" x14ac:dyDescent="0.2">
      <c r="A139" s="146"/>
      <c r="B139" s="147"/>
      <c r="C139" s="147"/>
      <c r="D139" s="147"/>
    </row>
    <row r="140" spans="1:4" x14ac:dyDescent="0.2">
      <c r="A140" s="146"/>
      <c r="B140" s="147"/>
      <c r="C140" s="147"/>
      <c r="D140" s="147"/>
    </row>
    <row r="141" spans="1:4" x14ac:dyDescent="0.2">
      <c r="A141" s="146"/>
      <c r="B141" s="147"/>
      <c r="C141" s="147"/>
      <c r="D141" s="147"/>
    </row>
    <row r="142" spans="1:4" x14ac:dyDescent="0.2">
      <c r="A142" s="146"/>
      <c r="B142" s="147"/>
      <c r="C142" s="147"/>
      <c r="D142" s="147"/>
    </row>
    <row r="143" spans="1:4" x14ac:dyDescent="0.2">
      <c r="A143" s="146"/>
      <c r="B143" s="147"/>
      <c r="C143" s="147"/>
      <c r="D143" s="147"/>
    </row>
    <row r="144" spans="1:4" x14ac:dyDescent="0.2">
      <c r="A144" s="146"/>
      <c r="B144" s="147"/>
      <c r="C144" s="147"/>
      <c r="D144" s="147"/>
    </row>
    <row r="145" spans="1:4" x14ac:dyDescent="0.2">
      <c r="A145" s="146"/>
      <c r="B145" s="147"/>
      <c r="C145" s="147"/>
      <c r="D145" s="147"/>
    </row>
    <row r="146" spans="1:4" x14ac:dyDescent="0.2">
      <c r="A146" s="146"/>
      <c r="B146" s="147"/>
      <c r="C146" s="147"/>
      <c r="D146" s="147"/>
    </row>
    <row r="147" spans="1:4" x14ac:dyDescent="0.2">
      <c r="A147" s="146"/>
      <c r="B147" s="147"/>
      <c r="C147" s="147"/>
      <c r="D147" s="147"/>
    </row>
    <row r="148" spans="1:4" x14ac:dyDescent="0.2">
      <c r="A148" s="146"/>
      <c r="B148" s="147"/>
      <c r="C148" s="147"/>
      <c r="D148" s="147"/>
    </row>
    <row r="149" spans="1:4" x14ac:dyDescent="0.2">
      <c r="A149" s="146"/>
      <c r="B149" s="147"/>
      <c r="C149" s="147"/>
      <c r="D149" s="147"/>
    </row>
    <row r="150" spans="1:4" x14ac:dyDescent="0.2">
      <c r="A150" s="146"/>
      <c r="B150" s="147"/>
      <c r="C150" s="147"/>
      <c r="D150" s="147"/>
    </row>
    <row r="151" spans="1:4" x14ac:dyDescent="0.2">
      <c r="A151" s="146"/>
      <c r="B151" s="147"/>
      <c r="C151" s="147"/>
      <c r="D151" s="147"/>
    </row>
    <row r="152" spans="1:4" x14ac:dyDescent="0.2">
      <c r="A152" s="146"/>
      <c r="B152" s="147"/>
      <c r="C152" s="147"/>
      <c r="D152" s="147"/>
    </row>
    <row r="153" spans="1:4" x14ac:dyDescent="0.2">
      <c r="A153" s="146"/>
      <c r="B153" s="147"/>
      <c r="C153" s="147"/>
      <c r="D153" s="147"/>
    </row>
    <row r="154" spans="1:4" x14ac:dyDescent="0.2">
      <c r="A154" s="146"/>
      <c r="B154" s="147"/>
      <c r="C154" s="147"/>
      <c r="D154" s="147"/>
    </row>
    <row r="155" spans="1:4" x14ac:dyDescent="0.2">
      <c r="A155" s="146"/>
      <c r="B155" s="147"/>
      <c r="C155" s="147"/>
      <c r="D155" s="147"/>
    </row>
    <row r="156" spans="1:4" x14ac:dyDescent="0.2">
      <c r="A156" s="146"/>
      <c r="B156" s="147"/>
      <c r="C156" s="147"/>
      <c r="D156" s="147"/>
    </row>
    <row r="157" spans="1:4" x14ac:dyDescent="0.2">
      <c r="A157" s="146"/>
      <c r="B157" s="147"/>
      <c r="C157" s="147"/>
      <c r="D157" s="147"/>
    </row>
    <row r="158" spans="1:4" x14ac:dyDescent="0.2">
      <c r="A158" s="146"/>
      <c r="B158" s="147"/>
      <c r="C158" s="147"/>
      <c r="D158" s="147"/>
    </row>
    <row r="159" spans="1:4" x14ac:dyDescent="0.2">
      <c r="A159" s="146"/>
      <c r="B159" s="147"/>
      <c r="C159" s="147"/>
      <c r="D159" s="147"/>
    </row>
    <row r="160" spans="1:4" x14ac:dyDescent="0.2">
      <c r="A160" s="146"/>
      <c r="B160" s="147"/>
      <c r="C160" s="147"/>
      <c r="D160" s="147"/>
    </row>
    <row r="161" spans="1:4" x14ac:dyDescent="0.2">
      <c r="A161" s="146"/>
      <c r="B161" s="147"/>
      <c r="C161" s="147"/>
      <c r="D161" s="147"/>
    </row>
    <row r="162" spans="1:4" x14ac:dyDescent="0.2">
      <c r="A162" s="146"/>
      <c r="B162" s="147"/>
      <c r="C162" s="147"/>
      <c r="D162" s="147"/>
    </row>
    <row r="163" spans="1:4" x14ac:dyDescent="0.2">
      <c r="A163" s="146"/>
      <c r="B163" s="147"/>
      <c r="C163" s="147"/>
      <c r="D163" s="147"/>
    </row>
    <row r="164" spans="1:4" x14ac:dyDescent="0.2">
      <c r="A164" s="146"/>
      <c r="B164" s="147"/>
      <c r="C164" s="147"/>
      <c r="D164" s="147"/>
    </row>
    <row r="165" spans="1:4" x14ac:dyDescent="0.2">
      <c r="A165" s="146"/>
      <c r="B165" s="147"/>
      <c r="C165" s="147"/>
      <c r="D165" s="147"/>
    </row>
    <row r="166" spans="1:4" x14ac:dyDescent="0.2">
      <c r="A166" s="146"/>
      <c r="B166" s="147"/>
      <c r="C166" s="147"/>
      <c r="D166" s="147"/>
    </row>
    <row r="167" spans="1:4" x14ac:dyDescent="0.2">
      <c r="A167" s="146"/>
      <c r="B167" s="147"/>
      <c r="C167" s="147"/>
      <c r="D167" s="147"/>
    </row>
    <row r="168" spans="1:4" x14ac:dyDescent="0.2">
      <c r="A168" s="146"/>
      <c r="B168" s="147"/>
      <c r="C168" s="147"/>
      <c r="D168" s="147"/>
    </row>
    <row r="169" spans="1:4" x14ac:dyDescent="0.2">
      <c r="A169" s="146"/>
      <c r="B169" s="147"/>
      <c r="C169" s="147"/>
      <c r="D169" s="147"/>
    </row>
    <row r="170" spans="1:4" x14ac:dyDescent="0.2">
      <c r="A170" s="146"/>
      <c r="B170" s="147"/>
      <c r="C170" s="147"/>
      <c r="D170" s="147"/>
    </row>
    <row r="171" spans="1:4" x14ac:dyDescent="0.2">
      <c r="A171" s="146"/>
      <c r="B171" s="147"/>
      <c r="C171" s="147"/>
      <c r="D171" s="147"/>
    </row>
    <row r="172" spans="1:4" x14ac:dyDescent="0.2">
      <c r="A172" s="146"/>
      <c r="B172" s="147"/>
      <c r="C172" s="147"/>
      <c r="D172" s="147"/>
    </row>
    <row r="173" spans="1:4" x14ac:dyDescent="0.2">
      <c r="A173" s="146"/>
      <c r="B173" s="147"/>
      <c r="C173" s="147"/>
      <c r="D173" s="147"/>
    </row>
    <row r="174" spans="1:4" x14ac:dyDescent="0.2">
      <c r="A174" s="146"/>
      <c r="B174" s="147"/>
      <c r="C174" s="147"/>
      <c r="D174" s="147"/>
    </row>
    <row r="175" spans="1:4" x14ac:dyDescent="0.2">
      <c r="A175" s="146"/>
      <c r="B175" s="147"/>
      <c r="C175" s="147"/>
      <c r="D175" s="147"/>
    </row>
    <row r="176" spans="1:4" x14ac:dyDescent="0.2">
      <c r="A176" s="146"/>
      <c r="B176" s="147"/>
      <c r="C176" s="147"/>
      <c r="D176" s="147"/>
    </row>
    <row r="177" spans="1:4" x14ac:dyDescent="0.2">
      <c r="A177" s="146"/>
      <c r="B177" s="147"/>
      <c r="C177" s="147"/>
      <c r="D177" s="147"/>
    </row>
    <row r="178" spans="1:4" x14ac:dyDescent="0.2">
      <c r="A178" s="146"/>
      <c r="B178" s="147"/>
      <c r="C178" s="147"/>
      <c r="D178" s="147"/>
    </row>
    <row r="179" spans="1:4" x14ac:dyDescent="0.2">
      <c r="A179" s="146"/>
      <c r="B179" s="147"/>
      <c r="C179" s="147"/>
      <c r="D179" s="147"/>
    </row>
    <row r="180" spans="1:4" x14ac:dyDescent="0.2">
      <c r="A180" s="146"/>
      <c r="B180" s="147"/>
      <c r="C180" s="147"/>
      <c r="D180" s="147"/>
    </row>
    <row r="181" spans="1:4" x14ac:dyDescent="0.2">
      <c r="A181" s="146"/>
      <c r="B181" s="147"/>
      <c r="C181" s="147"/>
      <c r="D181" s="147"/>
    </row>
    <row r="182" spans="1:4" x14ac:dyDescent="0.2">
      <c r="A182" s="146"/>
      <c r="B182" s="147"/>
      <c r="C182" s="147"/>
      <c r="D182" s="147"/>
    </row>
    <row r="183" spans="1:4" x14ac:dyDescent="0.2">
      <c r="A183" s="146"/>
      <c r="B183" s="147"/>
      <c r="C183" s="147"/>
      <c r="D183" s="147"/>
    </row>
    <row r="184" spans="1:4" x14ac:dyDescent="0.2">
      <c r="A184" s="146"/>
      <c r="B184" s="147"/>
      <c r="C184" s="147"/>
      <c r="D184" s="147"/>
    </row>
    <row r="185" spans="1:4" x14ac:dyDescent="0.2">
      <c r="A185" s="146"/>
      <c r="B185" s="147"/>
      <c r="C185" s="147"/>
      <c r="D185" s="147"/>
    </row>
    <row r="186" spans="1:4" x14ac:dyDescent="0.2">
      <c r="A186" s="146"/>
      <c r="B186" s="147"/>
      <c r="C186" s="147"/>
      <c r="D186" s="147"/>
    </row>
    <row r="187" spans="1:4" x14ac:dyDescent="0.2">
      <c r="A187" s="146"/>
      <c r="B187" s="147"/>
      <c r="C187" s="147"/>
      <c r="D187" s="147"/>
    </row>
    <row r="188" spans="1:4" x14ac:dyDescent="0.2">
      <c r="A188" s="146"/>
      <c r="B188" s="147"/>
      <c r="C188" s="147"/>
      <c r="D188" s="147"/>
    </row>
    <row r="189" spans="1:4" x14ac:dyDescent="0.2">
      <c r="A189" s="146"/>
      <c r="B189" s="147"/>
      <c r="C189" s="147"/>
      <c r="D189" s="147"/>
    </row>
    <row r="190" spans="1:4" x14ac:dyDescent="0.2">
      <c r="A190" s="146"/>
      <c r="B190" s="147"/>
      <c r="C190" s="147"/>
      <c r="D190" s="147"/>
    </row>
    <row r="191" spans="1:4" x14ac:dyDescent="0.2">
      <c r="A191" s="146"/>
      <c r="B191" s="147"/>
      <c r="C191" s="147"/>
      <c r="D191" s="147"/>
    </row>
    <row r="192" spans="1:4" x14ac:dyDescent="0.2">
      <c r="A192" s="146"/>
      <c r="B192" s="147"/>
      <c r="C192" s="147"/>
      <c r="D192" s="147"/>
    </row>
    <row r="193" spans="1:4" x14ac:dyDescent="0.2">
      <c r="A193" s="146"/>
      <c r="B193" s="147"/>
      <c r="C193" s="147"/>
      <c r="D193" s="147"/>
    </row>
    <row r="194" spans="1:4" x14ac:dyDescent="0.2">
      <c r="A194" s="146"/>
      <c r="B194" s="147"/>
      <c r="C194" s="147"/>
      <c r="D194" s="147"/>
    </row>
    <row r="195" spans="1:4" x14ac:dyDescent="0.2">
      <c r="A195" s="146"/>
      <c r="B195" s="147"/>
      <c r="C195" s="147"/>
      <c r="D195" s="147"/>
    </row>
    <row r="196" spans="1:4" x14ac:dyDescent="0.2">
      <c r="A196" s="146"/>
      <c r="B196" s="147"/>
      <c r="C196" s="147"/>
      <c r="D196" s="147"/>
    </row>
    <row r="197" spans="1:4" x14ac:dyDescent="0.2">
      <c r="A197" s="146"/>
      <c r="B197" s="147"/>
      <c r="C197" s="147"/>
      <c r="D197" s="147"/>
    </row>
    <row r="198" spans="1:4" x14ac:dyDescent="0.2">
      <c r="A198" s="146"/>
      <c r="B198" s="147"/>
      <c r="C198" s="147"/>
      <c r="D198" s="147"/>
    </row>
    <row r="199" spans="1:4" x14ac:dyDescent="0.2">
      <c r="A199" s="146"/>
      <c r="B199" s="147"/>
      <c r="C199" s="147"/>
      <c r="D199" s="147"/>
    </row>
    <row r="200" spans="1:4" x14ac:dyDescent="0.2">
      <c r="A200" s="146"/>
      <c r="B200" s="147"/>
      <c r="C200" s="147"/>
      <c r="D200" s="147"/>
    </row>
    <row r="201" spans="1:4" x14ac:dyDescent="0.2">
      <c r="A201" s="146"/>
      <c r="B201" s="147"/>
      <c r="C201" s="147"/>
      <c r="D201" s="147"/>
    </row>
    <row r="202" spans="1:4" x14ac:dyDescent="0.2">
      <c r="A202" s="146"/>
      <c r="B202" s="147"/>
      <c r="C202" s="147"/>
      <c r="D202" s="147"/>
    </row>
    <row r="203" spans="1:4" x14ac:dyDescent="0.2">
      <c r="A203" s="146"/>
      <c r="B203" s="147"/>
      <c r="C203" s="147"/>
      <c r="D203" s="147"/>
    </row>
    <row r="204" spans="1:4" x14ac:dyDescent="0.2">
      <c r="A204" s="146"/>
      <c r="B204" s="147"/>
      <c r="C204" s="147"/>
      <c r="D204" s="147"/>
    </row>
    <row r="205" spans="1:4" x14ac:dyDescent="0.2">
      <c r="A205" s="146"/>
      <c r="B205" s="147"/>
      <c r="C205" s="147"/>
      <c r="D205" s="147"/>
    </row>
    <row r="206" spans="1:4" x14ac:dyDescent="0.2">
      <c r="A206" s="146"/>
      <c r="B206" s="147"/>
      <c r="C206" s="147"/>
      <c r="D206" s="147"/>
    </row>
    <row r="207" spans="1:4" x14ac:dyDescent="0.2">
      <c r="A207" s="146"/>
      <c r="B207" s="147"/>
      <c r="C207" s="147"/>
      <c r="D207" s="147"/>
    </row>
    <row r="208" spans="1:4" x14ac:dyDescent="0.2">
      <c r="A208" s="146"/>
      <c r="B208" s="147"/>
      <c r="C208" s="147"/>
      <c r="D208" s="147"/>
    </row>
    <row r="209" spans="1:4" x14ac:dyDescent="0.2">
      <c r="A209" s="146"/>
      <c r="B209" s="147"/>
      <c r="C209" s="147"/>
      <c r="D209" s="147"/>
    </row>
    <row r="210" spans="1:4" x14ac:dyDescent="0.2">
      <c r="A210" s="146"/>
      <c r="B210" s="147"/>
      <c r="C210" s="147"/>
      <c r="D210" s="147"/>
    </row>
    <row r="211" spans="1:4" x14ac:dyDescent="0.2">
      <c r="A211" s="146"/>
      <c r="B211" s="147"/>
      <c r="C211" s="147"/>
      <c r="D211" s="147"/>
    </row>
    <row r="212" spans="1:4" x14ac:dyDescent="0.2">
      <c r="A212" s="146"/>
      <c r="B212" s="147"/>
      <c r="C212" s="147"/>
      <c r="D212" s="147"/>
    </row>
    <row r="213" spans="1:4" x14ac:dyDescent="0.2">
      <c r="A213" s="146"/>
      <c r="B213" s="147"/>
      <c r="C213" s="147"/>
      <c r="D213" s="147"/>
    </row>
    <row r="214" spans="1:4" x14ac:dyDescent="0.2">
      <c r="A214" s="146"/>
      <c r="B214" s="147"/>
      <c r="C214" s="147"/>
      <c r="D214" s="147"/>
    </row>
    <row r="215" spans="1:4" x14ac:dyDescent="0.2">
      <c r="A215" s="146"/>
      <c r="B215" s="147"/>
      <c r="C215" s="147"/>
      <c r="D215" s="147"/>
    </row>
    <row r="216" spans="1:4" x14ac:dyDescent="0.2">
      <c r="A216" s="146"/>
      <c r="B216" s="147"/>
      <c r="C216" s="147"/>
      <c r="D216" s="147"/>
    </row>
    <row r="217" spans="1:4" x14ac:dyDescent="0.2">
      <c r="A217" s="146"/>
      <c r="B217" s="147"/>
      <c r="C217" s="147"/>
      <c r="D217" s="147"/>
    </row>
    <row r="218" spans="1:4" x14ac:dyDescent="0.2">
      <c r="A218" s="146"/>
      <c r="B218" s="147"/>
      <c r="C218" s="147"/>
      <c r="D218" s="147"/>
    </row>
    <row r="219" spans="1:4" x14ac:dyDescent="0.2">
      <c r="A219" s="146"/>
      <c r="B219" s="147"/>
      <c r="C219" s="147"/>
      <c r="D219" s="147"/>
    </row>
    <row r="220" spans="1:4" x14ac:dyDescent="0.2">
      <c r="A220" s="146"/>
      <c r="B220" s="147"/>
      <c r="C220" s="147"/>
      <c r="D220" s="147"/>
    </row>
    <row r="221" spans="1:4" x14ac:dyDescent="0.2">
      <c r="A221" s="146"/>
      <c r="B221" s="147"/>
      <c r="C221" s="147"/>
      <c r="D221" s="147"/>
    </row>
    <row r="222" spans="1:4" x14ac:dyDescent="0.2">
      <c r="A222" s="146"/>
      <c r="B222" s="147"/>
      <c r="C222" s="147"/>
      <c r="D222" s="147"/>
    </row>
    <row r="223" spans="1:4" x14ac:dyDescent="0.2">
      <c r="A223" s="146"/>
      <c r="B223" s="147"/>
      <c r="C223" s="147"/>
      <c r="D223" s="147"/>
    </row>
    <row r="224" spans="1:4" x14ac:dyDescent="0.2">
      <c r="A224" s="146"/>
      <c r="B224" s="147"/>
      <c r="C224" s="147"/>
      <c r="D224" s="147"/>
    </row>
    <row r="225" spans="1:5" x14ac:dyDescent="0.2">
      <c r="A225" s="146"/>
      <c r="B225" s="147"/>
      <c r="C225" s="147"/>
      <c r="D225" s="147"/>
    </row>
    <row r="226" spans="1:5" x14ac:dyDescent="0.2">
      <c r="A226" s="146"/>
      <c r="B226" s="147"/>
      <c r="C226" s="147"/>
      <c r="D226" s="147"/>
    </row>
    <row r="227" spans="1:5" x14ac:dyDescent="0.2">
      <c r="A227" s="146"/>
      <c r="B227" s="147"/>
      <c r="C227" s="147"/>
      <c r="D227" s="147"/>
    </row>
    <row r="228" spans="1:5" x14ac:dyDescent="0.2">
      <c r="A228" s="146"/>
      <c r="B228" s="147"/>
      <c r="C228" s="147"/>
      <c r="D228" s="147"/>
    </row>
    <row r="229" spans="1:5" x14ac:dyDescent="0.2">
      <c r="A229" s="146"/>
      <c r="B229" s="147"/>
      <c r="C229" s="147"/>
      <c r="D229" s="147"/>
    </row>
    <row r="230" spans="1:5" x14ac:dyDescent="0.2">
      <c r="A230" s="146"/>
      <c r="B230" s="147"/>
      <c r="C230" s="147"/>
      <c r="D230" s="147"/>
      <c r="E230" s="147"/>
    </row>
    <row r="231" spans="1:5" x14ac:dyDescent="0.2">
      <c r="A231" s="146"/>
      <c r="B231" s="147"/>
      <c r="C231" s="147"/>
      <c r="D231" s="147"/>
      <c r="E231" s="147"/>
    </row>
    <row r="232" spans="1:5" x14ac:dyDescent="0.2">
      <c r="A232" s="146"/>
      <c r="B232" s="147"/>
      <c r="C232" s="147"/>
      <c r="D232" s="147"/>
      <c r="E232" s="147"/>
    </row>
    <row r="233" spans="1:5" x14ac:dyDescent="0.2">
      <c r="A233" s="146"/>
      <c r="B233" s="147"/>
      <c r="C233" s="147"/>
      <c r="D233" s="147"/>
      <c r="E233" s="147"/>
    </row>
    <row r="234" spans="1:5" x14ac:dyDescent="0.2">
      <c r="A234" s="146"/>
      <c r="B234" s="147"/>
      <c r="C234" s="147"/>
      <c r="D234" s="147"/>
      <c r="E234" s="147"/>
    </row>
    <row r="235" spans="1:5" x14ac:dyDescent="0.2">
      <c r="A235" s="146"/>
      <c r="B235" s="147"/>
      <c r="C235" s="147"/>
      <c r="D235" s="147"/>
      <c r="E235" s="147"/>
    </row>
    <row r="236" spans="1:5" x14ac:dyDescent="0.2">
      <c r="A236" s="146"/>
      <c r="B236" s="147"/>
      <c r="C236" s="147"/>
      <c r="D236" s="147"/>
      <c r="E236" s="147"/>
    </row>
    <row r="237" spans="1:5" x14ac:dyDescent="0.2">
      <c r="A237" s="146"/>
      <c r="B237" s="147"/>
      <c r="C237" s="147"/>
      <c r="D237" s="147"/>
      <c r="E237" s="147"/>
    </row>
    <row r="238" spans="1:5" x14ac:dyDescent="0.2">
      <c r="A238" s="146"/>
      <c r="B238" s="147"/>
      <c r="C238" s="147"/>
      <c r="D238" s="147"/>
      <c r="E238" s="147"/>
    </row>
    <row r="239" spans="1:5" x14ac:dyDescent="0.2">
      <c r="A239" s="146"/>
      <c r="B239" s="147"/>
      <c r="C239" s="147"/>
      <c r="D239" s="147"/>
      <c r="E239" s="147"/>
    </row>
    <row r="240" spans="1:5" x14ac:dyDescent="0.2">
      <c r="A240" s="146"/>
      <c r="B240" s="147"/>
      <c r="C240" s="147"/>
      <c r="D240" s="147"/>
      <c r="E240" s="147"/>
    </row>
    <row r="241" spans="1:5" x14ac:dyDescent="0.2">
      <c r="A241" s="146"/>
      <c r="B241" s="147"/>
      <c r="C241" s="147"/>
      <c r="D241" s="147"/>
      <c r="E241" s="147"/>
    </row>
    <row r="242" spans="1:5" x14ac:dyDescent="0.2">
      <c r="A242" s="146"/>
      <c r="B242" s="147"/>
      <c r="C242" s="147"/>
      <c r="D242" s="147"/>
      <c r="E242" s="147"/>
    </row>
    <row r="243" spans="1:5" x14ac:dyDescent="0.2">
      <c r="A243" s="146"/>
      <c r="B243" s="147"/>
      <c r="C243" s="147"/>
      <c r="D243" s="147"/>
      <c r="E243" s="147"/>
    </row>
    <row r="244" spans="1:5" x14ac:dyDescent="0.2">
      <c r="A244" s="146"/>
      <c r="B244" s="147"/>
      <c r="C244" s="147"/>
      <c r="D244" s="147"/>
      <c r="E244" s="147"/>
    </row>
    <row r="245" spans="1:5" x14ac:dyDescent="0.2">
      <c r="A245" s="146"/>
      <c r="B245" s="147"/>
      <c r="C245" s="147"/>
      <c r="D245" s="147"/>
      <c r="E245" s="147"/>
    </row>
    <row r="246" spans="1:5" x14ac:dyDescent="0.2">
      <c r="A246" s="146"/>
      <c r="B246" s="147"/>
      <c r="C246" s="147"/>
      <c r="D246" s="147"/>
      <c r="E246" s="147"/>
    </row>
    <row r="247" spans="1:5" x14ac:dyDescent="0.2">
      <c r="A247" s="146"/>
      <c r="B247" s="147"/>
      <c r="C247" s="147"/>
      <c r="D247" s="147"/>
      <c r="E247" s="147"/>
    </row>
    <row r="248" spans="1:5" x14ac:dyDescent="0.2">
      <c r="A248" s="146"/>
      <c r="B248" s="147"/>
      <c r="C248" s="147"/>
      <c r="D248" s="147"/>
      <c r="E248" s="147"/>
    </row>
    <row r="249" spans="1:5" x14ac:dyDescent="0.2">
      <c r="A249" s="146"/>
      <c r="B249" s="147"/>
      <c r="C249" s="147"/>
      <c r="D249" s="147"/>
      <c r="E249" s="147"/>
    </row>
    <row r="250" spans="1:5" x14ac:dyDescent="0.2">
      <c r="A250" s="146"/>
      <c r="B250" s="147"/>
      <c r="C250" s="147"/>
      <c r="D250" s="147"/>
      <c r="E250" s="147"/>
    </row>
    <row r="251" spans="1:5" x14ac:dyDescent="0.2">
      <c r="A251" s="146"/>
      <c r="B251" s="147"/>
      <c r="C251" s="147"/>
      <c r="D251" s="147"/>
      <c r="E251" s="147"/>
    </row>
    <row r="252" spans="1:5" x14ac:dyDescent="0.2">
      <c r="A252" s="146"/>
      <c r="B252" s="147"/>
      <c r="C252" s="147"/>
      <c r="D252" s="147"/>
      <c r="E252" s="147"/>
    </row>
    <row r="253" spans="1:5" x14ac:dyDescent="0.2">
      <c r="A253" s="146"/>
      <c r="B253" s="147"/>
      <c r="C253" s="147"/>
      <c r="D253" s="147"/>
      <c r="E253" s="147"/>
    </row>
    <row r="254" spans="1:5" x14ac:dyDescent="0.2">
      <c r="A254" s="146"/>
      <c r="B254" s="147"/>
      <c r="C254" s="147"/>
      <c r="D254" s="147"/>
      <c r="E254" s="147"/>
    </row>
    <row r="255" spans="1:5" x14ac:dyDescent="0.2">
      <c r="A255" s="146"/>
      <c r="B255" s="147"/>
      <c r="C255" s="147"/>
      <c r="D255" s="147"/>
      <c r="E255" s="147"/>
    </row>
  </sheetData>
  <pageMargins left="0.7" right="0.7" top="1" bottom="6.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U534"/>
  <sheetViews>
    <sheetView showGridLines="0" zoomScale="90" zoomScaleNormal="90" workbookViewId="0"/>
  </sheetViews>
  <sheetFormatPr defaultRowHeight="12.75" x14ac:dyDescent="0.2"/>
  <cols>
    <col min="1" max="1" width="21.7109375" customWidth="1"/>
    <col min="2" max="2" width="11.5703125" customWidth="1"/>
    <col min="3" max="3" width="9.5703125" customWidth="1"/>
    <col min="4" max="4" width="8.5703125" customWidth="1"/>
    <col min="5" max="5" width="9.7109375" customWidth="1"/>
    <col min="6" max="6" width="10.7109375" customWidth="1"/>
    <col min="7" max="7" width="7.7109375" customWidth="1"/>
    <col min="8" max="8" width="9.7109375" customWidth="1"/>
    <col min="9" max="9" width="1.7109375" customWidth="1"/>
    <col min="10" max="10" width="9.7109375" customWidth="1"/>
    <col min="11" max="12" width="10.7109375" customWidth="1"/>
    <col min="13" max="14" width="9.7109375" customWidth="1"/>
  </cols>
  <sheetData>
    <row r="1" spans="1:14" ht="14.25" x14ac:dyDescent="0.2">
      <c r="A1" s="40" t="s">
        <v>73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4.25" x14ac:dyDescent="0.2">
      <c r="A2" s="41"/>
      <c r="B2" s="158" t="s">
        <v>27</v>
      </c>
      <c r="C2" s="158"/>
      <c r="D2" s="43" t="s">
        <v>30</v>
      </c>
      <c r="E2" s="158" t="s">
        <v>92</v>
      </c>
      <c r="F2" s="158"/>
      <c r="G2" s="158"/>
      <c r="H2" s="158"/>
      <c r="I2" s="44"/>
      <c r="J2" s="158" t="s">
        <v>70</v>
      </c>
      <c r="K2" s="158"/>
      <c r="L2" s="158"/>
      <c r="M2" s="158"/>
      <c r="N2" s="41"/>
    </row>
    <row r="3" spans="1:14" ht="14.25" x14ac:dyDescent="0.2">
      <c r="A3" s="41" t="s">
        <v>84</v>
      </c>
      <c r="B3" s="43" t="s">
        <v>28</v>
      </c>
      <c r="C3" s="41" t="s">
        <v>29</v>
      </c>
      <c r="D3" s="43"/>
      <c r="E3" s="45" t="s">
        <v>8</v>
      </c>
      <c r="F3" s="45"/>
      <c r="G3" s="45"/>
      <c r="H3" s="45"/>
      <c r="I3" s="45"/>
      <c r="J3" s="43" t="s">
        <v>72</v>
      </c>
      <c r="K3" s="45" t="s">
        <v>101</v>
      </c>
      <c r="L3" s="45"/>
      <c r="M3" s="45"/>
      <c r="N3" s="45" t="s">
        <v>6</v>
      </c>
    </row>
    <row r="4" spans="1:14" ht="14.25" x14ac:dyDescent="0.2">
      <c r="A4" s="46" t="s">
        <v>88</v>
      </c>
      <c r="B4" s="47"/>
      <c r="C4" s="47"/>
      <c r="D4" s="47"/>
      <c r="E4" s="48" t="s">
        <v>7</v>
      </c>
      <c r="F4" s="48" t="s">
        <v>1</v>
      </c>
      <c r="G4" s="49" t="s">
        <v>2</v>
      </c>
      <c r="H4" s="50" t="s">
        <v>3</v>
      </c>
      <c r="I4" s="49"/>
      <c r="J4" s="49"/>
      <c r="K4" s="49" t="s">
        <v>5</v>
      </c>
      <c r="L4" s="50" t="s">
        <v>4</v>
      </c>
      <c r="M4" s="48" t="s">
        <v>3</v>
      </c>
      <c r="N4" s="49" t="s">
        <v>7</v>
      </c>
    </row>
    <row r="5" spans="1:14" ht="14.25" x14ac:dyDescent="0.2">
      <c r="A5" s="41"/>
      <c r="B5" s="156" t="s">
        <v>93</v>
      </c>
      <c r="C5" s="157"/>
      <c r="D5" s="51" t="s">
        <v>75</v>
      </c>
      <c r="E5" s="156" t="s">
        <v>95</v>
      </c>
      <c r="F5" s="156"/>
      <c r="G5" s="156"/>
      <c r="H5" s="156"/>
      <c r="I5" s="156"/>
      <c r="J5" s="156"/>
      <c r="K5" s="156"/>
      <c r="L5" s="156"/>
      <c r="M5" s="156"/>
      <c r="N5" s="156"/>
    </row>
    <row r="6" spans="1:14" ht="16.5" x14ac:dyDescent="0.2">
      <c r="A6" s="41" t="s">
        <v>126</v>
      </c>
      <c r="B6" s="52">
        <v>83.433000000000007</v>
      </c>
      <c r="C6" s="52">
        <v>82.695999999999998</v>
      </c>
      <c r="D6" s="52">
        <f>+F6/C6</f>
        <v>51.950348263519402</v>
      </c>
      <c r="E6" s="53">
        <v>196.72900000000001</v>
      </c>
      <c r="F6" s="54">
        <v>4296.0860000000002</v>
      </c>
      <c r="G6" s="55">
        <v>22.280875923872998</v>
      </c>
      <c r="H6" s="55">
        <f>SUM(E6:G6)</f>
        <v>4515.0958759238738</v>
      </c>
      <c r="I6" s="41"/>
      <c r="J6" s="54">
        <v>1901.1980666666668</v>
      </c>
      <c r="K6" s="54">
        <f>M6-J6-L6</f>
        <v>145.88582285110306</v>
      </c>
      <c r="L6" s="55">
        <v>2166.4169864061037</v>
      </c>
      <c r="M6" s="55">
        <f>+H6-N6</f>
        <v>4213.5008759238735</v>
      </c>
      <c r="N6" s="55">
        <v>301.59500000000003</v>
      </c>
    </row>
    <row r="7" spans="1:14" ht="16.5" x14ac:dyDescent="0.2">
      <c r="A7" s="41" t="s">
        <v>145</v>
      </c>
      <c r="B7" s="52">
        <v>90.141999999999996</v>
      </c>
      <c r="C7" s="52">
        <v>89.522000000000006</v>
      </c>
      <c r="D7" s="52">
        <f>+F7/C7</f>
        <v>49.269151716896403</v>
      </c>
      <c r="E7" s="53">
        <f>N6</f>
        <v>301.59500000000003</v>
      </c>
      <c r="F7" s="54">
        <f>F15</f>
        <v>4410.6729999999998</v>
      </c>
      <c r="G7" s="55">
        <f>G28</f>
        <v>21.821877959229603</v>
      </c>
      <c r="H7" s="55">
        <f>SUM(E7:G7)</f>
        <v>4734.0898779592299</v>
      </c>
      <c r="I7" s="41"/>
      <c r="J7" s="54">
        <f>J28</f>
        <v>2054.9319999999998</v>
      </c>
      <c r="K7" s="54">
        <f>M7-J7-L7</f>
        <v>111.95233346246459</v>
      </c>
      <c r="L7" s="55">
        <f>L28</f>
        <v>2129.1005444967659</v>
      </c>
      <c r="M7" s="55">
        <f>+H7-N7</f>
        <v>4295.9848779592303</v>
      </c>
      <c r="N7" s="55">
        <f>N27</f>
        <v>438.10500000000002</v>
      </c>
    </row>
    <row r="8" spans="1:14" ht="16.5" x14ac:dyDescent="0.2">
      <c r="A8" s="41" t="s">
        <v>168</v>
      </c>
      <c r="B8" s="52">
        <v>89.144999999999996</v>
      </c>
      <c r="C8" s="52">
        <v>88.343000000000004</v>
      </c>
      <c r="D8" s="52">
        <f>+F8/C8</f>
        <v>52.064453323975862</v>
      </c>
      <c r="E8" s="53">
        <f>N7</f>
        <v>438.10500000000002</v>
      </c>
      <c r="F8" s="54">
        <v>4599.53</v>
      </c>
      <c r="G8" s="55">
        <v>25</v>
      </c>
      <c r="H8" s="55">
        <f>SUM(E8:G8)</f>
        <v>5062.6350000000002</v>
      </c>
      <c r="I8" s="41"/>
      <c r="J8" s="54">
        <v>2080</v>
      </c>
      <c r="K8" s="54">
        <f>M8-J8-L8</f>
        <v>127.63500000000022</v>
      </c>
      <c r="L8" s="55">
        <v>1900</v>
      </c>
      <c r="M8" s="55">
        <f>+H8-N8</f>
        <v>4107.6350000000002</v>
      </c>
      <c r="N8" s="55">
        <v>955</v>
      </c>
    </row>
    <row r="9" spans="1:14" ht="14.25" x14ac:dyDescent="0.2">
      <c r="A9" s="44"/>
      <c r="B9" s="44"/>
      <c r="C9" s="44"/>
      <c r="D9" s="44"/>
      <c r="E9" s="57"/>
      <c r="F9" s="57"/>
      <c r="G9" s="58"/>
      <c r="H9" s="57"/>
      <c r="I9" s="57"/>
      <c r="J9" s="58"/>
      <c r="K9" s="58"/>
      <c r="L9" s="58"/>
      <c r="M9" s="58"/>
      <c r="N9" s="59"/>
    </row>
    <row r="10" spans="1:14" ht="14.25" x14ac:dyDescent="0.2">
      <c r="A10" s="44" t="s">
        <v>74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88"/>
    </row>
    <row r="11" spans="1:14" ht="18.75" customHeight="1" x14ac:dyDescent="0.2">
      <c r="A11" s="41" t="s">
        <v>121</v>
      </c>
      <c r="B11" s="44"/>
      <c r="C11" s="44"/>
      <c r="D11" s="44"/>
      <c r="E11" s="59"/>
      <c r="F11" s="61"/>
      <c r="G11" s="62"/>
      <c r="H11" s="63"/>
      <c r="I11" s="63"/>
      <c r="J11" s="63"/>
      <c r="K11" s="64"/>
      <c r="L11" s="62"/>
      <c r="M11" s="62"/>
      <c r="N11" s="65"/>
    </row>
    <row r="12" spans="1:14" ht="18.75" customHeight="1" x14ac:dyDescent="0.2">
      <c r="A12" s="41" t="s">
        <v>104</v>
      </c>
      <c r="B12" s="44"/>
      <c r="C12" s="44"/>
      <c r="D12" s="44"/>
      <c r="E12" s="59"/>
      <c r="F12" s="66"/>
      <c r="G12" s="62">
        <f>(1.397845+28.520061+6.869446)*2.204622/60</f>
        <v>1.3517034256823999</v>
      </c>
      <c r="H12" s="63"/>
      <c r="I12" s="63"/>
      <c r="J12" s="63">
        <f>4.361207*2000/60</f>
        <v>145.37356666666668</v>
      </c>
      <c r="K12" s="67"/>
      <c r="L12" s="62">
        <f>(42.579358+4422.864)*2.204622/60</f>
        <v>164.07691111334458</v>
      </c>
      <c r="M12" s="62"/>
      <c r="N12" s="63"/>
    </row>
    <row r="13" spans="1:14" ht="18.75" customHeight="1" x14ac:dyDescent="0.2">
      <c r="A13" s="44" t="s">
        <v>110</v>
      </c>
      <c r="B13" s="44"/>
      <c r="C13" s="44"/>
      <c r="D13" s="44"/>
      <c r="E13" s="59"/>
      <c r="F13" s="61"/>
      <c r="G13" s="62">
        <f>(4.792131+65.902561+6.64419)*2.204622/60</f>
        <v>2.8417166785434</v>
      </c>
      <c r="H13" s="63"/>
      <c r="I13" s="63"/>
      <c r="J13" s="63">
        <f>5.277397*2000/60</f>
        <v>175.91323333333332</v>
      </c>
      <c r="K13" s="64"/>
      <c r="L13" s="62">
        <f>(65.402074+9580.077)*2.204622/60</f>
        <v>354.41058945133381</v>
      </c>
      <c r="M13" s="61"/>
      <c r="N13" s="65"/>
    </row>
    <row r="14" spans="1:14" ht="18.75" customHeight="1" x14ac:dyDescent="0.2">
      <c r="A14" s="44" t="s">
        <v>112</v>
      </c>
      <c r="B14" s="44"/>
      <c r="C14" s="44"/>
      <c r="D14" s="44"/>
      <c r="E14" s="59"/>
      <c r="F14" s="61"/>
      <c r="G14" s="62">
        <f>(14.834995+18.210518+5.828672)*2.204622/60</f>
        <v>1.4283813913845</v>
      </c>
      <c r="H14" s="63"/>
      <c r="I14" s="63"/>
      <c r="J14" s="63">
        <f>5.200462*2000/60</f>
        <v>173.34873333333331</v>
      </c>
      <c r="K14" s="64"/>
      <c r="L14" s="62">
        <f>(75.780013+9113.39)*2.204622/60</f>
        <v>337.64410620666808</v>
      </c>
      <c r="M14" s="61"/>
      <c r="N14" s="65"/>
    </row>
    <row r="15" spans="1:14" ht="18.75" customHeight="1" x14ac:dyDescent="0.2">
      <c r="A15" s="44" t="s">
        <v>80</v>
      </c>
      <c r="B15" s="44"/>
      <c r="C15" s="44"/>
      <c r="D15" s="44"/>
      <c r="E15" s="59">
        <v>301.59500000000003</v>
      </c>
      <c r="F15" s="61">
        <f>4410.673</f>
        <v>4410.6729999999998</v>
      </c>
      <c r="G15" s="62">
        <f>G12+G13+G14</f>
        <v>5.6218014956103</v>
      </c>
      <c r="H15" s="63">
        <f>SUM(E15:G15)</f>
        <v>4717.8898014956103</v>
      </c>
      <c r="I15" s="63"/>
      <c r="J15" s="63">
        <f>J12+J13+J14</f>
        <v>494.63553333333329</v>
      </c>
      <c r="K15" s="64">
        <f>M15-L15-J15</f>
        <v>206.44366139093046</v>
      </c>
      <c r="L15" s="62">
        <f>L12+L13+L14</f>
        <v>856.13160677134647</v>
      </c>
      <c r="M15" s="62">
        <f>H15-N15</f>
        <v>1557.2108014956102</v>
      </c>
      <c r="N15" s="63">
        <v>3160.6790000000001</v>
      </c>
    </row>
    <row r="16" spans="1:14" ht="18.75" customHeight="1" x14ac:dyDescent="0.2">
      <c r="A16" s="41" t="s">
        <v>113</v>
      </c>
      <c r="B16" s="44"/>
      <c r="C16" s="44"/>
      <c r="D16" s="44"/>
      <c r="E16" s="59"/>
      <c r="F16" s="61"/>
      <c r="G16" s="62">
        <f>(2.700212+43.931585+16.786283)*2.204622/60</f>
        <v>2.3302149060960002</v>
      </c>
      <c r="H16" s="63"/>
      <c r="I16" s="63"/>
      <c r="J16" s="63">
        <f>5.290215*2000/60</f>
        <v>176.34049999999999</v>
      </c>
      <c r="K16" s="64"/>
      <c r="L16" s="62">
        <f>(67.748059+6154.493)*2.204622/60</f>
        <v>228.6281587995783</v>
      </c>
      <c r="M16" s="62"/>
      <c r="N16" s="65"/>
    </row>
    <row r="17" spans="1:15" ht="18.75" customHeight="1" x14ac:dyDescent="0.2">
      <c r="A17" s="41" t="s">
        <v>114</v>
      </c>
      <c r="B17" s="44"/>
      <c r="C17" s="44"/>
      <c r="D17" s="44"/>
      <c r="E17" s="59"/>
      <c r="F17" s="61"/>
      <c r="G17" s="62">
        <f>(1.972522+31.466905+6.367872)*2.204622/60</f>
        <v>1.4626674522662999</v>
      </c>
      <c r="H17" s="63"/>
      <c r="I17" s="63"/>
      <c r="J17" s="63">
        <f>5.239827*2000/60</f>
        <v>174.6609</v>
      </c>
      <c r="K17" s="62"/>
      <c r="L17" s="62">
        <f>(51.851798+5711.005)*2.204622/60</f>
        <v>211.7486813286726</v>
      </c>
      <c r="M17" s="61"/>
      <c r="N17" s="65"/>
    </row>
    <row r="18" spans="1:15" ht="18.75" customHeight="1" x14ac:dyDescent="0.2">
      <c r="A18" s="41" t="s">
        <v>115</v>
      </c>
      <c r="B18" s="44"/>
      <c r="C18" s="44"/>
      <c r="D18" s="44"/>
      <c r="E18" s="59"/>
      <c r="F18" s="61"/>
      <c r="G18" s="62">
        <f>(2.319904+15.767762+14.02578)*2.204622/60</f>
        <v>1.1799668257901998</v>
      </c>
      <c r="H18" s="63"/>
      <c r="I18" s="63"/>
      <c r="J18" s="63">
        <f>4.948772*2000/60</f>
        <v>164.95906666666667</v>
      </c>
      <c r="K18" s="62"/>
      <c r="L18" s="62">
        <f>(68.682966+4144.142)*2.204622/60</f>
        <v>154.79477670321421</v>
      </c>
      <c r="M18" s="61"/>
      <c r="N18" s="65"/>
    </row>
    <row r="19" spans="1:15" ht="18.75" customHeight="1" x14ac:dyDescent="0.2">
      <c r="A19" s="41" t="s">
        <v>81</v>
      </c>
      <c r="B19" s="44"/>
      <c r="C19" s="44"/>
      <c r="D19" s="44"/>
      <c r="E19" s="59">
        <f>N15</f>
        <v>3160.6790000000001</v>
      </c>
      <c r="F19" s="66"/>
      <c r="G19" s="62">
        <f>SUM(G16:G18)</f>
        <v>4.9728491841525004</v>
      </c>
      <c r="H19" s="63">
        <f>E19+F19+G19</f>
        <v>3165.6518491841525</v>
      </c>
      <c r="I19" s="63"/>
      <c r="J19" s="63">
        <f>SUM(J16:J18)</f>
        <v>515.96046666666666</v>
      </c>
      <c r="K19" s="67">
        <f>M19-L19-J19</f>
        <v>-54.783234313979165</v>
      </c>
      <c r="L19" s="62">
        <f>SUM(L16:L18)</f>
        <v>595.17161683146514</v>
      </c>
      <c r="M19" s="62">
        <f>H19-N19</f>
        <v>1056.3488491841526</v>
      </c>
      <c r="N19" s="63">
        <v>2109.3029999999999</v>
      </c>
    </row>
    <row r="20" spans="1:15" ht="18.75" customHeight="1" x14ac:dyDescent="0.2">
      <c r="A20" s="41" t="s">
        <v>116</v>
      </c>
      <c r="B20" s="44"/>
      <c r="C20" s="44"/>
      <c r="D20" s="44"/>
      <c r="E20" s="59"/>
      <c r="F20" s="66"/>
      <c r="G20" s="62">
        <f>(15.718589+36.223498+6.168282)*2.204622/60</f>
        <v>2.1351899654252997</v>
      </c>
      <c r="H20" s="63"/>
      <c r="I20" s="63"/>
      <c r="J20" s="63">
        <f>5.46524*2000/60</f>
        <v>182.17466666666667</v>
      </c>
      <c r="K20" s="67"/>
      <c r="L20" s="62">
        <f>(72.280867+3166.287)*2.204622/60</f>
        <v>118.9969661346879</v>
      </c>
      <c r="M20" s="62"/>
      <c r="N20" s="63"/>
    </row>
    <row r="21" spans="1:15" ht="18.75" customHeight="1" x14ac:dyDescent="0.2">
      <c r="A21" s="41" t="s">
        <v>117</v>
      </c>
      <c r="B21" s="44"/>
      <c r="C21" s="44"/>
      <c r="D21" s="44"/>
      <c r="E21" s="59"/>
      <c r="F21" s="66"/>
      <c r="G21" s="62">
        <f>(9.603402+38.602173+17.683985)*2.204622/60</f>
        <v>2.4210262257720006</v>
      </c>
      <c r="H21" s="63"/>
      <c r="I21" s="63"/>
      <c r="J21" s="63">
        <f>5.149147*2000/60</f>
        <v>171.63823333333332</v>
      </c>
      <c r="K21" s="67"/>
      <c r="L21" s="62">
        <f>(56.404038+2110.962)*2.204622/60</f>
        <v>79.637047490460603</v>
      </c>
      <c r="M21" s="62"/>
      <c r="N21" s="63"/>
    </row>
    <row r="22" spans="1:15" ht="18.75" customHeight="1" x14ac:dyDescent="0.2">
      <c r="A22" s="41" t="s">
        <v>118</v>
      </c>
      <c r="B22" s="44"/>
      <c r="C22" s="44"/>
      <c r="D22" s="44"/>
      <c r="E22" s="59"/>
      <c r="F22" s="66"/>
      <c r="G22" s="62">
        <f>(14.93331+18.49162+17.072273)*2.204622/60</f>
        <v>1.8554540778711002</v>
      </c>
      <c r="H22" s="63"/>
      <c r="I22" s="63"/>
      <c r="J22" s="63">
        <f>5.17404*2000/60</f>
        <v>172.46799999999999</v>
      </c>
      <c r="K22" s="67"/>
      <c r="L22" s="62">
        <f>(50.72778+2940.067)*2.204622/60</f>
        <v>109.892866157886</v>
      </c>
      <c r="M22" s="62"/>
      <c r="N22" s="63"/>
    </row>
    <row r="23" spans="1:15" ht="18.75" customHeight="1" x14ac:dyDescent="0.2">
      <c r="A23" s="41" t="s">
        <v>82</v>
      </c>
      <c r="B23" s="44"/>
      <c r="C23" s="44"/>
      <c r="D23" s="44"/>
      <c r="E23" s="59">
        <f>N19</f>
        <v>2109.3029999999999</v>
      </c>
      <c r="F23" s="66"/>
      <c r="G23" s="62">
        <f>SUM(G20:G22)</f>
        <v>6.4116702690684004</v>
      </c>
      <c r="H23" s="63">
        <f>E23+F23+G23</f>
        <v>2115.7146702690684</v>
      </c>
      <c r="I23" s="63"/>
      <c r="J23" s="63">
        <f>SUM(J20:J22)</f>
        <v>526.28089999999997</v>
      </c>
      <c r="K23" s="67">
        <f>M23-L23-J23</f>
        <v>61.577890486033994</v>
      </c>
      <c r="L23" s="62">
        <f>SUM(L20:L22)</f>
        <v>308.52687978303447</v>
      </c>
      <c r="M23" s="62">
        <f>H23-N23</f>
        <v>896.38567026906844</v>
      </c>
      <c r="N23" s="63">
        <v>1219.329</v>
      </c>
      <c r="O23" s="39"/>
    </row>
    <row r="24" spans="1:15" ht="18.75" customHeight="1" x14ac:dyDescent="0.2">
      <c r="A24" s="41" t="s">
        <v>66</v>
      </c>
      <c r="B24" s="44"/>
      <c r="C24" s="44"/>
      <c r="D24" s="44"/>
      <c r="E24" s="59"/>
      <c r="F24" s="66"/>
      <c r="G24" s="62">
        <f>(15.628801+28.563775+7.569622)*2.204622/60</f>
        <v>1.9019346746526002</v>
      </c>
      <c r="H24" s="63"/>
      <c r="I24" s="63"/>
      <c r="J24" s="63">
        <f>5.086941*2000/60</f>
        <v>169.56470000000002</v>
      </c>
      <c r="K24" s="67"/>
      <c r="L24" s="62">
        <f>(51.253059+3204.53)*2.204622/60</f>
        <v>119.62951598497831</v>
      </c>
      <c r="M24" s="62"/>
      <c r="N24" s="63"/>
    </row>
    <row r="25" spans="1:15" ht="18.75" customHeight="1" x14ac:dyDescent="0.2">
      <c r="A25" s="41" t="s">
        <v>68</v>
      </c>
      <c r="B25" s="44"/>
      <c r="C25" s="44"/>
      <c r="D25" s="44"/>
      <c r="E25" s="59"/>
      <c r="F25" s="66"/>
      <c r="G25" s="62">
        <f>(6.402652+44.065496+8.381982)*2.204622/60</f>
        <v>2.1623715216810004</v>
      </c>
      <c r="H25" s="63"/>
      <c r="I25" s="63"/>
      <c r="J25" s="63">
        <f>5.365828*2000/60</f>
        <v>178.86093333333332</v>
      </c>
      <c r="K25" s="67"/>
      <c r="L25" s="62">
        <f>(68.729166+3357.876)*2.204622/60</f>
        <v>125.90615223795422</v>
      </c>
      <c r="M25" s="62"/>
      <c r="N25" s="63"/>
    </row>
    <row r="26" spans="1:15" ht="18.75" customHeight="1" x14ac:dyDescent="0.2">
      <c r="A26" s="41" t="s">
        <v>69</v>
      </c>
      <c r="B26" s="44"/>
      <c r="C26" s="44"/>
      <c r="D26" s="44"/>
      <c r="E26" s="59"/>
      <c r="F26" s="66"/>
      <c r="G26" s="62">
        <f>(2.00037+12.691678+5.753656)*2.204622/60</f>
        <v>0.75125081406479999</v>
      </c>
      <c r="H26" s="63"/>
      <c r="I26" s="63"/>
      <c r="J26" s="63">
        <f>5.088884*2000/60</f>
        <v>169.62946666666667</v>
      </c>
      <c r="K26" s="67"/>
      <c r="L26" s="62">
        <f>(72.994883+3294.515)*2.204622/60</f>
        <v>123.73477288798709</v>
      </c>
      <c r="M26" s="62"/>
      <c r="N26" s="63"/>
    </row>
    <row r="27" spans="1:15" ht="18.75" customHeight="1" x14ac:dyDescent="0.2">
      <c r="A27" s="68" t="s">
        <v>83</v>
      </c>
      <c r="B27" s="44"/>
      <c r="C27" s="44"/>
      <c r="D27" s="44"/>
      <c r="E27" s="59">
        <f>N23</f>
        <v>1219.329</v>
      </c>
      <c r="F27" s="66"/>
      <c r="G27" s="62">
        <f>SUM(G24:G26)</f>
        <v>4.8155570103984005</v>
      </c>
      <c r="H27" s="63">
        <f>SUM(E27:G27)</f>
        <v>1224.1445570103983</v>
      </c>
      <c r="I27" s="63"/>
      <c r="J27" s="63">
        <f>SUM(J24:J26)</f>
        <v>518.05510000000004</v>
      </c>
      <c r="K27" s="67">
        <f>M27-L27-J27</f>
        <v>-101.28598410052138</v>
      </c>
      <c r="L27" s="62">
        <f>SUM(L24:L26)</f>
        <v>369.27044111091965</v>
      </c>
      <c r="M27" s="62">
        <f>+H27-N27</f>
        <v>786.03955701039831</v>
      </c>
      <c r="N27" s="63">
        <v>438.10500000000002</v>
      </c>
    </row>
    <row r="28" spans="1:15" ht="18.75" customHeight="1" x14ac:dyDescent="0.2">
      <c r="A28" s="41" t="s">
        <v>38</v>
      </c>
      <c r="B28" s="44"/>
      <c r="C28" s="44"/>
      <c r="D28" s="44"/>
      <c r="E28" s="59"/>
      <c r="F28" s="66">
        <f>F15+F19+F23+F27</f>
        <v>4410.6729999999998</v>
      </c>
      <c r="G28" s="62">
        <f>G15+G19+G23+G27</f>
        <v>21.821877959229603</v>
      </c>
      <c r="H28" s="63">
        <f>E15+F28+G28</f>
        <v>4734.0898779592299</v>
      </c>
      <c r="I28" s="63"/>
      <c r="J28" s="63">
        <f>J15+J19+J23+J27</f>
        <v>2054.9319999999998</v>
      </c>
      <c r="K28" s="67">
        <f>K15+K19+K23+K27</f>
        <v>111.95233346246391</v>
      </c>
      <c r="L28" s="62">
        <f>L15+L19+L23+L27</f>
        <v>2129.1005444967659</v>
      </c>
      <c r="M28" s="62">
        <f>M15+M19+M23+M27</f>
        <v>4295.9848779592294</v>
      </c>
      <c r="N28" s="63"/>
    </row>
    <row r="29" spans="1:15" ht="14.25" x14ac:dyDescent="0.2">
      <c r="A29" s="44"/>
      <c r="B29" s="44"/>
      <c r="C29" s="44"/>
      <c r="D29" s="44"/>
      <c r="E29" s="59"/>
      <c r="F29" s="61"/>
      <c r="G29" s="62"/>
      <c r="H29" s="63"/>
      <c r="I29" s="63"/>
      <c r="J29" s="63"/>
      <c r="K29" s="64"/>
      <c r="L29" s="62"/>
      <c r="M29" s="62"/>
      <c r="N29" s="65"/>
    </row>
    <row r="30" spans="1:15" ht="14.25" x14ac:dyDescent="0.2">
      <c r="A30" s="41" t="s">
        <v>173</v>
      </c>
      <c r="B30" s="44"/>
      <c r="C30" s="44"/>
      <c r="D30" s="44"/>
      <c r="E30" s="59"/>
      <c r="F30" s="61"/>
      <c r="G30" s="62"/>
      <c r="H30" s="63"/>
      <c r="I30" s="63"/>
      <c r="J30" s="63"/>
      <c r="K30" s="64"/>
      <c r="L30" s="62"/>
      <c r="M30" s="62"/>
      <c r="N30" s="65"/>
    </row>
    <row r="31" spans="1:15" ht="18.75" customHeight="1" x14ac:dyDescent="0.2">
      <c r="A31" s="41" t="s">
        <v>104</v>
      </c>
      <c r="B31" s="44"/>
      <c r="C31" s="44"/>
      <c r="D31" s="44"/>
      <c r="E31" s="59">
        <f>N27</f>
        <v>438.10500000000002</v>
      </c>
      <c r="F31" s="66">
        <v>4689.6279999999997</v>
      </c>
      <c r="G31" s="62">
        <f>(2.812927+19.605446+5.607091)*2.204622/60</f>
        <v>1.0297592415768002</v>
      </c>
      <c r="H31" s="63">
        <f>SUM(E31:G31)</f>
        <v>5128.7627592415765</v>
      </c>
      <c r="I31" s="63"/>
      <c r="J31" s="63">
        <f>5.077532*2000/60</f>
        <v>169.25106666666667</v>
      </c>
      <c r="K31" s="67"/>
      <c r="L31" s="62">
        <f>(121.841427+3115.468)*2.204622/60</f>
        <v>118.95072639285989</v>
      </c>
      <c r="M31" s="62"/>
      <c r="N31" s="63"/>
    </row>
    <row r="32" spans="1:15" ht="18.75" customHeight="1" x14ac:dyDescent="0.2">
      <c r="A32" s="44" t="s">
        <v>110</v>
      </c>
      <c r="B32" s="44"/>
      <c r="C32" s="44"/>
      <c r="D32" s="44"/>
      <c r="E32" s="59"/>
      <c r="F32" s="66"/>
      <c r="G32" s="62">
        <f>(3.320708+14.646657+3.156093)*2.204622/60</f>
        <v>0.77615400371459997</v>
      </c>
      <c r="H32" s="63"/>
      <c r="I32" s="63"/>
      <c r="J32" s="63">
        <f>5.488907*2000/60</f>
        <v>182.96356666666668</v>
      </c>
      <c r="K32" s="67"/>
      <c r="L32" s="62">
        <f>(126.144882+5454.001)*2.204622/60</f>
        <v>205.0352062444434</v>
      </c>
      <c r="M32" s="62"/>
      <c r="N32" s="63"/>
    </row>
    <row r="33" spans="1:73" ht="14.25" x14ac:dyDescent="0.2">
      <c r="A33" s="40" t="s">
        <v>174</v>
      </c>
      <c r="B33" s="40"/>
      <c r="C33" s="40"/>
      <c r="D33" s="40"/>
      <c r="E33" s="69"/>
      <c r="F33" s="70">
        <f>F31</f>
        <v>4689.6279999999997</v>
      </c>
      <c r="G33" s="71">
        <f>G31+G32</f>
        <v>1.8059132452914002</v>
      </c>
      <c r="H33" s="72">
        <f>E31+F33+G33</f>
        <v>5129.538913245292</v>
      </c>
      <c r="I33" s="72"/>
      <c r="J33" s="72">
        <f>J31+J32</f>
        <v>352.21463333333338</v>
      </c>
      <c r="K33" s="73"/>
      <c r="L33" s="71">
        <f>L31+L32</f>
        <v>323.98593263730328</v>
      </c>
      <c r="M33" s="71"/>
      <c r="N33" s="74"/>
    </row>
    <row r="34" spans="1:73" ht="16.5" x14ac:dyDescent="0.2">
      <c r="A34" s="75" t="s">
        <v>128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76"/>
      <c r="M34" s="44"/>
      <c r="N34" s="44"/>
    </row>
    <row r="35" spans="1:73" ht="14.25" x14ac:dyDescent="0.2">
      <c r="A35" s="41" t="s">
        <v>129</v>
      </c>
      <c r="B35" s="41"/>
      <c r="C35" s="41"/>
      <c r="D35" s="41"/>
      <c r="E35" s="77"/>
      <c r="F35" s="77"/>
      <c r="G35" s="77"/>
      <c r="H35" s="77"/>
      <c r="I35" s="77"/>
      <c r="J35" s="77"/>
      <c r="K35" s="77"/>
      <c r="L35" s="77"/>
      <c r="M35" s="77"/>
      <c r="N35" s="77"/>
    </row>
    <row r="36" spans="1:73" ht="14.25" x14ac:dyDescent="0.2">
      <c r="A36" s="78" t="s">
        <v>78</v>
      </c>
      <c r="B36" s="41"/>
      <c r="C36" s="41"/>
      <c r="D36" s="41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</row>
    <row r="37" spans="1:73" ht="14.25" x14ac:dyDescent="0.2">
      <c r="A37" s="41" t="s">
        <v>26</v>
      </c>
      <c r="B37" s="79">
        <f ca="1">NOW()</f>
        <v>43447.492243749999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</row>
    <row r="38" spans="1:73" x14ac:dyDescent="0.2"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</row>
    <row r="39" spans="1:73" x14ac:dyDescent="0.2"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</row>
    <row r="40" spans="1:73" x14ac:dyDescent="0.2"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</row>
    <row r="41" spans="1:73" x14ac:dyDescent="0.2">
      <c r="F41" s="15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</row>
    <row r="42" spans="1:73" x14ac:dyDescent="0.2"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</row>
    <row r="43" spans="1:73" x14ac:dyDescent="0.2"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</row>
    <row r="44" spans="1:73" x14ac:dyDescent="0.2"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</row>
    <row r="45" spans="1:73" x14ac:dyDescent="0.2"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</row>
    <row r="46" spans="1:73" x14ac:dyDescent="0.2"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</row>
    <row r="47" spans="1:73" x14ac:dyDescent="0.2"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</row>
    <row r="48" spans="1:73" x14ac:dyDescent="0.2"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</row>
    <row r="49" spans="15:73" x14ac:dyDescent="0.2"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</row>
    <row r="50" spans="15:73" x14ac:dyDescent="0.2"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</row>
    <row r="51" spans="15:73" x14ac:dyDescent="0.2"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</row>
    <row r="52" spans="15:73" x14ac:dyDescent="0.2"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</row>
    <row r="53" spans="15:73" x14ac:dyDescent="0.2"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</row>
    <row r="54" spans="15:73" x14ac:dyDescent="0.2"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</row>
    <row r="55" spans="15:73" x14ac:dyDescent="0.2"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</row>
    <row r="56" spans="15:73" x14ac:dyDescent="0.2"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</row>
    <row r="57" spans="15:73" x14ac:dyDescent="0.2"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</row>
    <row r="58" spans="15:73" x14ac:dyDescent="0.2"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</row>
    <row r="59" spans="15:73" x14ac:dyDescent="0.2"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</row>
    <row r="60" spans="15:73" x14ac:dyDescent="0.2"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</row>
    <row r="61" spans="15:73" x14ac:dyDescent="0.2"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</row>
    <row r="62" spans="15:73" x14ac:dyDescent="0.2"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</row>
    <row r="63" spans="15:73" x14ac:dyDescent="0.2"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</row>
    <row r="64" spans="15:73" x14ac:dyDescent="0.2"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</row>
    <row r="65" spans="15:73" x14ac:dyDescent="0.2"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</row>
    <row r="66" spans="15:73" x14ac:dyDescent="0.2"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</row>
    <row r="67" spans="15:73" x14ac:dyDescent="0.2"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</row>
    <row r="68" spans="15:73" x14ac:dyDescent="0.2"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</row>
    <row r="69" spans="15:73" x14ac:dyDescent="0.2"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</row>
    <row r="70" spans="15:73" x14ac:dyDescent="0.2"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</row>
    <row r="71" spans="15:73" x14ac:dyDescent="0.2"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</row>
    <row r="72" spans="15:73" x14ac:dyDescent="0.2"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</row>
    <row r="73" spans="15:73" x14ac:dyDescent="0.2"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</row>
    <row r="74" spans="15:73" x14ac:dyDescent="0.2"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</row>
    <row r="75" spans="15:73" x14ac:dyDescent="0.2"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</row>
    <row r="76" spans="15:73" x14ac:dyDescent="0.2"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</row>
    <row r="77" spans="15:73" x14ac:dyDescent="0.2"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</row>
    <row r="78" spans="15:73" x14ac:dyDescent="0.2"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</row>
    <row r="79" spans="15:73" x14ac:dyDescent="0.2"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</row>
    <row r="80" spans="15:73" x14ac:dyDescent="0.2"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</row>
    <row r="81" spans="15:73" x14ac:dyDescent="0.2"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</row>
    <row r="82" spans="15:73" x14ac:dyDescent="0.2"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</row>
    <row r="83" spans="15:73" x14ac:dyDescent="0.2"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</row>
    <row r="84" spans="15:73" x14ac:dyDescent="0.2"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</row>
    <row r="85" spans="15:73" x14ac:dyDescent="0.2"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</row>
    <row r="86" spans="15:73" x14ac:dyDescent="0.2"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</row>
    <row r="87" spans="15:73" x14ac:dyDescent="0.2"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</row>
    <row r="88" spans="15:73" x14ac:dyDescent="0.2"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</row>
    <row r="89" spans="15:73" x14ac:dyDescent="0.2"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</row>
    <row r="90" spans="15:73" x14ac:dyDescent="0.2"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</row>
    <row r="91" spans="15:73" x14ac:dyDescent="0.2"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</row>
    <row r="92" spans="15:73" x14ac:dyDescent="0.2"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</row>
    <row r="93" spans="15:73" x14ac:dyDescent="0.2"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</row>
    <row r="94" spans="15:73" x14ac:dyDescent="0.2"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</row>
    <row r="95" spans="15:73" x14ac:dyDescent="0.2"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</row>
    <row r="96" spans="15:73" x14ac:dyDescent="0.2"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</row>
    <row r="97" spans="15:73" x14ac:dyDescent="0.2"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  <c r="BS97" s="10"/>
      <c r="BT97" s="10"/>
      <c r="BU97" s="10"/>
    </row>
    <row r="98" spans="15:73" x14ac:dyDescent="0.2"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10"/>
      <c r="BP98" s="10"/>
      <c r="BQ98" s="10"/>
      <c r="BR98" s="10"/>
      <c r="BS98" s="10"/>
      <c r="BT98" s="10"/>
      <c r="BU98" s="10"/>
    </row>
    <row r="99" spans="15:73" x14ac:dyDescent="0.2"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10"/>
      <c r="BP99" s="10"/>
      <c r="BQ99" s="10"/>
      <c r="BR99" s="10"/>
      <c r="BS99" s="10"/>
      <c r="BT99" s="10"/>
      <c r="BU99" s="10"/>
    </row>
    <row r="100" spans="15:73" x14ac:dyDescent="0.2"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0"/>
      <c r="BQ100" s="10"/>
      <c r="BR100" s="10"/>
      <c r="BS100" s="10"/>
      <c r="BT100" s="10"/>
      <c r="BU100" s="10"/>
    </row>
    <row r="101" spans="15:73" x14ac:dyDescent="0.2"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10"/>
      <c r="BP101" s="10"/>
      <c r="BQ101" s="10"/>
      <c r="BR101" s="10"/>
      <c r="BS101" s="10"/>
      <c r="BT101" s="10"/>
      <c r="BU101" s="10"/>
    </row>
    <row r="102" spans="15:73" x14ac:dyDescent="0.2"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10"/>
      <c r="BP102" s="10"/>
      <c r="BQ102" s="10"/>
      <c r="BR102" s="10"/>
      <c r="BS102" s="10"/>
      <c r="BT102" s="10"/>
      <c r="BU102" s="10"/>
    </row>
    <row r="103" spans="15:73" x14ac:dyDescent="0.2"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</row>
    <row r="104" spans="15:73" x14ac:dyDescent="0.2"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10"/>
      <c r="BP104" s="10"/>
      <c r="BQ104" s="10"/>
      <c r="BR104" s="10"/>
      <c r="BS104" s="10"/>
      <c r="BT104" s="10"/>
      <c r="BU104" s="10"/>
    </row>
    <row r="105" spans="15:73" x14ac:dyDescent="0.2"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R105" s="10"/>
      <c r="BS105" s="10"/>
      <c r="BT105" s="10"/>
      <c r="BU105" s="10"/>
    </row>
    <row r="106" spans="15:73" x14ac:dyDescent="0.2"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</row>
    <row r="107" spans="15:73" x14ac:dyDescent="0.2"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</row>
    <row r="108" spans="15:73" x14ac:dyDescent="0.2"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R108" s="10"/>
      <c r="BS108" s="10"/>
      <c r="BT108" s="10"/>
      <c r="BU108" s="10"/>
    </row>
    <row r="109" spans="15:73" x14ac:dyDescent="0.2"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10"/>
      <c r="BP109" s="10"/>
      <c r="BQ109" s="10"/>
      <c r="BR109" s="10"/>
      <c r="BS109" s="10"/>
      <c r="BT109" s="10"/>
      <c r="BU109" s="10"/>
    </row>
    <row r="110" spans="15:73" x14ac:dyDescent="0.2"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</row>
    <row r="111" spans="15:73" x14ac:dyDescent="0.2"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</row>
    <row r="112" spans="15:73" x14ac:dyDescent="0.2"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</row>
    <row r="113" spans="15:73" x14ac:dyDescent="0.2"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</row>
    <row r="114" spans="15:73" x14ac:dyDescent="0.2"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</row>
    <row r="115" spans="15:73" x14ac:dyDescent="0.2"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</row>
    <row r="116" spans="15:73" x14ac:dyDescent="0.2"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</row>
    <row r="117" spans="15:73" x14ac:dyDescent="0.2"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</row>
    <row r="118" spans="15:73" x14ac:dyDescent="0.2"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</row>
    <row r="119" spans="15:73" x14ac:dyDescent="0.2"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</row>
    <row r="120" spans="15:73" x14ac:dyDescent="0.2"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</row>
    <row r="121" spans="15:73" x14ac:dyDescent="0.2"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10"/>
      <c r="BO121" s="10"/>
      <c r="BP121" s="10"/>
      <c r="BQ121" s="10"/>
      <c r="BR121" s="10"/>
      <c r="BS121" s="10"/>
      <c r="BT121" s="10"/>
      <c r="BU121" s="10"/>
    </row>
    <row r="122" spans="15:73" x14ac:dyDescent="0.2"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10"/>
      <c r="BO122" s="10"/>
      <c r="BP122" s="10"/>
      <c r="BQ122" s="10"/>
      <c r="BR122" s="10"/>
      <c r="BS122" s="10"/>
      <c r="BT122" s="10"/>
      <c r="BU122" s="10"/>
    </row>
    <row r="123" spans="15:73" x14ac:dyDescent="0.2"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</row>
    <row r="124" spans="15:73" x14ac:dyDescent="0.2"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10"/>
      <c r="BO124" s="10"/>
      <c r="BP124" s="10"/>
      <c r="BQ124" s="10"/>
      <c r="BR124" s="10"/>
      <c r="BS124" s="10"/>
      <c r="BT124" s="10"/>
      <c r="BU124" s="10"/>
    </row>
    <row r="125" spans="15:73" x14ac:dyDescent="0.2"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10"/>
      <c r="BP125" s="10"/>
      <c r="BQ125" s="10"/>
      <c r="BR125" s="10"/>
      <c r="BS125" s="10"/>
      <c r="BT125" s="10"/>
      <c r="BU125" s="10"/>
    </row>
    <row r="126" spans="15:73" x14ac:dyDescent="0.2"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10"/>
      <c r="BP126" s="10"/>
      <c r="BQ126" s="10"/>
      <c r="BR126" s="10"/>
      <c r="BS126" s="10"/>
      <c r="BT126" s="10"/>
      <c r="BU126" s="10"/>
    </row>
    <row r="127" spans="15:73" x14ac:dyDescent="0.2"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10"/>
      <c r="BO127" s="10"/>
      <c r="BP127" s="10"/>
      <c r="BQ127" s="10"/>
      <c r="BR127" s="10"/>
      <c r="BS127" s="10"/>
      <c r="BT127" s="10"/>
      <c r="BU127" s="10"/>
    </row>
    <row r="128" spans="15:73" x14ac:dyDescent="0.2"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10"/>
      <c r="BO128" s="10"/>
      <c r="BP128" s="10"/>
      <c r="BQ128" s="10"/>
      <c r="BR128" s="10"/>
      <c r="BS128" s="10"/>
      <c r="BT128" s="10"/>
      <c r="BU128" s="10"/>
    </row>
    <row r="129" spans="15:73" x14ac:dyDescent="0.2"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10"/>
      <c r="BO129" s="10"/>
      <c r="BP129" s="10"/>
      <c r="BQ129" s="10"/>
      <c r="BR129" s="10"/>
      <c r="BS129" s="10"/>
      <c r="BT129" s="10"/>
      <c r="BU129" s="10"/>
    </row>
    <row r="130" spans="15:73" x14ac:dyDescent="0.2"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R130" s="10"/>
      <c r="BS130" s="10"/>
      <c r="BT130" s="10"/>
      <c r="BU130" s="10"/>
    </row>
    <row r="131" spans="15:73" x14ac:dyDescent="0.2"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10"/>
      <c r="BO131" s="10"/>
      <c r="BP131" s="10"/>
      <c r="BQ131" s="10"/>
      <c r="BR131" s="10"/>
      <c r="BS131" s="10"/>
      <c r="BT131" s="10"/>
      <c r="BU131" s="10"/>
    </row>
    <row r="132" spans="15:73" x14ac:dyDescent="0.2"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10"/>
      <c r="BO132" s="10"/>
      <c r="BP132" s="10"/>
      <c r="BQ132" s="10"/>
      <c r="BR132" s="10"/>
      <c r="BS132" s="10"/>
      <c r="BT132" s="10"/>
      <c r="BU132" s="10"/>
    </row>
    <row r="133" spans="15:73" x14ac:dyDescent="0.2"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10"/>
      <c r="BP133" s="10"/>
      <c r="BQ133" s="10"/>
      <c r="BR133" s="10"/>
      <c r="BS133" s="10"/>
      <c r="BT133" s="10"/>
      <c r="BU133" s="10"/>
    </row>
    <row r="134" spans="15:73" x14ac:dyDescent="0.2"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10"/>
      <c r="BO134" s="10"/>
      <c r="BP134" s="10"/>
      <c r="BQ134" s="10"/>
      <c r="BR134" s="10"/>
      <c r="BS134" s="10"/>
      <c r="BT134" s="10"/>
      <c r="BU134" s="10"/>
    </row>
    <row r="135" spans="15:73" x14ac:dyDescent="0.2"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10"/>
      <c r="BO135" s="10"/>
      <c r="BP135" s="10"/>
      <c r="BQ135" s="10"/>
      <c r="BR135" s="10"/>
      <c r="BS135" s="10"/>
      <c r="BT135" s="10"/>
      <c r="BU135" s="10"/>
    </row>
    <row r="136" spans="15:73" x14ac:dyDescent="0.2"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10"/>
      <c r="BO136" s="10"/>
      <c r="BP136" s="10"/>
      <c r="BQ136" s="10"/>
      <c r="BR136" s="10"/>
      <c r="BS136" s="10"/>
      <c r="BT136" s="10"/>
      <c r="BU136" s="10"/>
    </row>
    <row r="137" spans="15:73" x14ac:dyDescent="0.2"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</row>
    <row r="138" spans="15:73" x14ac:dyDescent="0.2"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</row>
    <row r="139" spans="15:73" x14ac:dyDescent="0.2"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</row>
    <row r="140" spans="15:73" x14ac:dyDescent="0.2"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</row>
    <row r="141" spans="15:73" x14ac:dyDescent="0.2"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</row>
    <row r="142" spans="15:73" x14ac:dyDescent="0.2"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</row>
    <row r="143" spans="15:73" x14ac:dyDescent="0.2"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10"/>
      <c r="BO143" s="10"/>
      <c r="BP143" s="10"/>
      <c r="BQ143" s="10"/>
      <c r="BR143" s="10"/>
      <c r="BS143" s="10"/>
      <c r="BT143" s="10"/>
      <c r="BU143" s="10"/>
    </row>
    <row r="144" spans="15:73" x14ac:dyDescent="0.2"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10"/>
      <c r="BO144" s="10"/>
      <c r="BP144" s="10"/>
      <c r="BQ144" s="10"/>
      <c r="BR144" s="10"/>
      <c r="BS144" s="10"/>
      <c r="BT144" s="10"/>
      <c r="BU144" s="10"/>
    </row>
    <row r="145" spans="15:73" x14ac:dyDescent="0.2"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N145" s="10"/>
      <c r="BO145" s="10"/>
      <c r="BP145" s="10"/>
      <c r="BQ145" s="10"/>
      <c r="BR145" s="10"/>
      <c r="BS145" s="10"/>
      <c r="BT145" s="10"/>
      <c r="BU145" s="10"/>
    </row>
    <row r="146" spans="15:73" x14ac:dyDescent="0.2"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N146" s="10"/>
      <c r="BO146" s="10"/>
      <c r="BP146" s="10"/>
      <c r="BQ146" s="10"/>
      <c r="BR146" s="10"/>
      <c r="BS146" s="10"/>
      <c r="BT146" s="10"/>
      <c r="BU146" s="10"/>
    </row>
    <row r="147" spans="15:73" x14ac:dyDescent="0.2"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N147" s="10"/>
      <c r="BO147" s="10"/>
      <c r="BP147" s="10"/>
      <c r="BQ147" s="10"/>
      <c r="BR147" s="10"/>
      <c r="BS147" s="10"/>
      <c r="BT147" s="10"/>
      <c r="BU147" s="10"/>
    </row>
    <row r="148" spans="15:73" x14ac:dyDescent="0.2"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</row>
    <row r="149" spans="15:73" x14ac:dyDescent="0.2"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N149" s="10"/>
      <c r="BO149" s="10"/>
      <c r="BP149" s="10"/>
      <c r="BQ149" s="10"/>
      <c r="BR149" s="10"/>
      <c r="BS149" s="10"/>
      <c r="BT149" s="10"/>
      <c r="BU149" s="10"/>
    </row>
    <row r="150" spans="15:73" x14ac:dyDescent="0.2"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N150" s="10"/>
      <c r="BO150" s="10"/>
      <c r="BP150" s="10"/>
      <c r="BQ150" s="10"/>
      <c r="BR150" s="10"/>
      <c r="BS150" s="10"/>
      <c r="BT150" s="10"/>
      <c r="BU150" s="10"/>
    </row>
    <row r="151" spans="15:73" x14ac:dyDescent="0.2"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N151" s="10"/>
      <c r="BO151" s="10"/>
      <c r="BP151" s="10"/>
      <c r="BQ151" s="10"/>
      <c r="BR151" s="10"/>
      <c r="BS151" s="10"/>
      <c r="BT151" s="10"/>
      <c r="BU151" s="10"/>
    </row>
    <row r="152" spans="15:73" x14ac:dyDescent="0.2"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N152" s="10"/>
      <c r="BO152" s="10"/>
      <c r="BP152" s="10"/>
      <c r="BQ152" s="10"/>
      <c r="BR152" s="10"/>
      <c r="BS152" s="10"/>
      <c r="BT152" s="10"/>
      <c r="BU152" s="10"/>
    </row>
    <row r="153" spans="15:73" x14ac:dyDescent="0.2"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N153" s="10"/>
      <c r="BO153" s="10"/>
      <c r="BP153" s="10"/>
      <c r="BQ153" s="10"/>
      <c r="BR153" s="10"/>
      <c r="BS153" s="10"/>
      <c r="BT153" s="10"/>
      <c r="BU153" s="10"/>
    </row>
    <row r="154" spans="15:73" x14ac:dyDescent="0.2"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</row>
    <row r="155" spans="15:73" x14ac:dyDescent="0.2"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N155" s="10"/>
      <c r="BO155" s="10"/>
      <c r="BP155" s="10"/>
      <c r="BQ155" s="10"/>
      <c r="BR155" s="10"/>
      <c r="BS155" s="10"/>
      <c r="BT155" s="10"/>
      <c r="BU155" s="10"/>
    </row>
    <row r="156" spans="15:73" x14ac:dyDescent="0.2"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N156" s="10"/>
      <c r="BO156" s="10"/>
      <c r="BP156" s="10"/>
      <c r="BQ156" s="10"/>
      <c r="BR156" s="10"/>
      <c r="BS156" s="10"/>
      <c r="BT156" s="10"/>
      <c r="BU156" s="10"/>
    </row>
    <row r="157" spans="15:73" x14ac:dyDescent="0.2"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N157" s="10"/>
      <c r="BO157" s="10"/>
      <c r="BP157" s="10"/>
      <c r="BQ157" s="10"/>
      <c r="BR157" s="10"/>
      <c r="BS157" s="10"/>
      <c r="BT157" s="10"/>
      <c r="BU157" s="10"/>
    </row>
    <row r="158" spans="15:73" x14ac:dyDescent="0.2"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N158" s="10"/>
      <c r="BO158" s="10"/>
      <c r="BP158" s="10"/>
      <c r="BQ158" s="10"/>
      <c r="BR158" s="10"/>
      <c r="BS158" s="10"/>
      <c r="BT158" s="10"/>
      <c r="BU158" s="10"/>
    </row>
    <row r="159" spans="15:73" x14ac:dyDescent="0.2"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N159" s="10"/>
      <c r="BO159" s="10"/>
      <c r="BP159" s="10"/>
      <c r="BQ159" s="10"/>
      <c r="BR159" s="10"/>
      <c r="BS159" s="10"/>
      <c r="BT159" s="10"/>
      <c r="BU159" s="10"/>
    </row>
    <row r="160" spans="15:73" x14ac:dyDescent="0.2"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N160" s="10"/>
      <c r="BO160" s="10"/>
      <c r="BP160" s="10"/>
      <c r="BQ160" s="10"/>
      <c r="BR160" s="10"/>
      <c r="BS160" s="10"/>
      <c r="BT160" s="10"/>
      <c r="BU160" s="10"/>
    </row>
    <row r="161" spans="15:73" x14ac:dyDescent="0.2"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N161" s="10"/>
      <c r="BO161" s="10"/>
      <c r="BP161" s="10"/>
      <c r="BQ161" s="10"/>
      <c r="BR161" s="10"/>
      <c r="BS161" s="10"/>
      <c r="BT161" s="10"/>
      <c r="BU161" s="10"/>
    </row>
    <row r="162" spans="15:73" x14ac:dyDescent="0.2"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</row>
    <row r="163" spans="15:73" x14ac:dyDescent="0.2"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N163" s="10"/>
      <c r="BO163" s="10"/>
      <c r="BP163" s="10"/>
      <c r="BQ163" s="10"/>
      <c r="BR163" s="10"/>
      <c r="BS163" s="10"/>
      <c r="BT163" s="10"/>
      <c r="BU163" s="10"/>
    </row>
    <row r="164" spans="15:73" x14ac:dyDescent="0.2"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N164" s="10"/>
      <c r="BO164" s="10"/>
      <c r="BP164" s="10"/>
      <c r="BQ164" s="10"/>
      <c r="BR164" s="10"/>
      <c r="BS164" s="10"/>
      <c r="BT164" s="10"/>
      <c r="BU164" s="10"/>
    </row>
    <row r="165" spans="15:73" x14ac:dyDescent="0.2"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N165" s="10"/>
      <c r="BO165" s="10"/>
      <c r="BP165" s="10"/>
      <c r="BQ165" s="10"/>
      <c r="BR165" s="10"/>
      <c r="BS165" s="10"/>
      <c r="BT165" s="10"/>
      <c r="BU165" s="10"/>
    </row>
    <row r="166" spans="15:73" x14ac:dyDescent="0.2"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N166" s="10"/>
      <c r="BO166" s="10"/>
      <c r="BP166" s="10"/>
      <c r="BQ166" s="10"/>
      <c r="BR166" s="10"/>
      <c r="BS166" s="10"/>
      <c r="BT166" s="10"/>
      <c r="BU166" s="10"/>
    </row>
    <row r="167" spans="15:73" x14ac:dyDescent="0.2"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</row>
    <row r="168" spans="15:73" x14ac:dyDescent="0.2"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N168" s="10"/>
      <c r="BO168" s="10"/>
      <c r="BP168" s="10"/>
      <c r="BQ168" s="10"/>
      <c r="BR168" s="10"/>
      <c r="BS168" s="10"/>
      <c r="BT168" s="10"/>
      <c r="BU168" s="10"/>
    </row>
    <row r="169" spans="15:73" x14ac:dyDescent="0.2"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N169" s="10"/>
      <c r="BO169" s="10"/>
      <c r="BP169" s="10"/>
      <c r="BQ169" s="10"/>
      <c r="BR169" s="10"/>
      <c r="BS169" s="10"/>
      <c r="BT169" s="10"/>
      <c r="BU169" s="10"/>
    </row>
    <row r="170" spans="15:73" x14ac:dyDescent="0.2"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N170" s="10"/>
      <c r="BO170" s="10"/>
      <c r="BP170" s="10"/>
      <c r="BQ170" s="10"/>
      <c r="BR170" s="10"/>
      <c r="BS170" s="10"/>
      <c r="BT170" s="10"/>
      <c r="BU170" s="10"/>
    </row>
    <row r="171" spans="15:73" x14ac:dyDescent="0.2"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N171" s="10"/>
      <c r="BO171" s="10"/>
      <c r="BP171" s="10"/>
      <c r="BQ171" s="10"/>
      <c r="BR171" s="10"/>
      <c r="BS171" s="10"/>
      <c r="BT171" s="10"/>
      <c r="BU171" s="10"/>
    </row>
    <row r="172" spans="15:73" x14ac:dyDescent="0.2"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N172" s="10"/>
      <c r="BO172" s="10"/>
      <c r="BP172" s="10"/>
      <c r="BQ172" s="10"/>
      <c r="BR172" s="10"/>
      <c r="BS172" s="10"/>
      <c r="BT172" s="10"/>
      <c r="BU172" s="10"/>
    </row>
    <row r="173" spans="15:73" x14ac:dyDescent="0.2"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N173" s="10"/>
      <c r="BO173" s="10"/>
      <c r="BP173" s="10"/>
      <c r="BQ173" s="10"/>
      <c r="BR173" s="10"/>
      <c r="BS173" s="10"/>
      <c r="BT173" s="10"/>
      <c r="BU173" s="10"/>
    </row>
    <row r="174" spans="15:73" x14ac:dyDescent="0.2"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</row>
    <row r="175" spans="15:73" x14ac:dyDescent="0.2"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</row>
    <row r="176" spans="15:73" x14ac:dyDescent="0.2"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</row>
    <row r="177" spans="15:73" x14ac:dyDescent="0.2"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</row>
    <row r="178" spans="15:73" x14ac:dyDescent="0.2"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</row>
    <row r="179" spans="15:73" x14ac:dyDescent="0.2"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</row>
    <row r="180" spans="15:73" x14ac:dyDescent="0.2"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</row>
    <row r="181" spans="15:73" x14ac:dyDescent="0.2"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</row>
    <row r="182" spans="15:73" x14ac:dyDescent="0.2"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</row>
    <row r="183" spans="15:73" x14ac:dyDescent="0.2"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</row>
    <row r="184" spans="15:73" x14ac:dyDescent="0.2"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N184" s="10"/>
      <c r="BO184" s="10"/>
      <c r="BP184" s="10"/>
      <c r="BQ184" s="10"/>
      <c r="BR184" s="10"/>
      <c r="BS184" s="10"/>
      <c r="BT184" s="10"/>
      <c r="BU184" s="10"/>
    </row>
    <row r="185" spans="15:73" x14ac:dyDescent="0.2"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N185" s="10"/>
      <c r="BO185" s="10"/>
      <c r="BP185" s="10"/>
      <c r="BQ185" s="10"/>
      <c r="BR185" s="10"/>
      <c r="BS185" s="10"/>
      <c r="BT185" s="10"/>
      <c r="BU185" s="10"/>
    </row>
    <row r="186" spans="15:73" x14ac:dyDescent="0.2"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N186" s="10"/>
      <c r="BO186" s="10"/>
      <c r="BP186" s="10"/>
      <c r="BQ186" s="10"/>
      <c r="BR186" s="10"/>
      <c r="BS186" s="10"/>
      <c r="BT186" s="10"/>
      <c r="BU186" s="10"/>
    </row>
    <row r="187" spans="15:73" x14ac:dyDescent="0.2"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N187" s="10"/>
      <c r="BO187" s="10"/>
      <c r="BP187" s="10"/>
      <c r="BQ187" s="10"/>
      <c r="BR187" s="10"/>
      <c r="BS187" s="10"/>
      <c r="BT187" s="10"/>
      <c r="BU187" s="10"/>
    </row>
    <row r="188" spans="15:73" x14ac:dyDescent="0.2"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N188" s="10"/>
      <c r="BO188" s="10"/>
      <c r="BP188" s="10"/>
      <c r="BQ188" s="10"/>
      <c r="BR188" s="10"/>
      <c r="BS188" s="10"/>
      <c r="BT188" s="10"/>
      <c r="BU188" s="10"/>
    </row>
    <row r="189" spans="15:73" x14ac:dyDescent="0.2"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N189" s="10"/>
      <c r="BO189" s="10"/>
      <c r="BP189" s="10"/>
      <c r="BQ189" s="10"/>
      <c r="BR189" s="10"/>
      <c r="BS189" s="10"/>
      <c r="BT189" s="10"/>
      <c r="BU189" s="10"/>
    </row>
    <row r="190" spans="15:73" x14ac:dyDescent="0.2"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N190" s="10"/>
      <c r="BO190" s="10"/>
      <c r="BP190" s="10"/>
      <c r="BQ190" s="10"/>
      <c r="BR190" s="10"/>
      <c r="BS190" s="10"/>
      <c r="BT190" s="10"/>
      <c r="BU190" s="10"/>
    </row>
    <row r="191" spans="15:73" x14ac:dyDescent="0.2"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N191" s="10"/>
      <c r="BO191" s="10"/>
      <c r="BP191" s="10"/>
      <c r="BQ191" s="10"/>
      <c r="BR191" s="10"/>
      <c r="BS191" s="10"/>
      <c r="BT191" s="10"/>
      <c r="BU191" s="10"/>
    </row>
    <row r="192" spans="15:73" x14ac:dyDescent="0.2"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N192" s="10"/>
      <c r="BO192" s="10"/>
      <c r="BP192" s="10"/>
      <c r="BQ192" s="10"/>
      <c r="BR192" s="10"/>
      <c r="BS192" s="10"/>
      <c r="BT192" s="10"/>
      <c r="BU192" s="10"/>
    </row>
    <row r="193" spans="15:73" x14ac:dyDescent="0.2"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N193" s="10"/>
      <c r="BO193" s="10"/>
      <c r="BP193" s="10"/>
      <c r="BQ193" s="10"/>
      <c r="BR193" s="10"/>
      <c r="BS193" s="10"/>
      <c r="BT193" s="10"/>
      <c r="BU193" s="10"/>
    </row>
    <row r="194" spans="15:73" x14ac:dyDescent="0.2"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N194" s="10"/>
      <c r="BO194" s="10"/>
      <c r="BP194" s="10"/>
      <c r="BQ194" s="10"/>
      <c r="BR194" s="10"/>
      <c r="BS194" s="10"/>
      <c r="BT194" s="10"/>
      <c r="BU194" s="10"/>
    </row>
    <row r="195" spans="15:73" x14ac:dyDescent="0.2"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N195" s="10"/>
      <c r="BO195" s="10"/>
      <c r="BP195" s="10"/>
      <c r="BQ195" s="10"/>
      <c r="BR195" s="10"/>
      <c r="BS195" s="10"/>
      <c r="BT195" s="10"/>
      <c r="BU195" s="10"/>
    </row>
    <row r="196" spans="15:73" x14ac:dyDescent="0.2"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N196" s="10"/>
      <c r="BO196" s="10"/>
      <c r="BP196" s="10"/>
      <c r="BQ196" s="10"/>
      <c r="BR196" s="10"/>
      <c r="BS196" s="10"/>
      <c r="BT196" s="10"/>
      <c r="BU196" s="10"/>
    </row>
    <row r="197" spans="15:73" x14ac:dyDescent="0.2"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N197" s="10"/>
      <c r="BO197" s="10"/>
      <c r="BP197" s="10"/>
      <c r="BQ197" s="10"/>
      <c r="BR197" s="10"/>
      <c r="BS197" s="10"/>
      <c r="BT197" s="10"/>
      <c r="BU197" s="10"/>
    </row>
    <row r="198" spans="15:73" x14ac:dyDescent="0.2"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N198" s="10"/>
      <c r="BO198" s="10"/>
      <c r="BP198" s="10"/>
      <c r="BQ198" s="10"/>
      <c r="BR198" s="10"/>
      <c r="BS198" s="10"/>
      <c r="BT198" s="10"/>
      <c r="BU198" s="10"/>
    </row>
    <row r="199" spans="15:73" x14ac:dyDescent="0.2"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N199" s="10"/>
      <c r="BO199" s="10"/>
      <c r="BP199" s="10"/>
      <c r="BQ199" s="10"/>
      <c r="BR199" s="10"/>
      <c r="BS199" s="10"/>
      <c r="BT199" s="10"/>
      <c r="BU199" s="10"/>
    </row>
    <row r="200" spans="15:73" x14ac:dyDescent="0.2"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N200" s="10"/>
      <c r="BO200" s="10"/>
      <c r="BP200" s="10"/>
      <c r="BQ200" s="10"/>
      <c r="BR200" s="10"/>
      <c r="BS200" s="10"/>
      <c r="BT200" s="10"/>
      <c r="BU200" s="10"/>
    </row>
    <row r="201" spans="15:73" x14ac:dyDescent="0.2"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N201" s="10"/>
      <c r="BO201" s="10"/>
      <c r="BP201" s="10"/>
      <c r="BQ201" s="10"/>
      <c r="BR201" s="10"/>
      <c r="BS201" s="10"/>
      <c r="BT201" s="10"/>
      <c r="BU201" s="10"/>
    </row>
    <row r="202" spans="15:73" x14ac:dyDescent="0.2"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N202" s="10"/>
      <c r="BO202" s="10"/>
      <c r="BP202" s="10"/>
      <c r="BQ202" s="10"/>
      <c r="BR202" s="10"/>
      <c r="BS202" s="10"/>
      <c r="BT202" s="10"/>
      <c r="BU202" s="10"/>
    </row>
    <row r="203" spans="15:73" x14ac:dyDescent="0.2"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N203" s="10"/>
      <c r="BO203" s="10"/>
      <c r="BP203" s="10"/>
      <c r="BQ203" s="10"/>
      <c r="BR203" s="10"/>
      <c r="BS203" s="10"/>
      <c r="BT203" s="10"/>
      <c r="BU203" s="10"/>
    </row>
    <row r="204" spans="15:73" x14ac:dyDescent="0.2"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N204" s="10"/>
      <c r="BO204" s="10"/>
      <c r="BP204" s="10"/>
      <c r="BQ204" s="10"/>
      <c r="BR204" s="10"/>
      <c r="BS204" s="10"/>
      <c r="BT204" s="10"/>
      <c r="BU204" s="10"/>
    </row>
    <row r="205" spans="15:73" x14ac:dyDescent="0.2"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"/>
      <c r="BC205" s="10"/>
      <c r="BD205" s="10"/>
      <c r="BE205" s="10"/>
      <c r="BF205" s="10"/>
      <c r="BG205" s="10"/>
      <c r="BH205" s="10"/>
      <c r="BI205" s="10"/>
      <c r="BJ205" s="10"/>
      <c r="BK205" s="10"/>
      <c r="BL205" s="10"/>
      <c r="BM205" s="10"/>
      <c r="BN205" s="10"/>
      <c r="BO205" s="10"/>
      <c r="BP205" s="10"/>
      <c r="BQ205" s="10"/>
      <c r="BR205" s="10"/>
      <c r="BS205" s="10"/>
      <c r="BT205" s="10"/>
      <c r="BU205" s="10"/>
    </row>
    <row r="206" spans="15:73" x14ac:dyDescent="0.2"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/>
      <c r="BC206" s="10"/>
      <c r="BD206" s="10"/>
      <c r="BE206" s="10"/>
      <c r="BF206" s="10"/>
      <c r="BG206" s="10"/>
      <c r="BH206" s="10"/>
      <c r="BI206" s="10"/>
      <c r="BJ206" s="10"/>
      <c r="BK206" s="10"/>
      <c r="BL206" s="10"/>
      <c r="BM206" s="10"/>
      <c r="BN206" s="10"/>
      <c r="BO206" s="10"/>
      <c r="BP206" s="10"/>
      <c r="BQ206" s="10"/>
      <c r="BR206" s="10"/>
      <c r="BS206" s="10"/>
      <c r="BT206" s="10"/>
      <c r="BU206" s="10"/>
    </row>
    <row r="207" spans="15:73" x14ac:dyDescent="0.2"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/>
      <c r="BC207" s="10"/>
      <c r="BD207" s="10"/>
      <c r="BE207" s="10"/>
      <c r="BF207" s="10"/>
      <c r="BG207" s="10"/>
      <c r="BH207" s="10"/>
      <c r="BI207" s="10"/>
      <c r="BJ207" s="10"/>
      <c r="BK207" s="10"/>
      <c r="BL207" s="10"/>
      <c r="BM207" s="10"/>
      <c r="BN207" s="10"/>
      <c r="BO207" s="10"/>
      <c r="BP207" s="10"/>
      <c r="BQ207" s="10"/>
      <c r="BR207" s="10"/>
      <c r="BS207" s="10"/>
      <c r="BT207" s="10"/>
      <c r="BU207" s="10"/>
    </row>
    <row r="208" spans="15:73" x14ac:dyDescent="0.2"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/>
      <c r="BC208" s="10"/>
      <c r="BD208" s="10"/>
      <c r="BE208" s="10"/>
      <c r="BF208" s="10"/>
      <c r="BG208" s="10"/>
      <c r="BH208" s="10"/>
      <c r="BI208" s="10"/>
      <c r="BJ208" s="10"/>
      <c r="BK208" s="10"/>
      <c r="BL208" s="10"/>
      <c r="BM208" s="10"/>
      <c r="BN208" s="10"/>
      <c r="BO208" s="10"/>
      <c r="BP208" s="10"/>
      <c r="BQ208" s="10"/>
      <c r="BR208" s="10"/>
      <c r="BS208" s="10"/>
      <c r="BT208" s="10"/>
      <c r="BU208" s="10"/>
    </row>
    <row r="209" spans="15:73" x14ac:dyDescent="0.2"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/>
      <c r="BC209" s="10"/>
      <c r="BD209" s="10"/>
      <c r="BE209" s="10"/>
      <c r="BF209" s="10"/>
      <c r="BG209" s="10"/>
      <c r="BH209" s="10"/>
      <c r="BI209" s="10"/>
      <c r="BJ209" s="10"/>
      <c r="BK209" s="10"/>
      <c r="BL209" s="10"/>
      <c r="BM209" s="10"/>
      <c r="BN209" s="10"/>
      <c r="BO209" s="10"/>
      <c r="BP209" s="10"/>
      <c r="BQ209" s="10"/>
      <c r="BR209" s="10"/>
      <c r="BS209" s="10"/>
      <c r="BT209" s="10"/>
      <c r="BU209" s="10"/>
    </row>
    <row r="210" spans="15:73" x14ac:dyDescent="0.2"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/>
      <c r="BC210" s="10"/>
      <c r="BD210" s="10"/>
      <c r="BE210" s="10"/>
      <c r="BF210" s="10"/>
      <c r="BG210" s="10"/>
      <c r="BH210" s="10"/>
      <c r="BI210" s="10"/>
      <c r="BJ210" s="10"/>
      <c r="BK210" s="10"/>
      <c r="BL210" s="10"/>
      <c r="BM210" s="10"/>
      <c r="BN210" s="10"/>
      <c r="BO210" s="10"/>
      <c r="BP210" s="10"/>
      <c r="BQ210" s="10"/>
      <c r="BR210" s="10"/>
      <c r="BS210" s="10"/>
      <c r="BT210" s="10"/>
      <c r="BU210" s="10"/>
    </row>
    <row r="211" spans="15:73" x14ac:dyDescent="0.2"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/>
      <c r="BC211" s="10"/>
      <c r="BD211" s="10"/>
      <c r="BE211" s="10"/>
      <c r="BF211" s="10"/>
      <c r="BG211" s="10"/>
      <c r="BH211" s="10"/>
      <c r="BI211" s="10"/>
      <c r="BJ211" s="10"/>
      <c r="BK211" s="10"/>
      <c r="BL211" s="10"/>
      <c r="BM211" s="10"/>
      <c r="BN211" s="10"/>
      <c r="BO211" s="10"/>
      <c r="BP211" s="10"/>
      <c r="BQ211" s="10"/>
      <c r="BR211" s="10"/>
      <c r="BS211" s="10"/>
      <c r="BT211" s="10"/>
      <c r="BU211" s="10"/>
    </row>
    <row r="212" spans="15:73" x14ac:dyDescent="0.2"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/>
      <c r="BC212" s="10"/>
      <c r="BD212" s="10"/>
      <c r="BE212" s="10"/>
      <c r="BF212" s="10"/>
      <c r="BG212" s="10"/>
      <c r="BH212" s="10"/>
      <c r="BI212" s="10"/>
      <c r="BJ212" s="10"/>
      <c r="BK212" s="10"/>
      <c r="BL212" s="10"/>
      <c r="BM212" s="10"/>
      <c r="BN212" s="10"/>
      <c r="BO212" s="10"/>
      <c r="BP212" s="10"/>
      <c r="BQ212" s="10"/>
      <c r="BR212" s="10"/>
      <c r="BS212" s="10"/>
      <c r="BT212" s="10"/>
      <c r="BU212" s="10"/>
    </row>
    <row r="213" spans="15:73" x14ac:dyDescent="0.2"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/>
      <c r="BC213" s="10"/>
      <c r="BD213" s="10"/>
      <c r="BE213" s="10"/>
      <c r="BF213" s="10"/>
      <c r="BG213" s="10"/>
      <c r="BH213" s="10"/>
      <c r="BI213" s="10"/>
      <c r="BJ213" s="10"/>
      <c r="BK213" s="10"/>
      <c r="BL213" s="10"/>
      <c r="BM213" s="10"/>
      <c r="BN213" s="10"/>
      <c r="BO213" s="10"/>
      <c r="BP213" s="10"/>
      <c r="BQ213" s="10"/>
      <c r="BR213" s="10"/>
      <c r="BS213" s="10"/>
      <c r="BT213" s="10"/>
      <c r="BU213" s="10"/>
    </row>
    <row r="214" spans="15:73" x14ac:dyDescent="0.2"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/>
      <c r="BC214" s="10"/>
      <c r="BD214" s="10"/>
      <c r="BE214" s="10"/>
      <c r="BF214" s="10"/>
      <c r="BG214" s="10"/>
      <c r="BH214" s="10"/>
      <c r="BI214" s="10"/>
      <c r="BJ214" s="10"/>
      <c r="BK214" s="10"/>
      <c r="BL214" s="10"/>
      <c r="BM214" s="10"/>
      <c r="BN214" s="10"/>
      <c r="BO214" s="10"/>
      <c r="BP214" s="10"/>
      <c r="BQ214" s="10"/>
      <c r="BR214" s="10"/>
      <c r="BS214" s="10"/>
      <c r="BT214" s="10"/>
      <c r="BU214" s="10"/>
    </row>
    <row r="215" spans="15:73" x14ac:dyDescent="0.2"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/>
      <c r="BC215" s="10"/>
      <c r="BD215" s="10"/>
      <c r="BE215" s="10"/>
      <c r="BF215" s="10"/>
      <c r="BG215" s="10"/>
      <c r="BH215" s="10"/>
      <c r="BI215" s="10"/>
      <c r="BJ215" s="10"/>
      <c r="BK215" s="10"/>
      <c r="BL215" s="10"/>
      <c r="BM215" s="10"/>
      <c r="BN215" s="10"/>
      <c r="BO215" s="10"/>
      <c r="BP215" s="10"/>
      <c r="BQ215" s="10"/>
      <c r="BR215" s="10"/>
      <c r="BS215" s="10"/>
      <c r="BT215" s="10"/>
      <c r="BU215" s="10"/>
    </row>
    <row r="216" spans="15:73" x14ac:dyDescent="0.2"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/>
      <c r="BC216" s="10"/>
      <c r="BD216" s="10"/>
      <c r="BE216" s="10"/>
      <c r="BF216" s="10"/>
      <c r="BG216" s="10"/>
      <c r="BH216" s="10"/>
      <c r="BI216" s="10"/>
      <c r="BJ216" s="10"/>
      <c r="BK216" s="10"/>
      <c r="BL216" s="10"/>
      <c r="BM216" s="10"/>
      <c r="BN216" s="10"/>
      <c r="BO216" s="10"/>
      <c r="BP216" s="10"/>
      <c r="BQ216" s="10"/>
      <c r="BR216" s="10"/>
      <c r="BS216" s="10"/>
      <c r="BT216" s="10"/>
      <c r="BU216" s="10"/>
    </row>
    <row r="217" spans="15:73" x14ac:dyDescent="0.2"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/>
      <c r="BC217" s="10"/>
      <c r="BD217" s="10"/>
      <c r="BE217" s="10"/>
      <c r="BF217" s="10"/>
      <c r="BG217" s="10"/>
      <c r="BH217" s="10"/>
      <c r="BI217" s="10"/>
      <c r="BJ217" s="10"/>
      <c r="BK217" s="10"/>
      <c r="BL217" s="10"/>
      <c r="BM217" s="10"/>
      <c r="BN217" s="10"/>
      <c r="BO217" s="10"/>
      <c r="BP217" s="10"/>
      <c r="BQ217" s="10"/>
      <c r="BR217" s="10"/>
      <c r="BS217" s="10"/>
      <c r="BT217" s="10"/>
      <c r="BU217" s="10"/>
    </row>
    <row r="218" spans="15:73" x14ac:dyDescent="0.2"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/>
      <c r="BC218" s="10"/>
      <c r="BD218" s="10"/>
      <c r="BE218" s="10"/>
      <c r="BF218" s="10"/>
      <c r="BG218" s="10"/>
      <c r="BH218" s="10"/>
      <c r="BI218" s="10"/>
      <c r="BJ218" s="10"/>
      <c r="BK218" s="10"/>
      <c r="BL218" s="10"/>
      <c r="BM218" s="10"/>
      <c r="BN218" s="10"/>
      <c r="BO218" s="10"/>
      <c r="BP218" s="10"/>
      <c r="BQ218" s="10"/>
      <c r="BR218" s="10"/>
      <c r="BS218" s="10"/>
      <c r="BT218" s="10"/>
      <c r="BU218" s="10"/>
    </row>
    <row r="219" spans="15:73" x14ac:dyDescent="0.2"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/>
      <c r="BC219" s="10"/>
      <c r="BD219" s="10"/>
      <c r="BE219" s="10"/>
      <c r="BF219" s="10"/>
      <c r="BG219" s="10"/>
      <c r="BH219" s="10"/>
      <c r="BI219" s="10"/>
      <c r="BJ219" s="10"/>
      <c r="BK219" s="10"/>
      <c r="BL219" s="10"/>
      <c r="BM219" s="10"/>
      <c r="BN219" s="10"/>
      <c r="BO219" s="10"/>
      <c r="BP219" s="10"/>
      <c r="BQ219" s="10"/>
      <c r="BR219" s="10"/>
      <c r="BS219" s="10"/>
      <c r="BT219" s="10"/>
      <c r="BU219" s="10"/>
    </row>
    <row r="220" spans="15:73" x14ac:dyDescent="0.2"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/>
      <c r="BC220" s="10"/>
      <c r="BD220" s="10"/>
      <c r="BE220" s="10"/>
      <c r="BF220" s="10"/>
      <c r="BG220" s="10"/>
      <c r="BH220" s="10"/>
      <c r="BI220" s="10"/>
      <c r="BJ220" s="10"/>
      <c r="BK220" s="10"/>
      <c r="BL220" s="10"/>
      <c r="BM220" s="10"/>
      <c r="BN220" s="10"/>
      <c r="BO220" s="10"/>
      <c r="BP220" s="10"/>
      <c r="BQ220" s="10"/>
      <c r="BR220" s="10"/>
      <c r="BS220" s="10"/>
      <c r="BT220" s="10"/>
      <c r="BU220" s="10"/>
    </row>
    <row r="221" spans="15:73" x14ac:dyDescent="0.2"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/>
      <c r="BC221" s="10"/>
      <c r="BD221" s="10"/>
      <c r="BE221" s="10"/>
      <c r="BF221" s="10"/>
      <c r="BG221" s="10"/>
      <c r="BH221" s="10"/>
      <c r="BI221" s="10"/>
      <c r="BJ221" s="10"/>
      <c r="BK221" s="10"/>
      <c r="BL221" s="10"/>
      <c r="BM221" s="10"/>
      <c r="BN221" s="10"/>
      <c r="BO221" s="10"/>
      <c r="BP221" s="10"/>
      <c r="BQ221" s="10"/>
      <c r="BR221" s="10"/>
      <c r="BS221" s="10"/>
      <c r="BT221" s="10"/>
      <c r="BU221" s="10"/>
    </row>
    <row r="222" spans="15:73" x14ac:dyDescent="0.2"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  <c r="BC222" s="10"/>
      <c r="BD222" s="10"/>
      <c r="BE222" s="10"/>
      <c r="BF222" s="10"/>
      <c r="BG222" s="10"/>
      <c r="BH222" s="10"/>
      <c r="BI222" s="10"/>
      <c r="BJ222" s="10"/>
      <c r="BK222" s="10"/>
      <c r="BL222" s="10"/>
      <c r="BM222" s="10"/>
      <c r="BN222" s="10"/>
      <c r="BO222" s="10"/>
      <c r="BP222" s="10"/>
      <c r="BQ222" s="10"/>
      <c r="BR222" s="10"/>
      <c r="BS222" s="10"/>
      <c r="BT222" s="10"/>
      <c r="BU222" s="10"/>
    </row>
    <row r="223" spans="15:73" x14ac:dyDescent="0.2"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"/>
      <c r="BC223" s="10"/>
      <c r="BD223" s="10"/>
      <c r="BE223" s="10"/>
      <c r="BF223" s="10"/>
      <c r="BG223" s="10"/>
      <c r="BH223" s="10"/>
      <c r="BI223" s="10"/>
      <c r="BJ223" s="10"/>
      <c r="BK223" s="10"/>
      <c r="BL223" s="10"/>
      <c r="BM223" s="10"/>
      <c r="BN223" s="10"/>
      <c r="BO223" s="10"/>
      <c r="BP223" s="10"/>
      <c r="BQ223" s="10"/>
      <c r="BR223" s="10"/>
      <c r="BS223" s="10"/>
      <c r="BT223" s="10"/>
      <c r="BU223" s="10"/>
    </row>
    <row r="224" spans="15:73" x14ac:dyDescent="0.2"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/>
      <c r="BC224" s="10"/>
      <c r="BD224" s="10"/>
      <c r="BE224" s="10"/>
      <c r="BF224" s="10"/>
      <c r="BG224" s="10"/>
      <c r="BH224" s="10"/>
      <c r="BI224" s="10"/>
      <c r="BJ224" s="10"/>
      <c r="BK224" s="10"/>
      <c r="BL224" s="10"/>
      <c r="BM224" s="10"/>
      <c r="BN224" s="10"/>
      <c r="BO224" s="10"/>
      <c r="BP224" s="10"/>
      <c r="BQ224" s="10"/>
      <c r="BR224" s="10"/>
      <c r="BS224" s="10"/>
      <c r="BT224" s="10"/>
      <c r="BU224" s="10"/>
    </row>
    <row r="225" spans="15:73" x14ac:dyDescent="0.2"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/>
      <c r="BC225" s="10"/>
      <c r="BD225" s="10"/>
      <c r="BE225" s="10"/>
      <c r="BF225" s="10"/>
      <c r="BG225" s="10"/>
      <c r="BH225" s="10"/>
      <c r="BI225" s="10"/>
      <c r="BJ225" s="10"/>
      <c r="BK225" s="10"/>
      <c r="BL225" s="10"/>
      <c r="BM225" s="10"/>
      <c r="BN225" s="10"/>
      <c r="BO225" s="10"/>
      <c r="BP225" s="10"/>
      <c r="BQ225" s="10"/>
      <c r="BR225" s="10"/>
      <c r="BS225" s="10"/>
      <c r="BT225" s="10"/>
      <c r="BU225" s="10"/>
    </row>
    <row r="226" spans="15:73" x14ac:dyDescent="0.2"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/>
      <c r="BC226" s="10"/>
      <c r="BD226" s="10"/>
      <c r="BE226" s="10"/>
      <c r="BF226" s="10"/>
      <c r="BG226" s="10"/>
      <c r="BH226" s="10"/>
      <c r="BI226" s="10"/>
      <c r="BJ226" s="10"/>
      <c r="BK226" s="10"/>
      <c r="BL226" s="10"/>
      <c r="BM226" s="10"/>
      <c r="BN226" s="10"/>
      <c r="BO226" s="10"/>
      <c r="BP226" s="10"/>
      <c r="BQ226" s="10"/>
      <c r="BR226" s="10"/>
      <c r="BS226" s="10"/>
      <c r="BT226" s="10"/>
      <c r="BU226" s="10"/>
    </row>
    <row r="227" spans="15:73" x14ac:dyDescent="0.2"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/>
      <c r="BC227" s="10"/>
      <c r="BD227" s="10"/>
      <c r="BE227" s="10"/>
      <c r="BF227" s="10"/>
      <c r="BG227" s="10"/>
      <c r="BH227" s="10"/>
      <c r="BI227" s="10"/>
      <c r="BJ227" s="10"/>
      <c r="BK227" s="10"/>
      <c r="BL227" s="10"/>
      <c r="BM227" s="10"/>
      <c r="BN227" s="10"/>
      <c r="BO227" s="10"/>
      <c r="BP227" s="10"/>
      <c r="BQ227" s="10"/>
      <c r="BR227" s="10"/>
      <c r="BS227" s="10"/>
      <c r="BT227" s="10"/>
      <c r="BU227" s="10"/>
    </row>
    <row r="228" spans="15:73" x14ac:dyDescent="0.2"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/>
      <c r="BC228" s="10"/>
      <c r="BD228" s="10"/>
      <c r="BE228" s="10"/>
      <c r="BF228" s="10"/>
      <c r="BG228" s="10"/>
      <c r="BH228" s="10"/>
      <c r="BI228" s="10"/>
      <c r="BJ228" s="10"/>
      <c r="BK228" s="10"/>
      <c r="BL228" s="10"/>
      <c r="BM228" s="10"/>
      <c r="BN228" s="10"/>
      <c r="BO228" s="10"/>
      <c r="BP228" s="10"/>
      <c r="BQ228" s="10"/>
      <c r="BR228" s="10"/>
      <c r="BS228" s="10"/>
      <c r="BT228" s="10"/>
      <c r="BU228" s="10"/>
    </row>
    <row r="229" spans="15:73" x14ac:dyDescent="0.2"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/>
      <c r="BC229" s="10"/>
      <c r="BD229" s="10"/>
      <c r="BE229" s="10"/>
      <c r="BF229" s="10"/>
      <c r="BG229" s="10"/>
      <c r="BH229" s="10"/>
      <c r="BI229" s="10"/>
      <c r="BJ229" s="10"/>
      <c r="BK229" s="10"/>
      <c r="BL229" s="10"/>
      <c r="BM229" s="10"/>
      <c r="BN229" s="10"/>
      <c r="BO229" s="10"/>
      <c r="BP229" s="10"/>
      <c r="BQ229" s="10"/>
      <c r="BR229" s="10"/>
      <c r="BS229" s="10"/>
      <c r="BT229" s="10"/>
      <c r="BU229" s="10"/>
    </row>
    <row r="230" spans="15:73" x14ac:dyDescent="0.2"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  <c r="BB230" s="10"/>
      <c r="BC230" s="10"/>
      <c r="BD230" s="10"/>
      <c r="BE230" s="10"/>
      <c r="BF230" s="10"/>
      <c r="BG230" s="10"/>
      <c r="BH230" s="10"/>
      <c r="BI230" s="10"/>
      <c r="BJ230" s="10"/>
      <c r="BK230" s="10"/>
      <c r="BL230" s="10"/>
      <c r="BM230" s="10"/>
      <c r="BN230" s="10"/>
      <c r="BO230" s="10"/>
      <c r="BP230" s="10"/>
      <c r="BQ230" s="10"/>
      <c r="BR230" s="10"/>
      <c r="BS230" s="10"/>
      <c r="BT230" s="10"/>
      <c r="BU230" s="10"/>
    </row>
    <row r="231" spans="15:73" x14ac:dyDescent="0.2"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/>
      <c r="BC231" s="10"/>
      <c r="BD231" s="10"/>
      <c r="BE231" s="10"/>
      <c r="BF231" s="10"/>
      <c r="BG231" s="10"/>
      <c r="BH231" s="10"/>
      <c r="BI231" s="10"/>
      <c r="BJ231" s="10"/>
      <c r="BK231" s="10"/>
      <c r="BL231" s="10"/>
      <c r="BM231" s="10"/>
      <c r="BN231" s="10"/>
      <c r="BO231" s="10"/>
      <c r="BP231" s="10"/>
      <c r="BQ231" s="10"/>
      <c r="BR231" s="10"/>
      <c r="BS231" s="10"/>
      <c r="BT231" s="10"/>
      <c r="BU231" s="10"/>
    </row>
    <row r="232" spans="15:73" x14ac:dyDescent="0.2"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/>
      <c r="BC232" s="10"/>
      <c r="BD232" s="10"/>
      <c r="BE232" s="10"/>
      <c r="BF232" s="10"/>
      <c r="BG232" s="10"/>
      <c r="BH232" s="10"/>
      <c r="BI232" s="10"/>
      <c r="BJ232" s="10"/>
      <c r="BK232" s="10"/>
      <c r="BL232" s="10"/>
      <c r="BM232" s="10"/>
      <c r="BN232" s="10"/>
      <c r="BO232" s="10"/>
      <c r="BP232" s="10"/>
      <c r="BQ232" s="10"/>
      <c r="BR232" s="10"/>
      <c r="BS232" s="10"/>
      <c r="BT232" s="10"/>
      <c r="BU232" s="10"/>
    </row>
    <row r="233" spans="15:73" x14ac:dyDescent="0.2"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"/>
      <c r="BC233" s="10"/>
      <c r="BD233" s="10"/>
      <c r="BE233" s="10"/>
      <c r="BF233" s="10"/>
      <c r="BG233" s="10"/>
      <c r="BH233" s="10"/>
      <c r="BI233" s="10"/>
      <c r="BJ233" s="10"/>
      <c r="BK233" s="10"/>
      <c r="BL233" s="10"/>
      <c r="BM233" s="10"/>
      <c r="BN233" s="10"/>
      <c r="BO233" s="10"/>
      <c r="BP233" s="10"/>
      <c r="BQ233" s="10"/>
      <c r="BR233" s="10"/>
      <c r="BS233" s="10"/>
      <c r="BT233" s="10"/>
      <c r="BU233" s="10"/>
    </row>
    <row r="234" spans="15:73" x14ac:dyDescent="0.2"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"/>
      <c r="BC234" s="10"/>
      <c r="BD234" s="10"/>
      <c r="BE234" s="10"/>
      <c r="BF234" s="10"/>
      <c r="BG234" s="10"/>
      <c r="BH234" s="10"/>
      <c r="BI234" s="10"/>
      <c r="BJ234" s="10"/>
      <c r="BK234" s="10"/>
      <c r="BL234" s="10"/>
      <c r="BM234" s="10"/>
      <c r="BN234" s="10"/>
      <c r="BO234" s="10"/>
      <c r="BP234" s="10"/>
      <c r="BQ234" s="10"/>
      <c r="BR234" s="10"/>
      <c r="BS234" s="10"/>
      <c r="BT234" s="10"/>
      <c r="BU234" s="10"/>
    </row>
    <row r="235" spans="15:73" x14ac:dyDescent="0.2"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/>
      <c r="BC235" s="10"/>
      <c r="BD235" s="10"/>
      <c r="BE235" s="10"/>
      <c r="BF235" s="10"/>
      <c r="BG235" s="10"/>
      <c r="BH235" s="10"/>
      <c r="BI235" s="10"/>
      <c r="BJ235" s="10"/>
      <c r="BK235" s="10"/>
      <c r="BL235" s="10"/>
      <c r="BM235" s="10"/>
      <c r="BN235" s="10"/>
      <c r="BO235" s="10"/>
      <c r="BP235" s="10"/>
      <c r="BQ235" s="10"/>
      <c r="BR235" s="10"/>
      <c r="BS235" s="10"/>
      <c r="BT235" s="10"/>
      <c r="BU235" s="10"/>
    </row>
    <row r="236" spans="15:73" x14ac:dyDescent="0.2"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/>
      <c r="BC236" s="10"/>
      <c r="BD236" s="10"/>
      <c r="BE236" s="10"/>
      <c r="BF236" s="10"/>
      <c r="BG236" s="10"/>
      <c r="BH236" s="10"/>
      <c r="BI236" s="10"/>
      <c r="BJ236" s="10"/>
      <c r="BK236" s="10"/>
      <c r="BL236" s="10"/>
      <c r="BM236" s="10"/>
      <c r="BN236" s="10"/>
      <c r="BO236" s="10"/>
      <c r="BP236" s="10"/>
      <c r="BQ236" s="10"/>
      <c r="BR236" s="10"/>
      <c r="BS236" s="10"/>
      <c r="BT236" s="10"/>
      <c r="BU236" s="10"/>
    </row>
    <row r="237" spans="15:73" x14ac:dyDescent="0.2"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</row>
    <row r="238" spans="15:73" x14ac:dyDescent="0.2"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</row>
    <row r="239" spans="15:73" x14ac:dyDescent="0.2"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</row>
    <row r="240" spans="15:73" x14ac:dyDescent="0.2"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</row>
    <row r="241" spans="15:73" x14ac:dyDescent="0.2"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</row>
    <row r="242" spans="15:73" x14ac:dyDescent="0.2"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</row>
    <row r="243" spans="15:73" x14ac:dyDescent="0.2"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</row>
    <row r="244" spans="15:73" x14ac:dyDescent="0.2"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</row>
    <row r="245" spans="15:73" x14ac:dyDescent="0.2"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</row>
    <row r="246" spans="15:73" x14ac:dyDescent="0.2"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</row>
    <row r="247" spans="15:73" x14ac:dyDescent="0.2"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</row>
    <row r="248" spans="15:73" x14ac:dyDescent="0.2"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</row>
    <row r="249" spans="15:73" x14ac:dyDescent="0.2"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</row>
    <row r="250" spans="15:73" x14ac:dyDescent="0.2"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</row>
    <row r="251" spans="15:73" x14ac:dyDescent="0.2"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</row>
    <row r="252" spans="15:73" x14ac:dyDescent="0.2"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</row>
    <row r="253" spans="15:73" x14ac:dyDescent="0.2"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</row>
    <row r="254" spans="15:73" x14ac:dyDescent="0.2"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</row>
    <row r="255" spans="15:73" x14ac:dyDescent="0.2"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</row>
    <row r="256" spans="15:73" x14ac:dyDescent="0.2"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</row>
    <row r="257" spans="15:73" x14ac:dyDescent="0.2"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</row>
    <row r="258" spans="15:73" x14ac:dyDescent="0.2"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</row>
    <row r="259" spans="15:73" x14ac:dyDescent="0.2"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</row>
    <row r="260" spans="15:73" x14ac:dyDescent="0.2"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</row>
    <row r="261" spans="15:73" x14ac:dyDescent="0.2"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</row>
    <row r="262" spans="15:73" x14ac:dyDescent="0.2"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/>
      <c r="BC262" s="10"/>
      <c r="BD262" s="10"/>
      <c r="BE262" s="10"/>
      <c r="BF262" s="10"/>
      <c r="BG262" s="10"/>
      <c r="BH262" s="10"/>
      <c r="BI262" s="10"/>
      <c r="BJ262" s="10"/>
      <c r="BK262" s="10"/>
      <c r="BL262" s="10"/>
      <c r="BM262" s="10"/>
      <c r="BN262" s="10"/>
      <c r="BO262" s="10"/>
      <c r="BP262" s="10"/>
      <c r="BQ262" s="10"/>
      <c r="BR262" s="10"/>
      <c r="BS262" s="10"/>
      <c r="BT262" s="10"/>
      <c r="BU262" s="10"/>
    </row>
    <row r="263" spans="15:73" x14ac:dyDescent="0.2"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/>
      <c r="BC263" s="10"/>
      <c r="BD263" s="10"/>
      <c r="BE263" s="10"/>
      <c r="BF263" s="10"/>
      <c r="BG263" s="10"/>
      <c r="BH263" s="10"/>
      <c r="BI263" s="10"/>
      <c r="BJ263" s="10"/>
      <c r="BK263" s="10"/>
      <c r="BL263" s="10"/>
      <c r="BM263" s="10"/>
      <c r="BN263" s="10"/>
      <c r="BO263" s="10"/>
      <c r="BP263" s="10"/>
      <c r="BQ263" s="10"/>
      <c r="BR263" s="10"/>
      <c r="BS263" s="10"/>
      <c r="BT263" s="10"/>
      <c r="BU263" s="10"/>
    </row>
    <row r="264" spans="15:73" x14ac:dyDescent="0.2"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  <c r="BB264" s="10"/>
      <c r="BC264" s="10"/>
      <c r="BD264" s="10"/>
      <c r="BE264" s="10"/>
      <c r="BF264" s="10"/>
      <c r="BG264" s="10"/>
      <c r="BH264" s="10"/>
      <c r="BI264" s="10"/>
      <c r="BJ264" s="10"/>
      <c r="BK264" s="10"/>
      <c r="BL264" s="10"/>
      <c r="BM264" s="10"/>
      <c r="BN264" s="10"/>
      <c r="BO264" s="10"/>
      <c r="BP264" s="10"/>
      <c r="BQ264" s="10"/>
      <c r="BR264" s="10"/>
      <c r="BS264" s="10"/>
      <c r="BT264" s="10"/>
      <c r="BU264" s="10"/>
    </row>
    <row r="265" spans="15:73" x14ac:dyDescent="0.2"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  <c r="BB265" s="10"/>
      <c r="BC265" s="10"/>
      <c r="BD265" s="10"/>
      <c r="BE265" s="10"/>
      <c r="BF265" s="10"/>
      <c r="BG265" s="10"/>
      <c r="BH265" s="10"/>
      <c r="BI265" s="10"/>
      <c r="BJ265" s="10"/>
      <c r="BK265" s="10"/>
      <c r="BL265" s="10"/>
      <c r="BM265" s="10"/>
      <c r="BN265" s="10"/>
      <c r="BO265" s="10"/>
      <c r="BP265" s="10"/>
      <c r="BQ265" s="10"/>
      <c r="BR265" s="10"/>
      <c r="BS265" s="10"/>
      <c r="BT265" s="10"/>
      <c r="BU265" s="10"/>
    </row>
    <row r="266" spans="15:73" x14ac:dyDescent="0.2"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/>
      <c r="BC266" s="10"/>
      <c r="BD266" s="10"/>
      <c r="BE266" s="10"/>
      <c r="BF266" s="10"/>
      <c r="BG266" s="10"/>
      <c r="BH266" s="10"/>
      <c r="BI266" s="10"/>
      <c r="BJ266" s="10"/>
      <c r="BK266" s="10"/>
      <c r="BL266" s="10"/>
      <c r="BM266" s="10"/>
      <c r="BN266" s="10"/>
      <c r="BO266" s="10"/>
      <c r="BP266" s="10"/>
      <c r="BQ266" s="10"/>
      <c r="BR266" s="10"/>
      <c r="BS266" s="10"/>
      <c r="BT266" s="10"/>
      <c r="BU266" s="10"/>
    </row>
    <row r="267" spans="15:73" x14ac:dyDescent="0.2"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/>
      <c r="BC267" s="10"/>
      <c r="BD267" s="10"/>
      <c r="BE267" s="10"/>
      <c r="BF267" s="10"/>
      <c r="BG267" s="10"/>
      <c r="BH267" s="10"/>
      <c r="BI267" s="10"/>
      <c r="BJ267" s="10"/>
      <c r="BK267" s="10"/>
      <c r="BL267" s="10"/>
      <c r="BM267" s="10"/>
      <c r="BN267" s="10"/>
      <c r="BO267" s="10"/>
      <c r="BP267" s="10"/>
      <c r="BQ267" s="10"/>
      <c r="BR267" s="10"/>
      <c r="BS267" s="10"/>
      <c r="BT267" s="10"/>
      <c r="BU267" s="10"/>
    </row>
    <row r="268" spans="15:73" x14ac:dyDescent="0.2"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/>
      <c r="BC268" s="10"/>
      <c r="BD268" s="10"/>
      <c r="BE268" s="10"/>
      <c r="BF268" s="10"/>
      <c r="BG268" s="10"/>
      <c r="BH268" s="10"/>
      <c r="BI268" s="10"/>
      <c r="BJ268" s="10"/>
      <c r="BK268" s="10"/>
      <c r="BL268" s="10"/>
      <c r="BM268" s="10"/>
      <c r="BN268" s="10"/>
      <c r="BO268" s="10"/>
      <c r="BP268" s="10"/>
      <c r="BQ268" s="10"/>
      <c r="BR268" s="10"/>
      <c r="BS268" s="10"/>
      <c r="BT268" s="10"/>
      <c r="BU268" s="10"/>
    </row>
    <row r="269" spans="15:73" x14ac:dyDescent="0.2"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/>
      <c r="BC269" s="10"/>
      <c r="BD269" s="10"/>
      <c r="BE269" s="10"/>
      <c r="BF269" s="10"/>
      <c r="BG269" s="10"/>
      <c r="BH269" s="10"/>
      <c r="BI269" s="10"/>
      <c r="BJ269" s="10"/>
      <c r="BK269" s="10"/>
      <c r="BL269" s="10"/>
      <c r="BM269" s="10"/>
      <c r="BN269" s="10"/>
      <c r="BO269" s="10"/>
      <c r="BP269" s="10"/>
      <c r="BQ269" s="10"/>
      <c r="BR269" s="10"/>
      <c r="BS269" s="10"/>
      <c r="BT269" s="10"/>
      <c r="BU269" s="10"/>
    </row>
    <row r="270" spans="15:73" x14ac:dyDescent="0.2"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/>
      <c r="BC270" s="10"/>
      <c r="BD270" s="10"/>
      <c r="BE270" s="10"/>
      <c r="BF270" s="10"/>
      <c r="BG270" s="10"/>
      <c r="BH270" s="10"/>
      <c r="BI270" s="10"/>
      <c r="BJ270" s="10"/>
      <c r="BK270" s="10"/>
      <c r="BL270" s="10"/>
      <c r="BM270" s="10"/>
      <c r="BN270" s="10"/>
      <c r="BO270" s="10"/>
      <c r="BP270" s="10"/>
      <c r="BQ270" s="10"/>
      <c r="BR270" s="10"/>
      <c r="BS270" s="10"/>
      <c r="BT270" s="10"/>
      <c r="BU270" s="10"/>
    </row>
    <row r="271" spans="15:73" x14ac:dyDescent="0.2"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"/>
      <c r="BC271" s="10"/>
      <c r="BD271" s="10"/>
      <c r="BE271" s="10"/>
      <c r="BF271" s="10"/>
      <c r="BG271" s="10"/>
      <c r="BH271" s="10"/>
      <c r="BI271" s="10"/>
      <c r="BJ271" s="10"/>
      <c r="BK271" s="10"/>
      <c r="BL271" s="10"/>
      <c r="BM271" s="10"/>
      <c r="BN271" s="10"/>
      <c r="BO271" s="10"/>
      <c r="BP271" s="10"/>
      <c r="BQ271" s="10"/>
      <c r="BR271" s="10"/>
      <c r="BS271" s="10"/>
      <c r="BT271" s="10"/>
      <c r="BU271" s="10"/>
    </row>
    <row r="272" spans="15:73" x14ac:dyDescent="0.2"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/>
      <c r="BC272" s="10"/>
      <c r="BD272" s="10"/>
      <c r="BE272" s="10"/>
      <c r="BF272" s="10"/>
      <c r="BG272" s="10"/>
      <c r="BH272" s="10"/>
      <c r="BI272" s="10"/>
      <c r="BJ272" s="10"/>
      <c r="BK272" s="10"/>
      <c r="BL272" s="10"/>
      <c r="BM272" s="10"/>
      <c r="BN272" s="10"/>
      <c r="BO272" s="10"/>
      <c r="BP272" s="10"/>
      <c r="BQ272" s="10"/>
      <c r="BR272" s="10"/>
      <c r="BS272" s="10"/>
      <c r="BT272" s="10"/>
      <c r="BU272" s="10"/>
    </row>
    <row r="273" spans="15:73" x14ac:dyDescent="0.2"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/>
      <c r="BC273" s="10"/>
      <c r="BD273" s="10"/>
      <c r="BE273" s="10"/>
      <c r="BF273" s="10"/>
      <c r="BG273" s="10"/>
      <c r="BH273" s="10"/>
      <c r="BI273" s="10"/>
      <c r="BJ273" s="10"/>
      <c r="BK273" s="10"/>
      <c r="BL273" s="10"/>
      <c r="BM273" s="10"/>
      <c r="BN273" s="10"/>
      <c r="BO273" s="10"/>
      <c r="BP273" s="10"/>
      <c r="BQ273" s="10"/>
      <c r="BR273" s="10"/>
      <c r="BS273" s="10"/>
      <c r="BT273" s="10"/>
      <c r="BU273" s="10"/>
    </row>
    <row r="274" spans="15:73" x14ac:dyDescent="0.2"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"/>
      <c r="BC274" s="10"/>
      <c r="BD274" s="10"/>
      <c r="BE274" s="10"/>
      <c r="BF274" s="10"/>
      <c r="BG274" s="10"/>
      <c r="BH274" s="10"/>
      <c r="BI274" s="10"/>
      <c r="BJ274" s="10"/>
      <c r="BK274" s="10"/>
      <c r="BL274" s="10"/>
      <c r="BM274" s="10"/>
      <c r="BN274" s="10"/>
      <c r="BO274" s="10"/>
      <c r="BP274" s="10"/>
      <c r="BQ274" s="10"/>
      <c r="BR274" s="10"/>
      <c r="BS274" s="10"/>
      <c r="BT274" s="10"/>
      <c r="BU274" s="10"/>
    </row>
    <row r="275" spans="15:73" x14ac:dyDescent="0.2"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"/>
      <c r="BC275" s="10"/>
      <c r="BD275" s="10"/>
      <c r="BE275" s="10"/>
      <c r="BF275" s="10"/>
      <c r="BG275" s="10"/>
      <c r="BH275" s="10"/>
      <c r="BI275" s="10"/>
      <c r="BJ275" s="10"/>
      <c r="BK275" s="10"/>
      <c r="BL275" s="10"/>
      <c r="BM275" s="10"/>
      <c r="BN275" s="10"/>
      <c r="BO275" s="10"/>
      <c r="BP275" s="10"/>
      <c r="BQ275" s="10"/>
      <c r="BR275" s="10"/>
      <c r="BS275" s="10"/>
      <c r="BT275" s="10"/>
      <c r="BU275" s="10"/>
    </row>
    <row r="276" spans="15:73" x14ac:dyDescent="0.2"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/>
      <c r="BC276" s="10"/>
      <c r="BD276" s="10"/>
      <c r="BE276" s="10"/>
      <c r="BF276" s="10"/>
      <c r="BG276" s="10"/>
      <c r="BH276" s="10"/>
      <c r="BI276" s="10"/>
      <c r="BJ276" s="10"/>
      <c r="BK276" s="10"/>
      <c r="BL276" s="10"/>
      <c r="BM276" s="10"/>
      <c r="BN276" s="10"/>
      <c r="BO276" s="10"/>
      <c r="BP276" s="10"/>
      <c r="BQ276" s="10"/>
      <c r="BR276" s="10"/>
      <c r="BS276" s="10"/>
      <c r="BT276" s="10"/>
      <c r="BU276" s="10"/>
    </row>
    <row r="277" spans="15:73" x14ac:dyDescent="0.2"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/>
      <c r="BC277" s="10"/>
      <c r="BD277" s="10"/>
      <c r="BE277" s="10"/>
      <c r="BF277" s="10"/>
      <c r="BG277" s="10"/>
      <c r="BH277" s="10"/>
      <c r="BI277" s="10"/>
      <c r="BJ277" s="10"/>
      <c r="BK277" s="10"/>
      <c r="BL277" s="10"/>
      <c r="BM277" s="10"/>
      <c r="BN277" s="10"/>
      <c r="BO277" s="10"/>
      <c r="BP277" s="10"/>
      <c r="BQ277" s="10"/>
      <c r="BR277" s="10"/>
      <c r="BS277" s="10"/>
      <c r="BT277" s="10"/>
      <c r="BU277" s="10"/>
    </row>
    <row r="278" spans="15:73" x14ac:dyDescent="0.2"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/>
      <c r="BC278" s="10"/>
      <c r="BD278" s="10"/>
      <c r="BE278" s="10"/>
      <c r="BF278" s="10"/>
      <c r="BG278" s="10"/>
      <c r="BH278" s="10"/>
      <c r="BI278" s="10"/>
      <c r="BJ278" s="10"/>
      <c r="BK278" s="10"/>
      <c r="BL278" s="10"/>
      <c r="BM278" s="10"/>
      <c r="BN278" s="10"/>
      <c r="BO278" s="10"/>
      <c r="BP278" s="10"/>
      <c r="BQ278" s="10"/>
      <c r="BR278" s="10"/>
      <c r="BS278" s="10"/>
      <c r="BT278" s="10"/>
      <c r="BU278" s="10"/>
    </row>
    <row r="279" spans="15:73" x14ac:dyDescent="0.2"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"/>
      <c r="BC279" s="10"/>
      <c r="BD279" s="10"/>
      <c r="BE279" s="10"/>
      <c r="BF279" s="10"/>
      <c r="BG279" s="10"/>
      <c r="BH279" s="10"/>
      <c r="BI279" s="10"/>
      <c r="BJ279" s="10"/>
      <c r="BK279" s="10"/>
      <c r="BL279" s="10"/>
      <c r="BM279" s="10"/>
      <c r="BN279" s="10"/>
      <c r="BO279" s="10"/>
      <c r="BP279" s="10"/>
      <c r="BQ279" s="10"/>
      <c r="BR279" s="10"/>
      <c r="BS279" s="10"/>
      <c r="BT279" s="10"/>
      <c r="BU279" s="10"/>
    </row>
    <row r="280" spans="15:73" x14ac:dyDescent="0.2"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"/>
      <c r="BC280" s="10"/>
      <c r="BD280" s="10"/>
      <c r="BE280" s="10"/>
      <c r="BF280" s="10"/>
      <c r="BG280" s="10"/>
      <c r="BH280" s="10"/>
      <c r="BI280" s="10"/>
      <c r="BJ280" s="10"/>
      <c r="BK280" s="10"/>
      <c r="BL280" s="10"/>
      <c r="BM280" s="10"/>
      <c r="BN280" s="10"/>
      <c r="BO280" s="10"/>
      <c r="BP280" s="10"/>
      <c r="BQ280" s="10"/>
      <c r="BR280" s="10"/>
      <c r="BS280" s="10"/>
      <c r="BT280" s="10"/>
      <c r="BU280" s="10"/>
    </row>
    <row r="281" spans="15:73" x14ac:dyDescent="0.2"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/>
      <c r="BC281" s="10"/>
      <c r="BD281" s="10"/>
      <c r="BE281" s="10"/>
      <c r="BF281" s="10"/>
      <c r="BG281" s="10"/>
      <c r="BH281" s="10"/>
      <c r="BI281" s="10"/>
      <c r="BJ281" s="10"/>
      <c r="BK281" s="10"/>
      <c r="BL281" s="10"/>
      <c r="BM281" s="10"/>
      <c r="BN281" s="10"/>
      <c r="BO281" s="10"/>
      <c r="BP281" s="10"/>
      <c r="BQ281" s="10"/>
      <c r="BR281" s="10"/>
      <c r="BS281" s="10"/>
      <c r="BT281" s="10"/>
      <c r="BU281" s="10"/>
    </row>
    <row r="282" spans="15:73" x14ac:dyDescent="0.2"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/>
      <c r="BC282" s="10"/>
      <c r="BD282" s="10"/>
      <c r="BE282" s="10"/>
      <c r="BF282" s="10"/>
      <c r="BG282" s="10"/>
      <c r="BH282" s="10"/>
      <c r="BI282" s="10"/>
      <c r="BJ282" s="10"/>
      <c r="BK282" s="10"/>
      <c r="BL282" s="10"/>
      <c r="BM282" s="10"/>
      <c r="BN282" s="10"/>
      <c r="BO282" s="10"/>
      <c r="BP282" s="10"/>
      <c r="BQ282" s="10"/>
      <c r="BR282" s="10"/>
      <c r="BS282" s="10"/>
      <c r="BT282" s="10"/>
      <c r="BU282" s="10"/>
    </row>
    <row r="283" spans="15:73" x14ac:dyDescent="0.2"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/>
      <c r="BC283" s="10"/>
      <c r="BD283" s="10"/>
      <c r="BE283" s="10"/>
      <c r="BF283" s="10"/>
      <c r="BG283" s="10"/>
      <c r="BH283" s="10"/>
      <c r="BI283" s="10"/>
      <c r="BJ283" s="10"/>
      <c r="BK283" s="10"/>
      <c r="BL283" s="10"/>
      <c r="BM283" s="10"/>
      <c r="BN283" s="10"/>
      <c r="BO283" s="10"/>
      <c r="BP283" s="10"/>
      <c r="BQ283" s="10"/>
      <c r="BR283" s="10"/>
      <c r="BS283" s="10"/>
      <c r="BT283" s="10"/>
      <c r="BU283" s="10"/>
    </row>
    <row r="284" spans="15:73" x14ac:dyDescent="0.2"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/>
      <c r="BC284" s="10"/>
      <c r="BD284" s="10"/>
      <c r="BE284" s="10"/>
      <c r="BF284" s="10"/>
      <c r="BG284" s="10"/>
      <c r="BH284" s="10"/>
      <c r="BI284" s="10"/>
      <c r="BJ284" s="10"/>
      <c r="BK284" s="10"/>
      <c r="BL284" s="10"/>
      <c r="BM284" s="10"/>
      <c r="BN284" s="10"/>
      <c r="BO284" s="10"/>
      <c r="BP284" s="10"/>
      <c r="BQ284" s="10"/>
      <c r="BR284" s="10"/>
      <c r="BS284" s="10"/>
      <c r="BT284" s="10"/>
      <c r="BU284" s="10"/>
    </row>
    <row r="285" spans="15:73" x14ac:dyDescent="0.2"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/>
      <c r="BC285" s="10"/>
      <c r="BD285" s="10"/>
      <c r="BE285" s="10"/>
      <c r="BF285" s="10"/>
      <c r="BG285" s="10"/>
      <c r="BH285" s="10"/>
      <c r="BI285" s="10"/>
      <c r="BJ285" s="10"/>
      <c r="BK285" s="10"/>
      <c r="BL285" s="10"/>
      <c r="BM285" s="10"/>
      <c r="BN285" s="10"/>
      <c r="BO285" s="10"/>
      <c r="BP285" s="10"/>
      <c r="BQ285" s="10"/>
      <c r="BR285" s="10"/>
      <c r="BS285" s="10"/>
      <c r="BT285" s="10"/>
      <c r="BU285" s="10"/>
    </row>
    <row r="286" spans="15:73" x14ac:dyDescent="0.2"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/>
      <c r="BC286" s="10"/>
      <c r="BD286" s="10"/>
      <c r="BE286" s="10"/>
      <c r="BF286" s="10"/>
      <c r="BG286" s="10"/>
      <c r="BH286" s="10"/>
      <c r="BI286" s="10"/>
      <c r="BJ286" s="10"/>
      <c r="BK286" s="10"/>
      <c r="BL286" s="10"/>
      <c r="BM286" s="10"/>
      <c r="BN286" s="10"/>
      <c r="BO286" s="10"/>
      <c r="BP286" s="10"/>
      <c r="BQ286" s="10"/>
      <c r="BR286" s="10"/>
      <c r="BS286" s="10"/>
      <c r="BT286" s="10"/>
      <c r="BU286" s="10"/>
    </row>
    <row r="287" spans="15:73" x14ac:dyDescent="0.2"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/>
      <c r="BC287" s="10"/>
      <c r="BD287" s="10"/>
      <c r="BE287" s="10"/>
      <c r="BF287" s="10"/>
      <c r="BG287" s="10"/>
      <c r="BH287" s="10"/>
      <c r="BI287" s="10"/>
      <c r="BJ287" s="10"/>
      <c r="BK287" s="10"/>
      <c r="BL287" s="10"/>
      <c r="BM287" s="10"/>
      <c r="BN287" s="10"/>
      <c r="BO287" s="10"/>
      <c r="BP287" s="10"/>
      <c r="BQ287" s="10"/>
      <c r="BR287" s="10"/>
      <c r="BS287" s="10"/>
      <c r="BT287" s="10"/>
      <c r="BU287" s="10"/>
    </row>
    <row r="288" spans="15:73" x14ac:dyDescent="0.2"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/>
      <c r="BC288" s="10"/>
      <c r="BD288" s="10"/>
      <c r="BE288" s="10"/>
      <c r="BF288" s="10"/>
      <c r="BG288" s="10"/>
      <c r="BH288" s="10"/>
      <c r="BI288" s="10"/>
      <c r="BJ288" s="10"/>
      <c r="BK288" s="10"/>
      <c r="BL288" s="10"/>
      <c r="BM288" s="10"/>
      <c r="BN288" s="10"/>
      <c r="BO288" s="10"/>
      <c r="BP288" s="10"/>
      <c r="BQ288" s="10"/>
      <c r="BR288" s="10"/>
      <c r="BS288" s="10"/>
      <c r="BT288" s="10"/>
      <c r="BU288" s="10"/>
    </row>
    <row r="289" spans="15:73" x14ac:dyDescent="0.2"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/>
      <c r="BC289" s="10"/>
      <c r="BD289" s="10"/>
      <c r="BE289" s="10"/>
      <c r="BF289" s="10"/>
      <c r="BG289" s="10"/>
      <c r="BH289" s="10"/>
      <c r="BI289" s="10"/>
      <c r="BJ289" s="10"/>
      <c r="BK289" s="10"/>
      <c r="BL289" s="10"/>
      <c r="BM289" s="10"/>
      <c r="BN289" s="10"/>
      <c r="BO289" s="10"/>
      <c r="BP289" s="10"/>
      <c r="BQ289" s="10"/>
      <c r="BR289" s="10"/>
      <c r="BS289" s="10"/>
      <c r="BT289" s="10"/>
      <c r="BU289" s="10"/>
    </row>
    <row r="290" spans="15:73" x14ac:dyDescent="0.2"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/>
      <c r="BC290" s="10"/>
      <c r="BD290" s="10"/>
      <c r="BE290" s="10"/>
      <c r="BF290" s="10"/>
      <c r="BG290" s="10"/>
      <c r="BH290" s="10"/>
      <c r="BI290" s="10"/>
      <c r="BJ290" s="10"/>
      <c r="BK290" s="10"/>
      <c r="BL290" s="10"/>
      <c r="BM290" s="10"/>
      <c r="BN290" s="10"/>
      <c r="BO290" s="10"/>
      <c r="BP290" s="10"/>
      <c r="BQ290" s="10"/>
      <c r="BR290" s="10"/>
      <c r="BS290" s="10"/>
      <c r="BT290" s="10"/>
      <c r="BU290" s="10"/>
    </row>
    <row r="291" spans="15:73" x14ac:dyDescent="0.2"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"/>
      <c r="BC291" s="10"/>
      <c r="BD291" s="10"/>
      <c r="BE291" s="10"/>
      <c r="BF291" s="10"/>
      <c r="BG291" s="10"/>
      <c r="BH291" s="10"/>
      <c r="BI291" s="10"/>
      <c r="BJ291" s="10"/>
      <c r="BK291" s="10"/>
      <c r="BL291" s="10"/>
      <c r="BM291" s="10"/>
      <c r="BN291" s="10"/>
      <c r="BO291" s="10"/>
      <c r="BP291" s="10"/>
      <c r="BQ291" s="10"/>
      <c r="BR291" s="10"/>
      <c r="BS291" s="10"/>
      <c r="BT291" s="10"/>
      <c r="BU291" s="10"/>
    </row>
    <row r="292" spans="15:73" x14ac:dyDescent="0.2"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"/>
      <c r="BC292" s="10"/>
      <c r="BD292" s="10"/>
      <c r="BE292" s="10"/>
      <c r="BF292" s="10"/>
      <c r="BG292" s="10"/>
      <c r="BH292" s="10"/>
      <c r="BI292" s="10"/>
      <c r="BJ292" s="10"/>
      <c r="BK292" s="10"/>
      <c r="BL292" s="10"/>
      <c r="BM292" s="10"/>
      <c r="BN292" s="10"/>
      <c r="BO292" s="10"/>
      <c r="BP292" s="10"/>
      <c r="BQ292" s="10"/>
      <c r="BR292" s="10"/>
      <c r="BS292" s="10"/>
      <c r="BT292" s="10"/>
      <c r="BU292" s="10"/>
    </row>
    <row r="293" spans="15:73" x14ac:dyDescent="0.2"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"/>
      <c r="BC293" s="10"/>
      <c r="BD293" s="10"/>
      <c r="BE293" s="10"/>
      <c r="BF293" s="10"/>
      <c r="BG293" s="10"/>
      <c r="BH293" s="10"/>
      <c r="BI293" s="10"/>
      <c r="BJ293" s="10"/>
      <c r="BK293" s="10"/>
      <c r="BL293" s="10"/>
      <c r="BM293" s="10"/>
      <c r="BN293" s="10"/>
      <c r="BO293" s="10"/>
      <c r="BP293" s="10"/>
      <c r="BQ293" s="10"/>
      <c r="BR293" s="10"/>
      <c r="BS293" s="10"/>
      <c r="BT293" s="10"/>
      <c r="BU293" s="10"/>
    </row>
    <row r="294" spans="15:73" x14ac:dyDescent="0.2"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/>
      <c r="BC294" s="10"/>
      <c r="BD294" s="10"/>
      <c r="BE294" s="10"/>
      <c r="BF294" s="10"/>
      <c r="BG294" s="10"/>
      <c r="BH294" s="10"/>
      <c r="BI294" s="10"/>
      <c r="BJ294" s="10"/>
      <c r="BK294" s="10"/>
      <c r="BL294" s="10"/>
      <c r="BM294" s="10"/>
      <c r="BN294" s="10"/>
      <c r="BO294" s="10"/>
      <c r="BP294" s="10"/>
      <c r="BQ294" s="10"/>
      <c r="BR294" s="10"/>
      <c r="BS294" s="10"/>
      <c r="BT294" s="10"/>
      <c r="BU294" s="10"/>
    </row>
    <row r="295" spans="15:73" x14ac:dyDescent="0.2"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/>
      <c r="BC295" s="10"/>
      <c r="BD295" s="10"/>
      <c r="BE295" s="10"/>
      <c r="BF295" s="10"/>
      <c r="BG295" s="10"/>
      <c r="BH295" s="10"/>
      <c r="BI295" s="10"/>
      <c r="BJ295" s="10"/>
      <c r="BK295" s="10"/>
      <c r="BL295" s="10"/>
      <c r="BM295" s="10"/>
      <c r="BN295" s="10"/>
      <c r="BO295" s="10"/>
      <c r="BP295" s="10"/>
      <c r="BQ295" s="10"/>
      <c r="BR295" s="10"/>
      <c r="BS295" s="10"/>
      <c r="BT295" s="10"/>
      <c r="BU295" s="10"/>
    </row>
    <row r="296" spans="15:73" x14ac:dyDescent="0.2"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"/>
      <c r="BC296" s="10"/>
      <c r="BD296" s="10"/>
      <c r="BE296" s="10"/>
      <c r="BF296" s="10"/>
      <c r="BG296" s="10"/>
      <c r="BH296" s="10"/>
      <c r="BI296" s="10"/>
      <c r="BJ296" s="10"/>
      <c r="BK296" s="10"/>
      <c r="BL296" s="10"/>
      <c r="BM296" s="10"/>
      <c r="BN296" s="10"/>
      <c r="BO296" s="10"/>
      <c r="BP296" s="10"/>
      <c r="BQ296" s="10"/>
      <c r="BR296" s="10"/>
      <c r="BS296" s="10"/>
      <c r="BT296" s="10"/>
      <c r="BU296" s="10"/>
    </row>
    <row r="297" spans="15:73" x14ac:dyDescent="0.2"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/>
      <c r="BC297" s="10"/>
      <c r="BD297" s="10"/>
      <c r="BE297" s="10"/>
      <c r="BF297" s="10"/>
      <c r="BG297" s="10"/>
      <c r="BH297" s="10"/>
      <c r="BI297" s="10"/>
      <c r="BJ297" s="10"/>
      <c r="BK297" s="10"/>
      <c r="BL297" s="10"/>
      <c r="BM297" s="10"/>
      <c r="BN297" s="10"/>
      <c r="BO297" s="10"/>
      <c r="BP297" s="10"/>
      <c r="BQ297" s="10"/>
      <c r="BR297" s="10"/>
      <c r="BS297" s="10"/>
      <c r="BT297" s="10"/>
      <c r="BU297" s="10"/>
    </row>
    <row r="298" spans="15:73" x14ac:dyDescent="0.2"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/>
      <c r="BC298" s="10"/>
      <c r="BD298" s="10"/>
      <c r="BE298" s="10"/>
      <c r="BF298" s="10"/>
      <c r="BG298" s="10"/>
      <c r="BH298" s="10"/>
      <c r="BI298" s="10"/>
      <c r="BJ298" s="10"/>
      <c r="BK298" s="10"/>
      <c r="BL298" s="10"/>
      <c r="BM298" s="10"/>
      <c r="BN298" s="10"/>
      <c r="BO298" s="10"/>
      <c r="BP298" s="10"/>
      <c r="BQ298" s="10"/>
      <c r="BR298" s="10"/>
      <c r="BS298" s="10"/>
      <c r="BT298" s="10"/>
      <c r="BU298" s="10"/>
    </row>
    <row r="299" spans="15:73" x14ac:dyDescent="0.2"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/>
      <c r="BC299" s="10"/>
      <c r="BD299" s="10"/>
      <c r="BE299" s="10"/>
      <c r="BF299" s="10"/>
      <c r="BG299" s="10"/>
      <c r="BH299" s="10"/>
      <c r="BI299" s="10"/>
      <c r="BJ299" s="10"/>
      <c r="BK299" s="10"/>
      <c r="BL299" s="10"/>
      <c r="BM299" s="10"/>
      <c r="BN299" s="10"/>
      <c r="BO299" s="10"/>
      <c r="BP299" s="10"/>
      <c r="BQ299" s="10"/>
      <c r="BR299" s="10"/>
      <c r="BS299" s="10"/>
      <c r="BT299" s="10"/>
      <c r="BU299" s="10"/>
    </row>
    <row r="300" spans="15:73" x14ac:dyDescent="0.2"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"/>
      <c r="BC300" s="10"/>
      <c r="BD300" s="10"/>
      <c r="BE300" s="10"/>
      <c r="BF300" s="10"/>
      <c r="BG300" s="10"/>
      <c r="BH300" s="10"/>
      <c r="BI300" s="10"/>
      <c r="BJ300" s="10"/>
      <c r="BK300" s="10"/>
      <c r="BL300" s="10"/>
      <c r="BM300" s="10"/>
      <c r="BN300" s="10"/>
      <c r="BO300" s="10"/>
      <c r="BP300" s="10"/>
      <c r="BQ300" s="10"/>
      <c r="BR300" s="10"/>
      <c r="BS300" s="10"/>
      <c r="BT300" s="10"/>
      <c r="BU300" s="10"/>
    </row>
    <row r="301" spans="15:73" x14ac:dyDescent="0.2"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/>
      <c r="BC301" s="10"/>
      <c r="BD301" s="10"/>
      <c r="BE301" s="10"/>
      <c r="BF301" s="10"/>
      <c r="BG301" s="10"/>
      <c r="BH301" s="10"/>
      <c r="BI301" s="10"/>
      <c r="BJ301" s="10"/>
      <c r="BK301" s="10"/>
      <c r="BL301" s="10"/>
      <c r="BM301" s="10"/>
      <c r="BN301" s="10"/>
      <c r="BO301" s="10"/>
      <c r="BP301" s="10"/>
      <c r="BQ301" s="10"/>
      <c r="BR301" s="10"/>
      <c r="BS301" s="10"/>
      <c r="BT301" s="10"/>
      <c r="BU301" s="10"/>
    </row>
    <row r="302" spans="15:73" x14ac:dyDescent="0.2"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/>
      <c r="BC302" s="10"/>
      <c r="BD302" s="10"/>
      <c r="BE302" s="10"/>
      <c r="BF302" s="10"/>
      <c r="BG302" s="10"/>
      <c r="BH302" s="10"/>
      <c r="BI302" s="10"/>
      <c r="BJ302" s="10"/>
      <c r="BK302" s="10"/>
      <c r="BL302" s="10"/>
      <c r="BM302" s="10"/>
      <c r="BN302" s="10"/>
      <c r="BO302" s="10"/>
      <c r="BP302" s="10"/>
      <c r="BQ302" s="10"/>
      <c r="BR302" s="10"/>
      <c r="BS302" s="10"/>
      <c r="BT302" s="10"/>
      <c r="BU302" s="10"/>
    </row>
    <row r="303" spans="15:73" x14ac:dyDescent="0.2"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"/>
      <c r="BC303" s="10"/>
      <c r="BD303" s="10"/>
      <c r="BE303" s="10"/>
      <c r="BF303" s="10"/>
      <c r="BG303" s="10"/>
      <c r="BH303" s="10"/>
      <c r="BI303" s="10"/>
      <c r="BJ303" s="10"/>
      <c r="BK303" s="10"/>
      <c r="BL303" s="10"/>
      <c r="BM303" s="10"/>
      <c r="BN303" s="10"/>
      <c r="BO303" s="10"/>
      <c r="BP303" s="10"/>
      <c r="BQ303" s="10"/>
      <c r="BR303" s="10"/>
      <c r="BS303" s="10"/>
      <c r="BT303" s="10"/>
      <c r="BU303" s="10"/>
    </row>
    <row r="304" spans="15:73" x14ac:dyDescent="0.2"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  <c r="BB304" s="10"/>
      <c r="BC304" s="10"/>
      <c r="BD304" s="10"/>
      <c r="BE304" s="10"/>
      <c r="BF304" s="10"/>
      <c r="BG304" s="10"/>
      <c r="BH304" s="10"/>
      <c r="BI304" s="10"/>
      <c r="BJ304" s="10"/>
      <c r="BK304" s="10"/>
      <c r="BL304" s="10"/>
      <c r="BM304" s="10"/>
      <c r="BN304" s="10"/>
      <c r="BO304" s="10"/>
      <c r="BP304" s="10"/>
      <c r="BQ304" s="10"/>
      <c r="BR304" s="10"/>
      <c r="BS304" s="10"/>
      <c r="BT304" s="10"/>
      <c r="BU304" s="10"/>
    </row>
    <row r="305" spans="15:73" x14ac:dyDescent="0.2"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"/>
      <c r="BC305" s="10"/>
      <c r="BD305" s="10"/>
      <c r="BE305" s="10"/>
      <c r="BF305" s="10"/>
      <c r="BG305" s="10"/>
      <c r="BH305" s="10"/>
      <c r="BI305" s="10"/>
      <c r="BJ305" s="10"/>
      <c r="BK305" s="10"/>
      <c r="BL305" s="10"/>
      <c r="BM305" s="10"/>
      <c r="BN305" s="10"/>
      <c r="BO305" s="10"/>
      <c r="BP305" s="10"/>
      <c r="BQ305" s="10"/>
      <c r="BR305" s="10"/>
      <c r="BS305" s="10"/>
      <c r="BT305" s="10"/>
      <c r="BU305" s="10"/>
    </row>
    <row r="306" spans="15:73" x14ac:dyDescent="0.2"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"/>
      <c r="BC306" s="10"/>
      <c r="BD306" s="10"/>
      <c r="BE306" s="10"/>
      <c r="BF306" s="10"/>
      <c r="BG306" s="10"/>
      <c r="BH306" s="10"/>
      <c r="BI306" s="10"/>
      <c r="BJ306" s="10"/>
      <c r="BK306" s="10"/>
      <c r="BL306" s="10"/>
      <c r="BM306" s="10"/>
      <c r="BN306" s="10"/>
      <c r="BO306" s="10"/>
      <c r="BP306" s="10"/>
      <c r="BQ306" s="10"/>
      <c r="BR306" s="10"/>
      <c r="BS306" s="10"/>
      <c r="BT306" s="10"/>
      <c r="BU306" s="10"/>
    </row>
    <row r="307" spans="15:73" x14ac:dyDescent="0.2"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  <c r="BB307" s="10"/>
      <c r="BC307" s="10"/>
      <c r="BD307" s="10"/>
      <c r="BE307" s="10"/>
      <c r="BF307" s="10"/>
      <c r="BG307" s="10"/>
      <c r="BH307" s="10"/>
      <c r="BI307" s="10"/>
      <c r="BJ307" s="10"/>
      <c r="BK307" s="10"/>
      <c r="BL307" s="10"/>
      <c r="BM307" s="10"/>
      <c r="BN307" s="10"/>
      <c r="BO307" s="10"/>
      <c r="BP307" s="10"/>
      <c r="BQ307" s="10"/>
      <c r="BR307" s="10"/>
      <c r="BS307" s="10"/>
      <c r="BT307" s="10"/>
      <c r="BU307" s="10"/>
    </row>
    <row r="308" spans="15:73" x14ac:dyDescent="0.2"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  <c r="BB308" s="10"/>
      <c r="BC308" s="10"/>
      <c r="BD308" s="10"/>
      <c r="BE308" s="10"/>
      <c r="BF308" s="10"/>
      <c r="BG308" s="10"/>
      <c r="BH308" s="10"/>
      <c r="BI308" s="10"/>
      <c r="BJ308" s="10"/>
      <c r="BK308" s="10"/>
      <c r="BL308" s="10"/>
      <c r="BM308" s="10"/>
      <c r="BN308" s="10"/>
      <c r="BO308" s="10"/>
      <c r="BP308" s="10"/>
      <c r="BQ308" s="10"/>
      <c r="BR308" s="10"/>
      <c r="BS308" s="10"/>
      <c r="BT308" s="10"/>
      <c r="BU308" s="10"/>
    </row>
    <row r="309" spans="15:73" x14ac:dyDescent="0.2"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"/>
      <c r="BC309" s="10"/>
      <c r="BD309" s="10"/>
      <c r="BE309" s="10"/>
      <c r="BF309" s="10"/>
      <c r="BG309" s="10"/>
      <c r="BH309" s="10"/>
      <c r="BI309" s="10"/>
      <c r="BJ309" s="10"/>
      <c r="BK309" s="10"/>
      <c r="BL309" s="10"/>
      <c r="BM309" s="10"/>
      <c r="BN309" s="10"/>
      <c r="BO309" s="10"/>
      <c r="BP309" s="10"/>
      <c r="BQ309" s="10"/>
      <c r="BR309" s="10"/>
      <c r="BS309" s="10"/>
      <c r="BT309" s="10"/>
      <c r="BU309" s="10"/>
    </row>
    <row r="310" spans="15:73" x14ac:dyDescent="0.2"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  <c r="BB310" s="10"/>
      <c r="BC310" s="10"/>
      <c r="BD310" s="10"/>
      <c r="BE310" s="10"/>
      <c r="BF310" s="10"/>
      <c r="BG310" s="10"/>
      <c r="BH310" s="10"/>
      <c r="BI310" s="10"/>
      <c r="BJ310" s="10"/>
      <c r="BK310" s="10"/>
      <c r="BL310" s="10"/>
      <c r="BM310" s="10"/>
      <c r="BN310" s="10"/>
      <c r="BO310" s="10"/>
      <c r="BP310" s="10"/>
      <c r="BQ310" s="10"/>
      <c r="BR310" s="10"/>
      <c r="BS310" s="10"/>
      <c r="BT310" s="10"/>
      <c r="BU310" s="10"/>
    </row>
    <row r="311" spans="15:73" x14ac:dyDescent="0.2"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  <c r="BM311" s="10"/>
      <c r="BN311" s="10"/>
      <c r="BO311" s="10"/>
      <c r="BP311" s="10"/>
      <c r="BQ311" s="10"/>
      <c r="BR311" s="10"/>
      <c r="BS311" s="10"/>
      <c r="BT311" s="10"/>
      <c r="BU311" s="10"/>
    </row>
    <row r="312" spans="15:73" x14ac:dyDescent="0.2"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  <c r="BM312" s="10"/>
      <c r="BN312" s="10"/>
      <c r="BO312" s="10"/>
      <c r="BP312" s="10"/>
      <c r="BQ312" s="10"/>
      <c r="BR312" s="10"/>
      <c r="BS312" s="10"/>
      <c r="BT312" s="10"/>
      <c r="BU312" s="10"/>
    </row>
    <row r="313" spans="15:73" x14ac:dyDescent="0.2"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  <c r="BM313" s="10"/>
      <c r="BN313" s="10"/>
      <c r="BO313" s="10"/>
      <c r="BP313" s="10"/>
      <c r="BQ313" s="10"/>
      <c r="BR313" s="10"/>
      <c r="BS313" s="10"/>
      <c r="BT313" s="10"/>
      <c r="BU313" s="10"/>
    </row>
    <row r="314" spans="15:73" x14ac:dyDescent="0.2"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"/>
      <c r="BC314" s="10"/>
      <c r="BD314" s="10"/>
      <c r="BE314" s="10"/>
      <c r="BF314" s="10"/>
      <c r="BG314" s="10"/>
      <c r="BH314" s="10"/>
      <c r="BI314" s="10"/>
      <c r="BJ314" s="10"/>
      <c r="BK314" s="10"/>
      <c r="BL314" s="10"/>
      <c r="BM314" s="10"/>
      <c r="BN314" s="10"/>
      <c r="BO314" s="10"/>
      <c r="BP314" s="10"/>
      <c r="BQ314" s="10"/>
      <c r="BR314" s="10"/>
      <c r="BS314" s="10"/>
      <c r="BT314" s="10"/>
      <c r="BU314" s="10"/>
    </row>
    <row r="315" spans="15:73" x14ac:dyDescent="0.2"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"/>
      <c r="BC315" s="10"/>
      <c r="BD315" s="10"/>
      <c r="BE315" s="10"/>
      <c r="BF315" s="10"/>
      <c r="BG315" s="10"/>
      <c r="BH315" s="10"/>
      <c r="BI315" s="10"/>
      <c r="BJ315" s="10"/>
      <c r="BK315" s="10"/>
      <c r="BL315" s="10"/>
      <c r="BM315" s="10"/>
      <c r="BN315" s="10"/>
      <c r="BO315" s="10"/>
      <c r="BP315" s="10"/>
      <c r="BQ315" s="10"/>
      <c r="BR315" s="10"/>
      <c r="BS315" s="10"/>
      <c r="BT315" s="10"/>
      <c r="BU315" s="10"/>
    </row>
    <row r="316" spans="15:73" x14ac:dyDescent="0.2"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"/>
      <c r="BC316" s="10"/>
      <c r="BD316" s="10"/>
      <c r="BE316" s="10"/>
      <c r="BF316" s="10"/>
      <c r="BG316" s="10"/>
      <c r="BH316" s="10"/>
      <c r="BI316" s="10"/>
      <c r="BJ316" s="10"/>
      <c r="BK316" s="10"/>
      <c r="BL316" s="10"/>
      <c r="BM316" s="10"/>
      <c r="BN316" s="10"/>
      <c r="BO316" s="10"/>
      <c r="BP316" s="10"/>
      <c r="BQ316" s="10"/>
      <c r="BR316" s="10"/>
      <c r="BS316" s="10"/>
      <c r="BT316" s="10"/>
      <c r="BU316" s="10"/>
    </row>
    <row r="317" spans="15:73" x14ac:dyDescent="0.2"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"/>
      <c r="BC317" s="10"/>
      <c r="BD317" s="10"/>
      <c r="BE317" s="10"/>
      <c r="BF317" s="10"/>
      <c r="BG317" s="10"/>
      <c r="BH317" s="10"/>
      <c r="BI317" s="10"/>
      <c r="BJ317" s="10"/>
      <c r="BK317" s="10"/>
      <c r="BL317" s="10"/>
      <c r="BM317" s="10"/>
      <c r="BN317" s="10"/>
      <c r="BO317" s="10"/>
      <c r="BP317" s="10"/>
      <c r="BQ317" s="10"/>
      <c r="BR317" s="10"/>
      <c r="BS317" s="10"/>
      <c r="BT317" s="10"/>
      <c r="BU317" s="10"/>
    </row>
    <row r="318" spans="15:73" x14ac:dyDescent="0.2"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10"/>
      <c r="AX318" s="10"/>
      <c r="AY318" s="10"/>
      <c r="AZ318" s="10"/>
      <c r="BA318" s="10"/>
      <c r="BB318" s="10"/>
      <c r="BC318" s="10"/>
      <c r="BD318" s="10"/>
      <c r="BE318" s="10"/>
      <c r="BF318" s="10"/>
      <c r="BG318" s="10"/>
      <c r="BH318" s="10"/>
      <c r="BI318" s="10"/>
      <c r="BJ318" s="10"/>
      <c r="BK318" s="10"/>
      <c r="BL318" s="10"/>
      <c r="BM318" s="10"/>
      <c r="BN318" s="10"/>
      <c r="BO318" s="10"/>
      <c r="BP318" s="10"/>
      <c r="BQ318" s="10"/>
      <c r="BR318" s="10"/>
      <c r="BS318" s="10"/>
      <c r="BT318" s="10"/>
      <c r="BU318" s="10"/>
    </row>
    <row r="319" spans="15:73" x14ac:dyDescent="0.2"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"/>
      <c r="BC319" s="10"/>
      <c r="BD319" s="10"/>
      <c r="BE319" s="10"/>
      <c r="BF319" s="10"/>
      <c r="BG319" s="10"/>
      <c r="BH319" s="10"/>
      <c r="BI319" s="10"/>
      <c r="BJ319" s="10"/>
      <c r="BK319" s="10"/>
      <c r="BL319" s="10"/>
      <c r="BM319" s="10"/>
      <c r="BN319" s="10"/>
      <c r="BO319" s="10"/>
      <c r="BP319" s="10"/>
      <c r="BQ319" s="10"/>
      <c r="BR319" s="10"/>
      <c r="BS319" s="10"/>
      <c r="BT319" s="10"/>
      <c r="BU319" s="10"/>
    </row>
    <row r="320" spans="15:73" x14ac:dyDescent="0.2"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"/>
      <c r="BC320" s="10"/>
      <c r="BD320" s="10"/>
      <c r="BE320" s="10"/>
      <c r="BF320" s="10"/>
      <c r="BG320" s="10"/>
      <c r="BH320" s="10"/>
      <c r="BI320" s="10"/>
      <c r="BJ320" s="10"/>
      <c r="BK320" s="10"/>
      <c r="BL320" s="10"/>
      <c r="BM320" s="10"/>
      <c r="BN320" s="10"/>
      <c r="BO320" s="10"/>
      <c r="BP320" s="10"/>
      <c r="BQ320" s="10"/>
      <c r="BR320" s="10"/>
      <c r="BS320" s="10"/>
      <c r="BT320" s="10"/>
      <c r="BU320" s="10"/>
    </row>
    <row r="321" spans="15:73" x14ac:dyDescent="0.2"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10"/>
      <c r="AX321" s="10"/>
      <c r="AY321" s="10"/>
      <c r="AZ321" s="10"/>
      <c r="BA321" s="10"/>
      <c r="BB321" s="10"/>
      <c r="BC321" s="10"/>
      <c r="BD321" s="10"/>
      <c r="BE321" s="10"/>
      <c r="BF321" s="10"/>
      <c r="BG321" s="10"/>
      <c r="BH321" s="10"/>
      <c r="BI321" s="10"/>
      <c r="BJ321" s="10"/>
      <c r="BK321" s="10"/>
      <c r="BL321" s="10"/>
      <c r="BM321" s="10"/>
      <c r="BN321" s="10"/>
      <c r="BO321" s="10"/>
      <c r="BP321" s="10"/>
      <c r="BQ321" s="10"/>
      <c r="BR321" s="10"/>
      <c r="BS321" s="10"/>
      <c r="BT321" s="10"/>
      <c r="BU321" s="10"/>
    </row>
    <row r="322" spans="15:73" x14ac:dyDescent="0.2"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"/>
      <c r="BC322" s="10"/>
      <c r="BD322" s="10"/>
      <c r="BE322" s="10"/>
      <c r="BF322" s="10"/>
      <c r="BG322" s="10"/>
      <c r="BH322" s="10"/>
      <c r="BI322" s="10"/>
      <c r="BJ322" s="10"/>
      <c r="BK322" s="10"/>
      <c r="BL322" s="10"/>
      <c r="BM322" s="10"/>
      <c r="BN322" s="10"/>
      <c r="BO322" s="10"/>
      <c r="BP322" s="10"/>
      <c r="BQ322" s="10"/>
      <c r="BR322" s="10"/>
      <c r="BS322" s="10"/>
      <c r="BT322" s="10"/>
      <c r="BU322" s="10"/>
    </row>
    <row r="323" spans="15:73" x14ac:dyDescent="0.2"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"/>
      <c r="BC323" s="10"/>
      <c r="BD323" s="10"/>
      <c r="BE323" s="10"/>
      <c r="BF323" s="10"/>
      <c r="BG323" s="10"/>
      <c r="BH323" s="10"/>
      <c r="BI323" s="10"/>
      <c r="BJ323" s="10"/>
      <c r="BK323" s="10"/>
      <c r="BL323" s="10"/>
      <c r="BM323" s="10"/>
      <c r="BN323" s="10"/>
      <c r="BO323" s="10"/>
      <c r="BP323" s="10"/>
      <c r="BQ323" s="10"/>
      <c r="BR323" s="10"/>
      <c r="BS323" s="10"/>
      <c r="BT323" s="10"/>
      <c r="BU323" s="10"/>
    </row>
    <row r="324" spans="15:73" x14ac:dyDescent="0.2"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10"/>
      <c r="AX324" s="10"/>
      <c r="AY324" s="10"/>
      <c r="AZ324" s="10"/>
      <c r="BA324" s="10"/>
      <c r="BB324" s="10"/>
      <c r="BC324" s="10"/>
      <c r="BD324" s="10"/>
      <c r="BE324" s="10"/>
      <c r="BF324" s="10"/>
      <c r="BG324" s="10"/>
      <c r="BH324" s="10"/>
      <c r="BI324" s="10"/>
      <c r="BJ324" s="10"/>
      <c r="BK324" s="10"/>
      <c r="BL324" s="10"/>
      <c r="BM324" s="10"/>
      <c r="BN324" s="10"/>
      <c r="BO324" s="10"/>
      <c r="BP324" s="10"/>
      <c r="BQ324" s="10"/>
      <c r="BR324" s="10"/>
      <c r="BS324" s="10"/>
      <c r="BT324" s="10"/>
      <c r="BU324" s="10"/>
    </row>
    <row r="325" spans="15:73" x14ac:dyDescent="0.2"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"/>
      <c r="BC325" s="10"/>
      <c r="BD325" s="10"/>
      <c r="BE325" s="10"/>
      <c r="BF325" s="10"/>
      <c r="BG325" s="10"/>
      <c r="BH325" s="10"/>
      <c r="BI325" s="10"/>
      <c r="BJ325" s="10"/>
      <c r="BK325" s="10"/>
      <c r="BL325" s="10"/>
      <c r="BM325" s="10"/>
      <c r="BN325" s="10"/>
      <c r="BO325" s="10"/>
      <c r="BP325" s="10"/>
      <c r="BQ325" s="10"/>
      <c r="BR325" s="10"/>
      <c r="BS325" s="10"/>
      <c r="BT325" s="10"/>
      <c r="BU325" s="10"/>
    </row>
    <row r="326" spans="15:73" x14ac:dyDescent="0.2"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"/>
      <c r="BC326" s="10"/>
      <c r="BD326" s="10"/>
      <c r="BE326" s="10"/>
      <c r="BF326" s="10"/>
      <c r="BG326" s="10"/>
      <c r="BH326" s="10"/>
      <c r="BI326" s="10"/>
      <c r="BJ326" s="10"/>
      <c r="BK326" s="10"/>
      <c r="BL326" s="10"/>
      <c r="BM326" s="10"/>
      <c r="BN326" s="10"/>
      <c r="BO326" s="10"/>
      <c r="BP326" s="10"/>
      <c r="BQ326" s="10"/>
      <c r="BR326" s="10"/>
      <c r="BS326" s="10"/>
      <c r="BT326" s="10"/>
      <c r="BU326" s="10"/>
    </row>
    <row r="327" spans="15:73" x14ac:dyDescent="0.2"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"/>
      <c r="BC327" s="10"/>
      <c r="BD327" s="10"/>
      <c r="BE327" s="10"/>
      <c r="BF327" s="10"/>
      <c r="BG327" s="10"/>
      <c r="BH327" s="10"/>
      <c r="BI327" s="10"/>
      <c r="BJ327" s="10"/>
      <c r="BK327" s="10"/>
      <c r="BL327" s="10"/>
      <c r="BM327" s="10"/>
      <c r="BN327" s="10"/>
      <c r="BO327" s="10"/>
      <c r="BP327" s="10"/>
      <c r="BQ327" s="10"/>
      <c r="BR327" s="10"/>
      <c r="BS327" s="10"/>
      <c r="BT327" s="10"/>
      <c r="BU327" s="10"/>
    </row>
    <row r="328" spans="15:73" x14ac:dyDescent="0.2"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"/>
      <c r="BC328" s="10"/>
      <c r="BD328" s="10"/>
      <c r="BE328" s="10"/>
      <c r="BF328" s="10"/>
      <c r="BG328" s="10"/>
      <c r="BH328" s="10"/>
      <c r="BI328" s="10"/>
      <c r="BJ328" s="10"/>
      <c r="BK328" s="10"/>
      <c r="BL328" s="10"/>
      <c r="BM328" s="10"/>
      <c r="BN328" s="10"/>
      <c r="BO328" s="10"/>
      <c r="BP328" s="10"/>
      <c r="BQ328" s="10"/>
      <c r="BR328" s="10"/>
      <c r="BS328" s="10"/>
      <c r="BT328" s="10"/>
      <c r="BU328" s="10"/>
    </row>
    <row r="329" spans="15:73" x14ac:dyDescent="0.2"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"/>
      <c r="BC329" s="10"/>
      <c r="BD329" s="10"/>
      <c r="BE329" s="10"/>
      <c r="BF329" s="10"/>
      <c r="BG329" s="10"/>
      <c r="BH329" s="10"/>
      <c r="BI329" s="10"/>
      <c r="BJ329" s="10"/>
      <c r="BK329" s="10"/>
      <c r="BL329" s="10"/>
      <c r="BM329" s="10"/>
      <c r="BN329" s="10"/>
      <c r="BO329" s="10"/>
      <c r="BP329" s="10"/>
      <c r="BQ329" s="10"/>
      <c r="BR329" s="10"/>
      <c r="BS329" s="10"/>
      <c r="BT329" s="10"/>
      <c r="BU329" s="10"/>
    </row>
    <row r="330" spans="15:73" x14ac:dyDescent="0.2"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"/>
      <c r="BC330" s="10"/>
      <c r="BD330" s="10"/>
      <c r="BE330" s="10"/>
      <c r="BF330" s="10"/>
      <c r="BG330" s="10"/>
      <c r="BH330" s="10"/>
      <c r="BI330" s="10"/>
      <c r="BJ330" s="10"/>
      <c r="BK330" s="10"/>
      <c r="BL330" s="10"/>
      <c r="BM330" s="10"/>
      <c r="BN330" s="10"/>
      <c r="BO330" s="10"/>
      <c r="BP330" s="10"/>
      <c r="BQ330" s="10"/>
      <c r="BR330" s="10"/>
      <c r="BS330" s="10"/>
      <c r="BT330" s="10"/>
      <c r="BU330" s="10"/>
    </row>
    <row r="331" spans="15:73" x14ac:dyDescent="0.2"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"/>
      <c r="BC331" s="10"/>
      <c r="BD331" s="10"/>
      <c r="BE331" s="10"/>
      <c r="BF331" s="10"/>
      <c r="BG331" s="10"/>
      <c r="BH331" s="10"/>
      <c r="BI331" s="10"/>
      <c r="BJ331" s="10"/>
      <c r="BK331" s="10"/>
      <c r="BL331" s="10"/>
      <c r="BM331" s="10"/>
      <c r="BN331" s="10"/>
      <c r="BO331" s="10"/>
      <c r="BP331" s="10"/>
      <c r="BQ331" s="10"/>
      <c r="BR331" s="10"/>
      <c r="BS331" s="10"/>
      <c r="BT331" s="10"/>
      <c r="BU331" s="10"/>
    </row>
    <row r="332" spans="15:73" x14ac:dyDescent="0.2"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"/>
      <c r="BC332" s="10"/>
      <c r="BD332" s="10"/>
      <c r="BE332" s="10"/>
      <c r="BF332" s="10"/>
      <c r="BG332" s="10"/>
      <c r="BH332" s="10"/>
      <c r="BI332" s="10"/>
      <c r="BJ332" s="10"/>
      <c r="BK332" s="10"/>
      <c r="BL332" s="10"/>
      <c r="BM332" s="10"/>
      <c r="BN332" s="10"/>
      <c r="BO332" s="10"/>
      <c r="BP332" s="10"/>
      <c r="BQ332" s="10"/>
      <c r="BR332" s="10"/>
      <c r="BS332" s="10"/>
      <c r="BT332" s="10"/>
      <c r="BU332" s="10"/>
    </row>
    <row r="333" spans="15:73" x14ac:dyDescent="0.2"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"/>
      <c r="BC333" s="10"/>
      <c r="BD333" s="10"/>
      <c r="BE333" s="10"/>
      <c r="BF333" s="10"/>
      <c r="BG333" s="10"/>
      <c r="BH333" s="10"/>
      <c r="BI333" s="10"/>
      <c r="BJ333" s="10"/>
      <c r="BK333" s="10"/>
      <c r="BL333" s="10"/>
      <c r="BM333" s="10"/>
      <c r="BN333" s="10"/>
      <c r="BO333" s="10"/>
      <c r="BP333" s="10"/>
      <c r="BQ333" s="10"/>
      <c r="BR333" s="10"/>
      <c r="BS333" s="10"/>
      <c r="BT333" s="10"/>
      <c r="BU333" s="10"/>
    </row>
    <row r="334" spans="15:73" x14ac:dyDescent="0.2"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10"/>
      <c r="AX334" s="10"/>
      <c r="AY334" s="10"/>
      <c r="AZ334" s="10"/>
      <c r="BA334" s="10"/>
      <c r="BB334" s="10"/>
      <c r="BC334" s="10"/>
      <c r="BD334" s="10"/>
      <c r="BE334" s="10"/>
      <c r="BF334" s="10"/>
      <c r="BG334" s="10"/>
      <c r="BH334" s="10"/>
      <c r="BI334" s="10"/>
      <c r="BJ334" s="10"/>
      <c r="BK334" s="10"/>
      <c r="BL334" s="10"/>
      <c r="BM334" s="10"/>
      <c r="BN334" s="10"/>
      <c r="BO334" s="10"/>
      <c r="BP334" s="10"/>
      <c r="BQ334" s="10"/>
      <c r="BR334" s="10"/>
      <c r="BS334" s="10"/>
      <c r="BT334" s="10"/>
      <c r="BU334" s="10"/>
    </row>
    <row r="335" spans="15:73" x14ac:dyDescent="0.2"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"/>
      <c r="BC335" s="10"/>
      <c r="BD335" s="10"/>
      <c r="BE335" s="10"/>
      <c r="BF335" s="10"/>
      <c r="BG335" s="10"/>
      <c r="BH335" s="10"/>
      <c r="BI335" s="10"/>
      <c r="BJ335" s="10"/>
      <c r="BK335" s="10"/>
      <c r="BL335" s="10"/>
      <c r="BM335" s="10"/>
      <c r="BN335" s="10"/>
      <c r="BO335" s="10"/>
      <c r="BP335" s="10"/>
      <c r="BQ335" s="10"/>
      <c r="BR335" s="10"/>
      <c r="BS335" s="10"/>
      <c r="BT335" s="10"/>
      <c r="BU335" s="10"/>
    </row>
    <row r="336" spans="15:73" x14ac:dyDescent="0.2"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"/>
      <c r="BC336" s="10"/>
      <c r="BD336" s="10"/>
      <c r="BE336" s="10"/>
      <c r="BF336" s="10"/>
      <c r="BG336" s="10"/>
      <c r="BH336" s="10"/>
      <c r="BI336" s="10"/>
      <c r="BJ336" s="10"/>
      <c r="BK336" s="10"/>
      <c r="BL336" s="10"/>
      <c r="BM336" s="10"/>
      <c r="BN336" s="10"/>
      <c r="BO336" s="10"/>
      <c r="BP336" s="10"/>
      <c r="BQ336" s="10"/>
      <c r="BR336" s="10"/>
      <c r="BS336" s="10"/>
      <c r="BT336" s="10"/>
      <c r="BU336" s="10"/>
    </row>
    <row r="337" spans="15:73" x14ac:dyDescent="0.2"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"/>
      <c r="BC337" s="10"/>
      <c r="BD337" s="10"/>
      <c r="BE337" s="10"/>
      <c r="BF337" s="10"/>
      <c r="BG337" s="10"/>
      <c r="BH337" s="10"/>
      <c r="BI337" s="10"/>
      <c r="BJ337" s="10"/>
      <c r="BK337" s="10"/>
      <c r="BL337" s="10"/>
      <c r="BM337" s="10"/>
      <c r="BN337" s="10"/>
      <c r="BO337" s="10"/>
      <c r="BP337" s="10"/>
      <c r="BQ337" s="10"/>
      <c r="BR337" s="10"/>
      <c r="BS337" s="10"/>
      <c r="BT337" s="10"/>
      <c r="BU337" s="10"/>
    </row>
    <row r="338" spans="15:73" x14ac:dyDescent="0.2"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"/>
      <c r="BC338" s="10"/>
      <c r="BD338" s="10"/>
      <c r="BE338" s="10"/>
      <c r="BF338" s="10"/>
      <c r="BG338" s="10"/>
      <c r="BH338" s="10"/>
      <c r="BI338" s="10"/>
      <c r="BJ338" s="10"/>
      <c r="BK338" s="10"/>
      <c r="BL338" s="10"/>
      <c r="BM338" s="10"/>
      <c r="BN338" s="10"/>
      <c r="BO338" s="10"/>
      <c r="BP338" s="10"/>
      <c r="BQ338" s="10"/>
      <c r="BR338" s="10"/>
      <c r="BS338" s="10"/>
      <c r="BT338" s="10"/>
      <c r="BU338" s="10"/>
    </row>
    <row r="339" spans="15:73" x14ac:dyDescent="0.2"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"/>
      <c r="BC339" s="10"/>
      <c r="BD339" s="10"/>
      <c r="BE339" s="10"/>
      <c r="BF339" s="10"/>
      <c r="BG339" s="10"/>
      <c r="BH339" s="10"/>
      <c r="BI339" s="10"/>
      <c r="BJ339" s="10"/>
      <c r="BK339" s="10"/>
      <c r="BL339" s="10"/>
      <c r="BM339" s="10"/>
      <c r="BN339" s="10"/>
      <c r="BO339" s="10"/>
      <c r="BP339" s="10"/>
      <c r="BQ339" s="10"/>
      <c r="BR339" s="10"/>
      <c r="BS339" s="10"/>
      <c r="BT339" s="10"/>
      <c r="BU339" s="10"/>
    </row>
    <row r="340" spans="15:73" x14ac:dyDescent="0.2"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"/>
      <c r="BC340" s="10"/>
      <c r="BD340" s="10"/>
      <c r="BE340" s="10"/>
      <c r="BF340" s="10"/>
      <c r="BG340" s="10"/>
      <c r="BH340" s="10"/>
      <c r="BI340" s="10"/>
      <c r="BJ340" s="10"/>
      <c r="BK340" s="10"/>
      <c r="BL340" s="10"/>
      <c r="BM340" s="10"/>
      <c r="BN340" s="10"/>
      <c r="BO340" s="10"/>
      <c r="BP340" s="10"/>
      <c r="BQ340" s="10"/>
      <c r="BR340" s="10"/>
      <c r="BS340" s="10"/>
      <c r="BT340" s="10"/>
      <c r="BU340" s="10"/>
    </row>
    <row r="341" spans="15:73" x14ac:dyDescent="0.2"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"/>
      <c r="BC341" s="10"/>
      <c r="BD341" s="10"/>
      <c r="BE341" s="10"/>
      <c r="BF341" s="10"/>
      <c r="BG341" s="10"/>
      <c r="BH341" s="10"/>
      <c r="BI341" s="10"/>
      <c r="BJ341" s="10"/>
      <c r="BK341" s="10"/>
      <c r="BL341" s="10"/>
      <c r="BM341" s="10"/>
      <c r="BN341" s="10"/>
      <c r="BO341" s="10"/>
      <c r="BP341" s="10"/>
      <c r="BQ341" s="10"/>
      <c r="BR341" s="10"/>
      <c r="BS341" s="10"/>
      <c r="BT341" s="10"/>
      <c r="BU341" s="10"/>
    </row>
    <row r="342" spans="15:73" x14ac:dyDescent="0.2"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"/>
      <c r="BC342" s="10"/>
      <c r="BD342" s="10"/>
      <c r="BE342" s="10"/>
      <c r="BF342" s="10"/>
      <c r="BG342" s="10"/>
      <c r="BH342" s="10"/>
      <c r="BI342" s="10"/>
      <c r="BJ342" s="10"/>
      <c r="BK342" s="10"/>
      <c r="BL342" s="10"/>
      <c r="BM342" s="10"/>
      <c r="BN342" s="10"/>
      <c r="BO342" s="10"/>
      <c r="BP342" s="10"/>
      <c r="BQ342" s="10"/>
      <c r="BR342" s="10"/>
      <c r="BS342" s="10"/>
      <c r="BT342" s="10"/>
      <c r="BU342" s="10"/>
    </row>
    <row r="343" spans="15:73" x14ac:dyDescent="0.2"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"/>
      <c r="BC343" s="10"/>
      <c r="BD343" s="10"/>
      <c r="BE343" s="10"/>
      <c r="BF343" s="10"/>
      <c r="BG343" s="10"/>
      <c r="BH343" s="10"/>
      <c r="BI343" s="10"/>
      <c r="BJ343" s="10"/>
      <c r="BK343" s="10"/>
      <c r="BL343" s="10"/>
      <c r="BM343" s="10"/>
      <c r="BN343" s="10"/>
      <c r="BO343" s="10"/>
      <c r="BP343" s="10"/>
      <c r="BQ343" s="10"/>
      <c r="BR343" s="10"/>
      <c r="BS343" s="10"/>
      <c r="BT343" s="10"/>
      <c r="BU343" s="10"/>
    </row>
    <row r="344" spans="15:73" x14ac:dyDescent="0.2"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"/>
      <c r="BC344" s="10"/>
      <c r="BD344" s="10"/>
      <c r="BE344" s="10"/>
      <c r="BF344" s="10"/>
      <c r="BG344" s="10"/>
      <c r="BH344" s="10"/>
      <c r="BI344" s="10"/>
      <c r="BJ344" s="10"/>
      <c r="BK344" s="10"/>
      <c r="BL344" s="10"/>
      <c r="BM344" s="10"/>
      <c r="BN344" s="10"/>
      <c r="BO344" s="10"/>
      <c r="BP344" s="10"/>
      <c r="BQ344" s="10"/>
      <c r="BR344" s="10"/>
      <c r="BS344" s="10"/>
      <c r="BT344" s="10"/>
      <c r="BU344" s="10"/>
    </row>
    <row r="345" spans="15:73" x14ac:dyDescent="0.2"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"/>
      <c r="BC345" s="10"/>
      <c r="BD345" s="10"/>
      <c r="BE345" s="10"/>
      <c r="BF345" s="10"/>
      <c r="BG345" s="10"/>
      <c r="BH345" s="10"/>
      <c r="BI345" s="10"/>
      <c r="BJ345" s="10"/>
      <c r="BK345" s="10"/>
      <c r="BL345" s="10"/>
      <c r="BM345" s="10"/>
      <c r="BN345" s="10"/>
      <c r="BO345" s="10"/>
      <c r="BP345" s="10"/>
      <c r="BQ345" s="10"/>
      <c r="BR345" s="10"/>
      <c r="BS345" s="10"/>
      <c r="BT345" s="10"/>
      <c r="BU345" s="10"/>
    </row>
    <row r="346" spans="15:73" x14ac:dyDescent="0.2"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"/>
      <c r="BC346" s="10"/>
      <c r="BD346" s="10"/>
      <c r="BE346" s="10"/>
      <c r="BF346" s="10"/>
      <c r="BG346" s="10"/>
      <c r="BH346" s="10"/>
      <c r="BI346" s="10"/>
      <c r="BJ346" s="10"/>
      <c r="BK346" s="10"/>
      <c r="BL346" s="10"/>
      <c r="BM346" s="10"/>
      <c r="BN346" s="10"/>
      <c r="BO346" s="10"/>
      <c r="BP346" s="10"/>
      <c r="BQ346" s="10"/>
      <c r="BR346" s="10"/>
      <c r="BS346" s="10"/>
      <c r="BT346" s="10"/>
      <c r="BU346" s="10"/>
    </row>
    <row r="347" spans="15:73" x14ac:dyDescent="0.2"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0"/>
      <c r="BB347" s="10"/>
      <c r="BC347" s="10"/>
      <c r="BD347" s="10"/>
      <c r="BE347" s="10"/>
      <c r="BF347" s="10"/>
      <c r="BG347" s="10"/>
      <c r="BH347" s="10"/>
      <c r="BI347" s="10"/>
      <c r="BJ347" s="10"/>
      <c r="BK347" s="10"/>
      <c r="BL347" s="10"/>
      <c r="BM347" s="10"/>
      <c r="BN347" s="10"/>
      <c r="BO347" s="10"/>
      <c r="BP347" s="10"/>
      <c r="BQ347" s="10"/>
      <c r="BR347" s="10"/>
      <c r="BS347" s="10"/>
      <c r="BT347" s="10"/>
      <c r="BU347" s="10"/>
    </row>
    <row r="348" spans="15:73" x14ac:dyDescent="0.2"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0"/>
      <c r="BB348" s="10"/>
      <c r="BC348" s="10"/>
      <c r="BD348" s="10"/>
      <c r="BE348" s="10"/>
      <c r="BF348" s="10"/>
      <c r="BG348" s="10"/>
      <c r="BH348" s="10"/>
      <c r="BI348" s="10"/>
      <c r="BJ348" s="10"/>
      <c r="BK348" s="10"/>
      <c r="BL348" s="10"/>
      <c r="BM348" s="10"/>
      <c r="BN348" s="10"/>
      <c r="BO348" s="10"/>
      <c r="BP348" s="10"/>
      <c r="BQ348" s="10"/>
      <c r="BR348" s="10"/>
      <c r="BS348" s="10"/>
      <c r="BT348" s="10"/>
      <c r="BU348" s="10"/>
    </row>
    <row r="349" spans="15:73" x14ac:dyDescent="0.2"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"/>
      <c r="BC349" s="10"/>
      <c r="BD349" s="10"/>
      <c r="BE349" s="10"/>
      <c r="BF349" s="10"/>
      <c r="BG349" s="10"/>
      <c r="BH349" s="10"/>
      <c r="BI349" s="10"/>
      <c r="BJ349" s="10"/>
      <c r="BK349" s="10"/>
      <c r="BL349" s="10"/>
      <c r="BM349" s="10"/>
      <c r="BN349" s="10"/>
      <c r="BO349" s="10"/>
      <c r="BP349" s="10"/>
      <c r="BQ349" s="10"/>
      <c r="BR349" s="10"/>
      <c r="BS349" s="10"/>
      <c r="BT349" s="10"/>
      <c r="BU349" s="10"/>
    </row>
    <row r="350" spans="15:73" x14ac:dyDescent="0.2"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"/>
      <c r="BC350" s="10"/>
      <c r="BD350" s="10"/>
      <c r="BE350" s="10"/>
      <c r="BF350" s="10"/>
      <c r="BG350" s="10"/>
      <c r="BH350" s="10"/>
      <c r="BI350" s="10"/>
      <c r="BJ350" s="10"/>
      <c r="BK350" s="10"/>
      <c r="BL350" s="10"/>
      <c r="BM350" s="10"/>
      <c r="BN350" s="10"/>
      <c r="BO350" s="10"/>
      <c r="BP350" s="10"/>
      <c r="BQ350" s="10"/>
      <c r="BR350" s="10"/>
      <c r="BS350" s="10"/>
      <c r="BT350" s="10"/>
      <c r="BU350" s="10"/>
    </row>
    <row r="351" spans="15:73" x14ac:dyDescent="0.2"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"/>
      <c r="BC351" s="10"/>
      <c r="BD351" s="10"/>
      <c r="BE351" s="10"/>
      <c r="BF351" s="10"/>
      <c r="BG351" s="10"/>
      <c r="BH351" s="10"/>
      <c r="BI351" s="10"/>
      <c r="BJ351" s="10"/>
      <c r="BK351" s="10"/>
      <c r="BL351" s="10"/>
      <c r="BM351" s="10"/>
      <c r="BN351" s="10"/>
      <c r="BO351" s="10"/>
      <c r="BP351" s="10"/>
      <c r="BQ351" s="10"/>
      <c r="BR351" s="10"/>
      <c r="BS351" s="10"/>
      <c r="BT351" s="10"/>
      <c r="BU351" s="10"/>
    </row>
    <row r="352" spans="15:73" x14ac:dyDescent="0.2"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0"/>
      <c r="BB352" s="10"/>
      <c r="BC352" s="10"/>
      <c r="BD352" s="10"/>
      <c r="BE352" s="10"/>
      <c r="BF352" s="10"/>
      <c r="BG352" s="10"/>
      <c r="BH352" s="10"/>
      <c r="BI352" s="10"/>
      <c r="BJ352" s="10"/>
      <c r="BK352" s="10"/>
      <c r="BL352" s="10"/>
      <c r="BM352" s="10"/>
      <c r="BN352" s="10"/>
      <c r="BO352" s="10"/>
      <c r="BP352" s="10"/>
      <c r="BQ352" s="10"/>
      <c r="BR352" s="10"/>
      <c r="BS352" s="10"/>
      <c r="BT352" s="10"/>
      <c r="BU352" s="10"/>
    </row>
    <row r="353" spans="15:73" x14ac:dyDescent="0.2"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"/>
      <c r="BC353" s="10"/>
      <c r="BD353" s="10"/>
      <c r="BE353" s="10"/>
      <c r="BF353" s="10"/>
      <c r="BG353" s="10"/>
      <c r="BH353" s="10"/>
      <c r="BI353" s="10"/>
      <c r="BJ353" s="10"/>
      <c r="BK353" s="10"/>
      <c r="BL353" s="10"/>
      <c r="BM353" s="10"/>
      <c r="BN353" s="10"/>
      <c r="BO353" s="10"/>
      <c r="BP353" s="10"/>
      <c r="BQ353" s="10"/>
      <c r="BR353" s="10"/>
      <c r="BS353" s="10"/>
      <c r="BT353" s="10"/>
      <c r="BU353" s="10"/>
    </row>
    <row r="354" spans="15:73" x14ac:dyDescent="0.2"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"/>
      <c r="BC354" s="10"/>
      <c r="BD354" s="10"/>
      <c r="BE354" s="10"/>
      <c r="BF354" s="10"/>
      <c r="BG354" s="10"/>
      <c r="BH354" s="10"/>
      <c r="BI354" s="10"/>
      <c r="BJ354" s="10"/>
      <c r="BK354" s="10"/>
      <c r="BL354" s="10"/>
      <c r="BM354" s="10"/>
      <c r="BN354" s="10"/>
      <c r="BO354" s="10"/>
      <c r="BP354" s="10"/>
      <c r="BQ354" s="10"/>
      <c r="BR354" s="10"/>
      <c r="BS354" s="10"/>
      <c r="BT354" s="10"/>
      <c r="BU354" s="10"/>
    </row>
    <row r="355" spans="15:73" x14ac:dyDescent="0.2"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"/>
      <c r="BC355" s="10"/>
      <c r="BD355" s="10"/>
      <c r="BE355" s="10"/>
      <c r="BF355" s="10"/>
      <c r="BG355" s="10"/>
      <c r="BH355" s="10"/>
      <c r="BI355" s="10"/>
      <c r="BJ355" s="10"/>
      <c r="BK355" s="10"/>
      <c r="BL355" s="10"/>
      <c r="BM355" s="10"/>
      <c r="BN355" s="10"/>
      <c r="BO355" s="10"/>
      <c r="BP355" s="10"/>
      <c r="BQ355" s="10"/>
      <c r="BR355" s="10"/>
      <c r="BS355" s="10"/>
      <c r="BT355" s="10"/>
      <c r="BU355" s="10"/>
    </row>
    <row r="356" spans="15:73" x14ac:dyDescent="0.2"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"/>
      <c r="BC356" s="10"/>
      <c r="BD356" s="10"/>
      <c r="BE356" s="10"/>
      <c r="BF356" s="10"/>
      <c r="BG356" s="10"/>
      <c r="BH356" s="10"/>
      <c r="BI356" s="10"/>
      <c r="BJ356" s="10"/>
      <c r="BK356" s="10"/>
      <c r="BL356" s="10"/>
      <c r="BM356" s="10"/>
      <c r="BN356" s="10"/>
      <c r="BO356" s="10"/>
      <c r="BP356" s="10"/>
      <c r="BQ356" s="10"/>
      <c r="BR356" s="10"/>
      <c r="BS356" s="10"/>
      <c r="BT356" s="10"/>
      <c r="BU356" s="10"/>
    </row>
    <row r="357" spans="15:73" x14ac:dyDescent="0.2"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"/>
      <c r="BC357" s="10"/>
      <c r="BD357" s="10"/>
      <c r="BE357" s="10"/>
      <c r="BF357" s="10"/>
      <c r="BG357" s="10"/>
      <c r="BH357" s="10"/>
      <c r="BI357" s="10"/>
      <c r="BJ357" s="10"/>
      <c r="BK357" s="10"/>
      <c r="BL357" s="10"/>
      <c r="BM357" s="10"/>
      <c r="BN357" s="10"/>
      <c r="BO357" s="10"/>
      <c r="BP357" s="10"/>
      <c r="BQ357" s="10"/>
      <c r="BR357" s="10"/>
      <c r="BS357" s="10"/>
      <c r="BT357" s="10"/>
      <c r="BU357" s="10"/>
    </row>
    <row r="358" spans="15:73" x14ac:dyDescent="0.2"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"/>
      <c r="BC358" s="10"/>
      <c r="BD358" s="10"/>
      <c r="BE358" s="10"/>
      <c r="BF358" s="10"/>
      <c r="BG358" s="10"/>
      <c r="BH358" s="10"/>
      <c r="BI358" s="10"/>
      <c r="BJ358" s="10"/>
      <c r="BK358" s="10"/>
      <c r="BL358" s="10"/>
      <c r="BM358" s="10"/>
      <c r="BN358" s="10"/>
      <c r="BO358" s="10"/>
      <c r="BP358" s="10"/>
      <c r="BQ358" s="10"/>
      <c r="BR358" s="10"/>
      <c r="BS358" s="10"/>
      <c r="BT358" s="10"/>
      <c r="BU358" s="10"/>
    </row>
    <row r="359" spans="15:73" x14ac:dyDescent="0.2"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0"/>
      <c r="BB359" s="10"/>
      <c r="BC359" s="10"/>
      <c r="BD359" s="10"/>
      <c r="BE359" s="10"/>
      <c r="BF359" s="10"/>
      <c r="BG359" s="10"/>
      <c r="BH359" s="10"/>
      <c r="BI359" s="10"/>
      <c r="BJ359" s="10"/>
      <c r="BK359" s="10"/>
      <c r="BL359" s="10"/>
      <c r="BM359" s="10"/>
      <c r="BN359" s="10"/>
      <c r="BO359" s="10"/>
      <c r="BP359" s="10"/>
      <c r="BQ359" s="10"/>
      <c r="BR359" s="10"/>
      <c r="BS359" s="10"/>
      <c r="BT359" s="10"/>
      <c r="BU359" s="10"/>
    </row>
    <row r="360" spans="15:73" x14ac:dyDescent="0.2"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"/>
      <c r="BC360" s="10"/>
      <c r="BD360" s="10"/>
      <c r="BE360" s="10"/>
      <c r="BF360" s="10"/>
      <c r="BG360" s="10"/>
      <c r="BH360" s="10"/>
      <c r="BI360" s="10"/>
      <c r="BJ360" s="10"/>
      <c r="BK360" s="10"/>
      <c r="BL360" s="10"/>
      <c r="BM360" s="10"/>
      <c r="BN360" s="10"/>
      <c r="BO360" s="10"/>
      <c r="BP360" s="10"/>
      <c r="BQ360" s="10"/>
      <c r="BR360" s="10"/>
      <c r="BS360" s="10"/>
      <c r="BT360" s="10"/>
      <c r="BU360" s="10"/>
    </row>
    <row r="361" spans="15:73" x14ac:dyDescent="0.2"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"/>
      <c r="BC361" s="10"/>
      <c r="BD361" s="10"/>
      <c r="BE361" s="10"/>
      <c r="BF361" s="10"/>
      <c r="BG361" s="10"/>
      <c r="BH361" s="10"/>
      <c r="BI361" s="10"/>
      <c r="BJ361" s="10"/>
      <c r="BK361" s="10"/>
      <c r="BL361" s="10"/>
      <c r="BM361" s="10"/>
      <c r="BN361" s="10"/>
      <c r="BO361" s="10"/>
      <c r="BP361" s="10"/>
      <c r="BQ361" s="10"/>
      <c r="BR361" s="10"/>
      <c r="BS361" s="10"/>
      <c r="BT361" s="10"/>
      <c r="BU361" s="10"/>
    </row>
    <row r="362" spans="15:73" x14ac:dyDescent="0.2"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0"/>
      <c r="BB362" s="10"/>
      <c r="BC362" s="10"/>
      <c r="BD362" s="10"/>
      <c r="BE362" s="10"/>
      <c r="BF362" s="10"/>
      <c r="BG362" s="10"/>
      <c r="BH362" s="10"/>
      <c r="BI362" s="10"/>
      <c r="BJ362" s="10"/>
      <c r="BK362" s="10"/>
      <c r="BL362" s="10"/>
      <c r="BM362" s="10"/>
      <c r="BN362" s="10"/>
      <c r="BO362" s="10"/>
      <c r="BP362" s="10"/>
      <c r="BQ362" s="10"/>
      <c r="BR362" s="10"/>
      <c r="BS362" s="10"/>
      <c r="BT362" s="10"/>
      <c r="BU362" s="10"/>
    </row>
    <row r="363" spans="15:73" x14ac:dyDescent="0.2"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0"/>
      <c r="BB363" s="10"/>
      <c r="BC363" s="10"/>
      <c r="BD363" s="10"/>
      <c r="BE363" s="10"/>
      <c r="BF363" s="10"/>
      <c r="BG363" s="10"/>
      <c r="BH363" s="10"/>
      <c r="BI363" s="10"/>
      <c r="BJ363" s="10"/>
      <c r="BK363" s="10"/>
      <c r="BL363" s="10"/>
      <c r="BM363" s="10"/>
      <c r="BN363" s="10"/>
      <c r="BO363" s="10"/>
      <c r="BP363" s="10"/>
      <c r="BQ363" s="10"/>
      <c r="BR363" s="10"/>
      <c r="BS363" s="10"/>
      <c r="BT363" s="10"/>
      <c r="BU363" s="10"/>
    </row>
    <row r="364" spans="15:73" x14ac:dyDescent="0.2"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0"/>
      <c r="BB364" s="10"/>
      <c r="BC364" s="10"/>
      <c r="BD364" s="10"/>
      <c r="BE364" s="10"/>
      <c r="BF364" s="10"/>
      <c r="BG364" s="10"/>
      <c r="BH364" s="10"/>
      <c r="BI364" s="10"/>
      <c r="BJ364" s="10"/>
      <c r="BK364" s="10"/>
      <c r="BL364" s="10"/>
      <c r="BM364" s="10"/>
      <c r="BN364" s="10"/>
      <c r="BO364" s="10"/>
      <c r="BP364" s="10"/>
      <c r="BQ364" s="10"/>
      <c r="BR364" s="10"/>
      <c r="BS364" s="10"/>
      <c r="BT364" s="10"/>
      <c r="BU364" s="10"/>
    </row>
    <row r="365" spans="15:73" x14ac:dyDescent="0.2"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"/>
      <c r="BC365" s="10"/>
      <c r="BD365" s="10"/>
      <c r="BE365" s="10"/>
      <c r="BF365" s="10"/>
      <c r="BG365" s="10"/>
      <c r="BH365" s="10"/>
      <c r="BI365" s="10"/>
      <c r="BJ365" s="10"/>
      <c r="BK365" s="10"/>
      <c r="BL365" s="10"/>
      <c r="BM365" s="10"/>
      <c r="BN365" s="10"/>
      <c r="BO365" s="10"/>
      <c r="BP365" s="10"/>
      <c r="BQ365" s="10"/>
      <c r="BR365" s="10"/>
      <c r="BS365" s="10"/>
      <c r="BT365" s="10"/>
      <c r="BU365" s="10"/>
    </row>
    <row r="366" spans="15:73" x14ac:dyDescent="0.2"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"/>
      <c r="BC366" s="10"/>
      <c r="BD366" s="10"/>
      <c r="BE366" s="10"/>
      <c r="BF366" s="10"/>
      <c r="BG366" s="10"/>
      <c r="BH366" s="10"/>
      <c r="BI366" s="10"/>
      <c r="BJ366" s="10"/>
      <c r="BK366" s="10"/>
      <c r="BL366" s="10"/>
      <c r="BM366" s="10"/>
      <c r="BN366" s="10"/>
      <c r="BO366" s="10"/>
      <c r="BP366" s="10"/>
      <c r="BQ366" s="10"/>
      <c r="BR366" s="10"/>
      <c r="BS366" s="10"/>
      <c r="BT366" s="10"/>
      <c r="BU366" s="10"/>
    </row>
    <row r="367" spans="15:73" x14ac:dyDescent="0.2"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"/>
      <c r="BC367" s="10"/>
      <c r="BD367" s="10"/>
      <c r="BE367" s="10"/>
      <c r="BF367" s="10"/>
      <c r="BG367" s="10"/>
      <c r="BH367" s="10"/>
      <c r="BI367" s="10"/>
      <c r="BJ367" s="10"/>
      <c r="BK367" s="10"/>
      <c r="BL367" s="10"/>
      <c r="BM367" s="10"/>
      <c r="BN367" s="10"/>
      <c r="BO367" s="10"/>
      <c r="BP367" s="10"/>
      <c r="BQ367" s="10"/>
      <c r="BR367" s="10"/>
      <c r="BS367" s="10"/>
      <c r="BT367" s="10"/>
      <c r="BU367" s="10"/>
    </row>
    <row r="368" spans="15:73" x14ac:dyDescent="0.2"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"/>
      <c r="BC368" s="10"/>
      <c r="BD368" s="10"/>
      <c r="BE368" s="10"/>
      <c r="BF368" s="10"/>
      <c r="BG368" s="10"/>
      <c r="BH368" s="10"/>
      <c r="BI368" s="10"/>
      <c r="BJ368" s="10"/>
      <c r="BK368" s="10"/>
      <c r="BL368" s="10"/>
      <c r="BM368" s="10"/>
      <c r="BN368" s="10"/>
      <c r="BO368" s="10"/>
      <c r="BP368" s="10"/>
      <c r="BQ368" s="10"/>
      <c r="BR368" s="10"/>
      <c r="BS368" s="10"/>
      <c r="BT368" s="10"/>
      <c r="BU368" s="10"/>
    </row>
    <row r="369" spans="15:73" x14ac:dyDescent="0.2"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"/>
      <c r="BC369" s="10"/>
      <c r="BD369" s="10"/>
      <c r="BE369" s="10"/>
      <c r="BF369" s="10"/>
      <c r="BG369" s="10"/>
      <c r="BH369" s="10"/>
      <c r="BI369" s="10"/>
      <c r="BJ369" s="10"/>
      <c r="BK369" s="10"/>
      <c r="BL369" s="10"/>
      <c r="BM369" s="10"/>
      <c r="BN369" s="10"/>
      <c r="BO369" s="10"/>
      <c r="BP369" s="10"/>
      <c r="BQ369" s="10"/>
      <c r="BR369" s="10"/>
      <c r="BS369" s="10"/>
      <c r="BT369" s="10"/>
      <c r="BU369" s="10"/>
    </row>
    <row r="370" spans="15:73" x14ac:dyDescent="0.2"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"/>
      <c r="BC370" s="10"/>
      <c r="BD370" s="10"/>
      <c r="BE370" s="10"/>
      <c r="BF370" s="10"/>
      <c r="BG370" s="10"/>
      <c r="BH370" s="10"/>
      <c r="BI370" s="10"/>
      <c r="BJ370" s="10"/>
      <c r="BK370" s="10"/>
      <c r="BL370" s="10"/>
      <c r="BM370" s="10"/>
      <c r="BN370" s="10"/>
      <c r="BO370" s="10"/>
      <c r="BP370" s="10"/>
      <c r="BQ370" s="10"/>
      <c r="BR370" s="10"/>
      <c r="BS370" s="10"/>
      <c r="BT370" s="10"/>
      <c r="BU370" s="10"/>
    </row>
    <row r="371" spans="15:73" x14ac:dyDescent="0.2"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0"/>
      <c r="BB371" s="10"/>
      <c r="BC371" s="10"/>
      <c r="BD371" s="10"/>
      <c r="BE371" s="10"/>
      <c r="BF371" s="10"/>
      <c r="BG371" s="10"/>
      <c r="BH371" s="10"/>
      <c r="BI371" s="10"/>
      <c r="BJ371" s="10"/>
      <c r="BK371" s="10"/>
      <c r="BL371" s="10"/>
      <c r="BM371" s="10"/>
      <c r="BN371" s="10"/>
      <c r="BO371" s="10"/>
      <c r="BP371" s="10"/>
      <c r="BQ371" s="10"/>
      <c r="BR371" s="10"/>
      <c r="BS371" s="10"/>
      <c r="BT371" s="10"/>
      <c r="BU371" s="10"/>
    </row>
    <row r="372" spans="15:73" x14ac:dyDescent="0.2"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0"/>
      <c r="BB372" s="10"/>
      <c r="BC372" s="10"/>
      <c r="BD372" s="10"/>
      <c r="BE372" s="10"/>
      <c r="BF372" s="10"/>
      <c r="BG372" s="10"/>
      <c r="BH372" s="10"/>
      <c r="BI372" s="10"/>
      <c r="BJ372" s="10"/>
      <c r="BK372" s="10"/>
      <c r="BL372" s="10"/>
      <c r="BM372" s="10"/>
      <c r="BN372" s="10"/>
      <c r="BO372" s="10"/>
      <c r="BP372" s="10"/>
      <c r="BQ372" s="10"/>
      <c r="BR372" s="10"/>
      <c r="BS372" s="10"/>
      <c r="BT372" s="10"/>
      <c r="BU372" s="10"/>
    </row>
    <row r="373" spans="15:73" x14ac:dyDescent="0.2"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0"/>
      <c r="BB373" s="10"/>
      <c r="BC373" s="10"/>
      <c r="BD373" s="10"/>
      <c r="BE373" s="10"/>
      <c r="BF373" s="10"/>
      <c r="BG373" s="10"/>
      <c r="BH373" s="10"/>
      <c r="BI373" s="10"/>
      <c r="BJ373" s="10"/>
      <c r="BK373" s="10"/>
      <c r="BL373" s="10"/>
      <c r="BM373" s="10"/>
      <c r="BN373" s="10"/>
      <c r="BO373" s="10"/>
      <c r="BP373" s="10"/>
      <c r="BQ373" s="10"/>
      <c r="BR373" s="10"/>
      <c r="BS373" s="10"/>
      <c r="BT373" s="10"/>
      <c r="BU373" s="10"/>
    </row>
    <row r="374" spans="15:73" x14ac:dyDescent="0.2"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"/>
      <c r="BC374" s="10"/>
      <c r="BD374" s="10"/>
      <c r="BE374" s="10"/>
      <c r="BF374" s="10"/>
      <c r="BG374" s="10"/>
      <c r="BH374" s="10"/>
      <c r="BI374" s="10"/>
      <c r="BJ374" s="10"/>
      <c r="BK374" s="10"/>
      <c r="BL374" s="10"/>
      <c r="BM374" s="10"/>
      <c r="BN374" s="10"/>
      <c r="BO374" s="10"/>
      <c r="BP374" s="10"/>
      <c r="BQ374" s="10"/>
      <c r="BR374" s="10"/>
      <c r="BS374" s="10"/>
      <c r="BT374" s="10"/>
      <c r="BU374" s="10"/>
    </row>
    <row r="375" spans="15:73" x14ac:dyDescent="0.2"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0"/>
      <c r="BB375" s="10"/>
      <c r="BC375" s="10"/>
      <c r="BD375" s="10"/>
      <c r="BE375" s="10"/>
      <c r="BF375" s="10"/>
      <c r="BG375" s="10"/>
      <c r="BH375" s="10"/>
      <c r="BI375" s="10"/>
      <c r="BJ375" s="10"/>
      <c r="BK375" s="10"/>
      <c r="BL375" s="10"/>
      <c r="BM375" s="10"/>
      <c r="BN375" s="10"/>
      <c r="BO375" s="10"/>
      <c r="BP375" s="10"/>
      <c r="BQ375" s="10"/>
      <c r="BR375" s="10"/>
      <c r="BS375" s="10"/>
      <c r="BT375" s="10"/>
      <c r="BU375" s="10"/>
    </row>
    <row r="376" spans="15:73" x14ac:dyDescent="0.2"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0"/>
      <c r="BB376" s="10"/>
      <c r="BC376" s="10"/>
      <c r="BD376" s="10"/>
      <c r="BE376" s="10"/>
      <c r="BF376" s="10"/>
      <c r="BG376" s="10"/>
      <c r="BH376" s="10"/>
      <c r="BI376" s="10"/>
      <c r="BJ376" s="10"/>
      <c r="BK376" s="10"/>
      <c r="BL376" s="10"/>
      <c r="BM376" s="10"/>
      <c r="BN376" s="10"/>
      <c r="BO376" s="10"/>
      <c r="BP376" s="10"/>
      <c r="BQ376" s="10"/>
      <c r="BR376" s="10"/>
      <c r="BS376" s="10"/>
      <c r="BT376" s="10"/>
      <c r="BU376" s="10"/>
    </row>
    <row r="377" spans="15:73" x14ac:dyDescent="0.2"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"/>
      <c r="BC377" s="10"/>
      <c r="BD377" s="10"/>
      <c r="BE377" s="10"/>
      <c r="BF377" s="10"/>
      <c r="BG377" s="10"/>
      <c r="BH377" s="10"/>
      <c r="BI377" s="10"/>
      <c r="BJ377" s="10"/>
      <c r="BK377" s="10"/>
      <c r="BL377" s="10"/>
      <c r="BM377" s="10"/>
      <c r="BN377" s="10"/>
      <c r="BO377" s="10"/>
      <c r="BP377" s="10"/>
      <c r="BQ377" s="10"/>
      <c r="BR377" s="10"/>
      <c r="BS377" s="10"/>
      <c r="BT377" s="10"/>
      <c r="BU377" s="10"/>
    </row>
    <row r="378" spans="15:73" x14ac:dyDescent="0.2"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"/>
      <c r="BC378" s="10"/>
      <c r="BD378" s="10"/>
      <c r="BE378" s="10"/>
      <c r="BF378" s="10"/>
      <c r="BG378" s="10"/>
      <c r="BH378" s="10"/>
      <c r="BI378" s="10"/>
      <c r="BJ378" s="10"/>
      <c r="BK378" s="10"/>
      <c r="BL378" s="10"/>
      <c r="BM378" s="10"/>
      <c r="BN378" s="10"/>
      <c r="BO378" s="10"/>
      <c r="BP378" s="10"/>
      <c r="BQ378" s="10"/>
      <c r="BR378" s="10"/>
      <c r="BS378" s="10"/>
      <c r="BT378" s="10"/>
      <c r="BU378" s="10"/>
    </row>
    <row r="379" spans="15:73" x14ac:dyDescent="0.2"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"/>
      <c r="BC379" s="10"/>
      <c r="BD379" s="10"/>
      <c r="BE379" s="10"/>
      <c r="BF379" s="10"/>
      <c r="BG379" s="10"/>
      <c r="BH379" s="10"/>
      <c r="BI379" s="10"/>
      <c r="BJ379" s="10"/>
      <c r="BK379" s="10"/>
      <c r="BL379" s="10"/>
      <c r="BM379" s="10"/>
      <c r="BN379" s="10"/>
      <c r="BO379" s="10"/>
      <c r="BP379" s="10"/>
      <c r="BQ379" s="10"/>
      <c r="BR379" s="10"/>
      <c r="BS379" s="10"/>
      <c r="BT379" s="10"/>
      <c r="BU379" s="10"/>
    </row>
    <row r="380" spans="15:73" x14ac:dyDescent="0.2"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"/>
      <c r="BC380" s="10"/>
      <c r="BD380" s="10"/>
      <c r="BE380" s="10"/>
      <c r="BF380" s="10"/>
      <c r="BG380" s="10"/>
      <c r="BH380" s="10"/>
      <c r="BI380" s="10"/>
      <c r="BJ380" s="10"/>
      <c r="BK380" s="10"/>
      <c r="BL380" s="10"/>
      <c r="BM380" s="10"/>
      <c r="BN380" s="10"/>
      <c r="BO380" s="10"/>
      <c r="BP380" s="10"/>
      <c r="BQ380" s="10"/>
      <c r="BR380" s="10"/>
      <c r="BS380" s="10"/>
      <c r="BT380" s="10"/>
      <c r="BU380" s="10"/>
    </row>
    <row r="381" spans="15:73" x14ac:dyDescent="0.2"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"/>
      <c r="BC381" s="10"/>
      <c r="BD381" s="10"/>
      <c r="BE381" s="10"/>
      <c r="BF381" s="10"/>
      <c r="BG381" s="10"/>
      <c r="BH381" s="10"/>
      <c r="BI381" s="10"/>
      <c r="BJ381" s="10"/>
      <c r="BK381" s="10"/>
      <c r="BL381" s="10"/>
      <c r="BM381" s="10"/>
      <c r="BN381" s="10"/>
      <c r="BO381" s="10"/>
      <c r="BP381" s="10"/>
      <c r="BQ381" s="10"/>
      <c r="BR381" s="10"/>
      <c r="BS381" s="10"/>
      <c r="BT381" s="10"/>
      <c r="BU381" s="10"/>
    </row>
    <row r="382" spans="15:73" x14ac:dyDescent="0.2"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"/>
      <c r="BC382" s="10"/>
      <c r="BD382" s="10"/>
      <c r="BE382" s="10"/>
      <c r="BF382" s="10"/>
      <c r="BG382" s="10"/>
      <c r="BH382" s="10"/>
      <c r="BI382" s="10"/>
      <c r="BJ382" s="10"/>
      <c r="BK382" s="10"/>
      <c r="BL382" s="10"/>
      <c r="BM382" s="10"/>
      <c r="BN382" s="10"/>
      <c r="BO382" s="10"/>
      <c r="BP382" s="10"/>
      <c r="BQ382" s="10"/>
      <c r="BR382" s="10"/>
      <c r="BS382" s="10"/>
      <c r="BT382" s="10"/>
      <c r="BU382" s="10"/>
    </row>
    <row r="383" spans="15:73" x14ac:dyDescent="0.2"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"/>
      <c r="BC383" s="10"/>
      <c r="BD383" s="10"/>
      <c r="BE383" s="10"/>
      <c r="BF383" s="10"/>
      <c r="BG383" s="10"/>
      <c r="BH383" s="10"/>
      <c r="BI383" s="10"/>
      <c r="BJ383" s="10"/>
      <c r="BK383" s="10"/>
      <c r="BL383" s="10"/>
      <c r="BM383" s="10"/>
      <c r="BN383" s="10"/>
      <c r="BO383" s="10"/>
      <c r="BP383" s="10"/>
      <c r="BQ383" s="10"/>
      <c r="BR383" s="10"/>
      <c r="BS383" s="10"/>
      <c r="BT383" s="10"/>
      <c r="BU383" s="10"/>
    </row>
    <row r="384" spans="15:73" x14ac:dyDescent="0.2"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"/>
      <c r="BC384" s="10"/>
      <c r="BD384" s="10"/>
      <c r="BE384" s="10"/>
      <c r="BF384" s="10"/>
      <c r="BG384" s="10"/>
      <c r="BH384" s="10"/>
      <c r="BI384" s="10"/>
      <c r="BJ384" s="10"/>
      <c r="BK384" s="10"/>
      <c r="BL384" s="10"/>
      <c r="BM384" s="10"/>
      <c r="BN384" s="10"/>
      <c r="BO384" s="10"/>
      <c r="BP384" s="10"/>
      <c r="BQ384" s="10"/>
      <c r="BR384" s="10"/>
      <c r="BS384" s="10"/>
      <c r="BT384" s="10"/>
      <c r="BU384" s="10"/>
    </row>
    <row r="385" spans="15:73" x14ac:dyDescent="0.2"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"/>
      <c r="BC385" s="10"/>
      <c r="BD385" s="10"/>
      <c r="BE385" s="10"/>
      <c r="BF385" s="10"/>
      <c r="BG385" s="10"/>
      <c r="BH385" s="10"/>
      <c r="BI385" s="10"/>
      <c r="BJ385" s="10"/>
      <c r="BK385" s="10"/>
      <c r="BL385" s="10"/>
      <c r="BM385" s="10"/>
      <c r="BN385" s="10"/>
      <c r="BO385" s="10"/>
      <c r="BP385" s="10"/>
      <c r="BQ385" s="10"/>
      <c r="BR385" s="10"/>
      <c r="BS385" s="10"/>
      <c r="BT385" s="10"/>
      <c r="BU385" s="10"/>
    </row>
    <row r="386" spans="15:73" x14ac:dyDescent="0.2"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0"/>
      <c r="BB386" s="10"/>
      <c r="BC386" s="10"/>
      <c r="BD386" s="10"/>
      <c r="BE386" s="10"/>
      <c r="BF386" s="10"/>
      <c r="BG386" s="10"/>
      <c r="BH386" s="10"/>
      <c r="BI386" s="10"/>
      <c r="BJ386" s="10"/>
      <c r="BK386" s="10"/>
      <c r="BL386" s="10"/>
      <c r="BM386" s="10"/>
      <c r="BN386" s="10"/>
      <c r="BO386" s="10"/>
      <c r="BP386" s="10"/>
      <c r="BQ386" s="10"/>
      <c r="BR386" s="10"/>
      <c r="BS386" s="10"/>
      <c r="BT386" s="10"/>
      <c r="BU386" s="10"/>
    </row>
    <row r="387" spans="15:73" x14ac:dyDescent="0.2"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"/>
      <c r="BC387" s="10"/>
      <c r="BD387" s="10"/>
      <c r="BE387" s="10"/>
      <c r="BF387" s="10"/>
      <c r="BG387" s="10"/>
      <c r="BH387" s="10"/>
      <c r="BI387" s="10"/>
      <c r="BJ387" s="10"/>
      <c r="BK387" s="10"/>
      <c r="BL387" s="10"/>
      <c r="BM387" s="10"/>
      <c r="BN387" s="10"/>
      <c r="BO387" s="10"/>
      <c r="BP387" s="10"/>
      <c r="BQ387" s="10"/>
      <c r="BR387" s="10"/>
      <c r="BS387" s="10"/>
      <c r="BT387" s="10"/>
      <c r="BU387" s="10"/>
    </row>
    <row r="388" spans="15:73" x14ac:dyDescent="0.2"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"/>
      <c r="BC388" s="10"/>
      <c r="BD388" s="10"/>
      <c r="BE388" s="10"/>
      <c r="BF388" s="10"/>
      <c r="BG388" s="10"/>
      <c r="BH388" s="10"/>
      <c r="BI388" s="10"/>
      <c r="BJ388" s="10"/>
      <c r="BK388" s="10"/>
      <c r="BL388" s="10"/>
      <c r="BM388" s="10"/>
      <c r="BN388" s="10"/>
      <c r="BO388" s="10"/>
      <c r="BP388" s="10"/>
      <c r="BQ388" s="10"/>
      <c r="BR388" s="10"/>
      <c r="BS388" s="10"/>
      <c r="BT388" s="10"/>
      <c r="BU388" s="10"/>
    </row>
    <row r="389" spans="15:73" x14ac:dyDescent="0.2"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0"/>
      <c r="BB389" s="10"/>
      <c r="BC389" s="10"/>
      <c r="BD389" s="10"/>
      <c r="BE389" s="10"/>
      <c r="BF389" s="10"/>
      <c r="BG389" s="10"/>
      <c r="BH389" s="10"/>
      <c r="BI389" s="10"/>
      <c r="BJ389" s="10"/>
      <c r="BK389" s="10"/>
      <c r="BL389" s="10"/>
      <c r="BM389" s="10"/>
      <c r="BN389" s="10"/>
      <c r="BO389" s="10"/>
      <c r="BP389" s="10"/>
      <c r="BQ389" s="10"/>
      <c r="BR389" s="10"/>
      <c r="BS389" s="10"/>
      <c r="BT389" s="10"/>
      <c r="BU389" s="10"/>
    </row>
    <row r="390" spans="15:73" x14ac:dyDescent="0.2"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0"/>
      <c r="BB390" s="10"/>
      <c r="BC390" s="10"/>
      <c r="BD390" s="10"/>
      <c r="BE390" s="10"/>
      <c r="BF390" s="10"/>
      <c r="BG390" s="10"/>
      <c r="BH390" s="10"/>
      <c r="BI390" s="10"/>
      <c r="BJ390" s="10"/>
      <c r="BK390" s="10"/>
      <c r="BL390" s="10"/>
      <c r="BM390" s="10"/>
      <c r="BN390" s="10"/>
      <c r="BO390" s="10"/>
      <c r="BP390" s="10"/>
      <c r="BQ390" s="10"/>
      <c r="BR390" s="10"/>
      <c r="BS390" s="10"/>
      <c r="BT390" s="10"/>
      <c r="BU390" s="10"/>
    </row>
    <row r="391" spans="15:73" x14ac:dyDescent="0.2"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"/>
      <c r="BC391" s="10"/>
      <c r="BD391" s="10"/>
      <c r="BE391" s="10"/>
      <c r="BF391" s="10"/>
      <c r="BG391" s="10"/>
      <c r="BH391" s="10"/>
      <c r="BI391" s="10"/>
      <c r="BJ391" s="10"/>
      <c r="BK391" s="10"/>
      <c r="BL391" s="10"/>
      <c r="BM391" s="10"/>
      <c r="BN391" s="10"/>
      <c r="BO391" s="10"/>
      <c r="BP391" s="10"/>
      <c r="BQ391" s="10"/>
      <c r="BR391" s="10"/>
      <c r="BS391" s="10"/>
      <c r="BT391" s="10"/>
      <c r="BU391" s="10"/>
    </row>
    <row r="392" spans="15:73" x14ac:dyDescent="0.2"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"/>
      <c r="BC392" s="10"/>
      <c r="BD392" s="10"/>
      <c r="BE392" s="10"/>
      <c r="BF392" s="10"/>
      <c r="BG392" s="10"/>
      <c r="BH392" s="10"/>
      <c r="BI392" s="10"/>
      <c r="BJ392" s="10"/>
      <c r="BK392" s="10"/>
      <c r="BL392" s="10"/>
      <c r="BM392" s="10"/>
      <c r="BN392" s="10"/>
      <c r="BO392" s="10"/>
      <c r="BP392" s="10"/>
      <c r="BQ392" s="10"/>
      <c r="BR392" s="10"/>
      <c r="BS392" s="10"/>
      <c r="BT392" s="10"/>
      <c r="BU392" s="10"/>
    </row>
    <row r="393" spans="15:73" x14ac:dyDescent="0.2"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0"/>
      <c r="BB393" s="10"/>
      <c r="BC393" s="10"/>
      <c r="BD393" s="10"/>
      <c r="BE393" s="10"/>
      <c r="BF393" s="10"/>
      <c r="BG393" s="10"/>
      <c r="BH393" s="10"/>
      <c r="BI393" s="10"/>
      <c r="BJ393" s="10"/>
      <c r="BK393" s="10"/>
      <c r="BL393" s="10"/>
      <c r="BM393" s="10"/>
      <c r="BN393" s="10"/>
      <c r="BO393" s="10"/>
      <c r="BP393" s="10"/>
      <c r="BQ393" s="10"/>
      <c r="BR393" s="10"/>
      <c r="BS393" s="10"/>
      <c r="BT393" s="10"/>
      <c r="BU393" s="10"/>
    </row>
    <row r="394" spans="15:73" x14ac:dyDescent="0.2"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"/>
      <c r="BC394" s="10"/>
      <c r="BD394" s="10"/>
      <c r="BE394" s="10"/>
      <c r="BF394" s="10"/>
      <c r="BG394" s="10"/>
      <c r="BH394" s="10"/>
      <c r="BI394" s="10"/>
      <c r="BJ394" s="10"/>
      <c r="BK394" s="10"/>
      <c r="BL394" s="10"/>
      <c r="BM394" s="10"/>
      <c r="BN394" s="10"/>
      <c r="BO394" s="10"/>
      <c r="BP394" s="10"/>
      <c r="BQ394" s="10"/>
      <c r="BR394" s="10"/>
      <c r="BS394" s="10"/>
      <c r="BT394" s="10"/>
      <c r="BU394" s="10"/>
    </row>
    <row r="395" spans="15:73" x14ac:dyDescent="0.2"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0"/>
      <c r="BB395" s="10"/>
      <c r="BC395" s="10"/>
      <c r="BD395" s="10"/>
      <c r="BE395" s="10"/>
      <c r="BF395" s="10"/>
      <c r="BG395" s="10"/>
      <c r="BH395" s="10"/>
      <c r="BI395" s="10"/>
      <c r="BJ395" s="10"/>
      <c r="BK395" s="10"/>
      <c r="BL395" s="10"/>
      <c r="BM395" s="10"/>
      <c r="BN395" s="10"/>
      <c r="BO395" s="10"/>
      <c r="BP395" s="10"/>
      <c r="BQ395" s="10"/>
      <c r="BR395" s="10"/>
      <c r="BS395" s="10"/>
      <c r="BT395" s="10"/>
      <c r="BU395" s="10"/>
    </row>
    <row r="396" spans="15:73" x14ac:dyDescent="0.2"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0"/>
      <c r="BB396" s="10"/>
      <c r="BC396" s="10"/>
      <c r="BD396" s="10"/>
      <c r="BE396" s="10"/>
      <c r="BF396" s="10"/>
      <c r="BG396" s="10"/>
      <c r="BH396" s="10"/>
      <c r="BI396" s="10"/>
      <c r="BJ396" s="10"/>
      <c r="BK396" s="10"/>
      <c r="BL396" s="10"/>
      <c r="BM396" s="10"/>
      <c r="BN396" s="10"/>
      <c r="BO396" s="10"/>
      <c r="BP396" s="10"/>
      <c r="BQ396" s="10"/>
      <c r="BR396" s="10"/>
      <c r="BS396" s="10"/>
      <c r="BT396" s="10"/>
      <c r="BU396" s="10"/>
    </row>
    <row r="397" spans="15:73" x14ac:dyDescent="0.2"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"/>
      <c r="BC397" s="10"/>
      <c r="BD397" s="10"/>
      <c r="BE397" s="10"/>
      <c r="BF397" s="10"/>
      <c r="BG397" s="10"/>
      <c r="BH397" s="10"/>
      <c r="BI397" s="10"/>
      <c r="BJ397" s="10"/>
      <c r="BK397" s="10"/>
      <c r="BL397" s="10"/>
      <c r="BM397" s="10"/>
      <c r="BN397" s="10"/>
      <c r="BO397" s="10"/>
      <c r="BP397" s="10"/>
      <c r="BQ397" s="10"/>
      <c r="BR397" s="10"/>
      <c r="BS397" s="10"/>
      <c r="BT397" s="10"/>
      <c r="BU397" s="10"/>
    </row>
    <row r="398" spans="15:73" x14ac:dyDescent="0.2"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"/>
      <c r="BC398" s="10"/>
      <c r="BD398" s="10"/>
      <c r="BE398" s="10"/>
      <c r="BF398" s="10"/>
      <c r="BG398" s="10"/>
      <c r="BH398" s="10"/>
      <c r="BI398" s="10"/>
      <c r="BJ398" s="10"/>
      <c r="BK398" s="10"/>
      <c r="BL398" s="10"/>
      <c r="BM398" s="10"/>
      <c r="BN398" s="10"/>
      <c r="BO398" s="10"/>
      <c r="BP398" s="10"/>
      <c r="BQ398" s="10"/>
      <c r="BR398" s="10"/>
      <c r="BS398" s="10"/>
      <c r="BT398" s="10"/>
      <c r="BU398" s="10"/>
    </row>
    <row r="399" spans="15:73" x14ac:dyDescent="0.2"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"/>
      <c r="BC399" s="10"/>
      <c r="BD399" s="10"/>
      <c r="BE399" s="10"/>
      <c r="BF399" s="10"/>
      <c r="BG399" s="10"/>
      <c r="BH399" s="10"/>
      <c r="BI399" s="10"/>
      <c r="BJ399" s="10"/>
      <c r="BK399" s="10"/>
      <c r="BL399" s="10"/>
      <c r="BM399" s="10"/>
      <c r="BN399" s="10"/>
      <c r="BO399" s="10"/>
      <c r="BP399" s="10"/>
      <c r="BQ399" s="10"/>
      <c r="BR399" s="10"/>
      <c r="BS399" s="10"/>
      <c r="BT399" s="10"/>
      <c r="BU399" s="10"/>
    </row>
    <row r="400" spans="15:73" x14ac:dyDescent="0.2"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"/>
      <c r="BC400" s="10"/>
      <c r="BD400" s="10"/>
      <c r="BE400" s="10"/>
      <c r="BF400" s="10"/>
      <c r="BG400" s="10"/>
      <c r="BH400" s="10"/>
      <c r="BI400" s="10"/>
      <c r="BJ400" s="10"/>
      <c r="BK400" s="10"/>
      <c r="BL400" s="10"/>
      <c r="BM400" s="10"/>
      <c r="BN400" s="10"/>
      <c r="BO400" s="10"/>
      <c r="BP400" s="10"/>
      <c r="BQ400" s="10"/>
      <c r="BR400" s="10"/>
      <c r="BS400" s="10"/>
      <c r="BT400" s="10"/>
      <c r="BU400" s="10"/>
    </row>
    <row r="401" spans="15:73" x14ac:dyDescent="0.2"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"/>
      <c r="BC401" s="10"/>
      <c r="BD401" s="10"/>
      <c r="BE401" s="10"/>
      <c r="BF401" s="10"/>
      <c r="BG401" s="10"/>
      <c r="BH401" s="10"/>
      <c r="BI401" s="10"/>
      <c r="BJ401" s="10"/>
      <c r="BK401" s="10"/>
      <c r="BL401" s="10"/>
      <c r="BM401" s="10"/>
      <c r="BN401" s="10"/>
      <c r="BO401" s="10"/>
      <c r="BP401" s="10"/>
      <c r="BQ401" s="10"/>
      <c r="BR401" s="10"/>
      <c r="BS401" s="10"/>
      <c r="BT401" s="10"/>
      <c r="BU401" s="10"/>
    </row>
    <row r="402" spans="15:73" x14ac:dyDescent="0.2"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0"/>
      <c r="BB402" s="10"/>
      <c r="BC402" s="10"/>
      <c r="BD402" s="10"/>
      <c r="BE402" s="10"/>
      <c r="BF402" s="10"/>
      <c r="BG402" s="10"/>
      <c r="BH402" s="10"/>
      <c r="BI402" s="10"/>
      <c r="BJ402" s="10"/>
      <c r="BK402" s="10"/>
      <c r="BL402" s="10"/>
      <c r="BM402" s="10"/>
      <c r="BN402" s="10"/>
      <c r="BO402" s="10"/>
      <c r="BP402" s="10"/>
      <c r="BQ402" s="10"/>
      <c r="BR402" s="10"/>
      <c r="BS402" s="10"/>
      <c r="BT402" s="10"/>
      <c r="BU402" s="10"/>
    </row>
    <row r="403" spans="15:73" x14ac:dyDescent="0.2"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"/>
      <c r="BC403" s="10"/>
      <c r="BD403" s="10"/>
      <c r="BE403" s="10"/>
      <c r="BF403" s="10"/>
      <c r="BG403" s="10"/>
      <c r="BH403" s="10"/>
      <c r="BI403" s="10"/>
      <c r="BJ403" s="10"/>
      <c r="BK403" s="10"/>
      <c r="BL403" s="10"/>
      <c r="BM403" s="10"/>
      <c r="BN403" s="10"/>
      <c r="BO403" s="10"/>
      <c r="BP403" s="10"/>
      <c r="BQ403" s="10"/>
      <c r="BR403" s="10"/>
      <c r="BS403" s="10"/>
      <c r="BT403" s="10"/>
      <c r="BU403" s="10"/>
    </row>
    <row r="404" spans="15:73" x14ac:dyDescent="0.2"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0"/>
      <c r="BB404" s="10"/>
      <c r="BC404" s="10"/>
      <c r="BD404" s="10"/>
      <c r="BE404" s="10"/>
      <c r="BF404" s="10"/>
      <c r="BG404" s="10"/>
      <c r="BH404" s="10"/>
      <c r="BI404" s="10"/>
      <c r="BJ404" s="10"/>
      <c r="BK404" s="10"/>
      <c r="BL404" s="10"/>
      <c r="BM404" s="10"/>
      <c r="BN404" s="10"/>
      <c r="BO404" s="10"/>
      <c r="BP404" s="10"/>
      <c r="BQ404" s="10"/>
      <c r="BR404" s="10"/>
      <c r="BS404" s="10"/>
      <c r="BT404" s="10"/>
      <c r="BU404" s="10"/>
    </row>
    <row r="405" spans="15:73" x14ac:dyDescent="0.2"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0"/>
      <c r="BB405" s="10"/>
      <c r="BC405" s="10"/>
      <c r="BD405" s="10"/>
      <c r="BE405" s="10"/>
      <c r="BF405" s="10"/>
      <c r="BG405" s="10"/>
      <c r="BH405" s="10"/>
      <c r="BI405" s="10"/>
      <c r="BJ405" s="10"/>
      <c r="BK405" s="10"/>
      <c r="BL405" s="10"/>
      <c r="BM405" s="10"/>
      <c r="BN405" s="10"/>
      <c r="BO405" s="10"/>
      <c r="BP405" s="10"/>
      <c r="BQ405" s="10"/>
      <c r="BR405" s="10"/>
      <c r="BS405" s="10"/>
      <c r="BT405" s="10"/>
      <c r="BU405" s="10"/>
    </row>
    <row r="406" spans="15:73" x14ac:dyDescent="0.2"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"/>
      <c r="BC406" s="10"/>
      <c r="BD406" s="10"/>
      <c r="BE406" s="10"/>
      <c r="BF406" s="10"/>
      <c r="BG406" s="10"/>
      <c r="BH406" s="10"/>
      <c r="BI406" s="10"/>
      <c r="BJ406" s="10"/>
      <c r="BK406" s="10"/>
      <c r="BL406" s="10"/>
      <c r="BM406" s="10"/>
      <c r="BN406" s="10"/>
      <c r="BO406" s="10"/>
      <c r="BP406" s="10"/>
      <c r="BQ406" s="10"/>
      <c r="BR406" s="10"/>
      <c r="BS406" s="10"/>
      <c r="BT406" s="10"/>
      <c r="BU406" s="10"/>
    </row>
    <row r="407" spans="15:73" x14ac:dyDescent="0.2"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"/>
      <c r="BC407" s="10"/>
      <c r="BD407" s="10"/>
      <c r="BE407" s="10"/>
      <c r="BF407" s="10"/>
      <c r="BG407" s="10"/>
      <c r="BH407" s="10"/>
      <c r="BI407" s="10"/>
      <c r="BJ407" s="10"/>
      <c r="BK407" s="10"/>
      <c r="BL407" s="10"/>
      <c r="BM407" s="10"/>
      <c r="BN407" s="10"/>
      <c r="BO407" s="10"/>
      <c r="BP407" s="10"/>
      <c r="BQ407" s="10"/>
      <c r="BR407" s="10"/>
      <c r="BS407" s="10"/>
      <c r="BT407" s="10"/>
      <c r="BU407" s="10"/>
    </row>
    <row r="408" spans="15:73" x14ac:dyDescent="0.2"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0"/>
      <c r="BB408" s="10"/>
      <c r="BC408" s="10"/>
      <c r="BD408" s="10"/>
      <c r="BE408" s="10"/>
      <c r="BF408" s="10"/>
      <c r="BG408" s="10"/>
      <c r="BH408" s="10"/>
      <c r="BI408" s="10"/>
      <c r="BJ408" s="10"/>
      <c r="BK408" s="10"/>
      <c r="BL408" s="10"/>
      <c r="BM408" s="10"/>
      <c r="BN408" s="10"/>
      <c r="BO408" s="10"/>
      <c r="BP408" s="10"/>
      <c r="BQ408" s="10"/>
      <c r="BR408" s="10"/>
      <c r="BS408" s="10"/>
      <c r="BT408" s="10"/>
      <c r="BU408" s="10"/>
    </row>
    <row r="409" spans="15:73" x14ac:dyDescent="0.2"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0"/>
      <c r="BB409" s="10"/>
      <c r="BC409" s="10"/>
      <c r="BD409" s="10"/>
      <c r="BE409" s="10"/>
      <c r="BF409" s="10"/>
      <c r="BG409" s="10"/>
      <c r="BH409" s="10"/>
      <c r="BI409" s="10"/>
      <c r="BJ409" s="10"/>
      <c r="BK409" s="10"/>
      <c r="BL409" s="10"/>
      <c r="BM409" s="10"/>
      <c r="BN409" s="10"/>
      <c r="BO409" s="10"/>
      <c r="BP409" s="10"/>
      <c r="BQ409" s="10"/>
      <c r="BR409" s="10"/>
      <c r="BS409" s="10"/>
      <c r="BT409" s="10"/>
      <c r="BU409" s="10"/>
    </row>
    <row r="410" spans="15:73" x14ac:dyDescent="0.2"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"/>
      <c r="BC410" s="10"/>
      <c r="BD410" s="10"/>
      <c r="BE410" s="10"/>
      <c r="BF410" s="10"/>
      <c r="BG410" s="10"/>
      <c r="BH410" s="10"/>
      <c r="BI410" s="10"/>
      <c r="BJ410" s="10"/>
      <c r="BK410" s="10"/>
      <c r="BL410" s="10"/>
      <c r="BM410" s="10"/>
      <c r="BN410" s="10"/>
      <c r="BO410" s="10"/>
      <c r="BP410" s="10"/>
      <c r="BQ410" s="10"/>
      <c r="BR410" s="10"/>
      <c r="BS410" s="10"/>
      <c r="BT410" s="10"/>
      <c r="BU410" s="10"/>
    </row>
    <row r="411" spans="15:73" x14ac:dyDescent="0.2"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"/>
      <c r="BC411" s="10"/>
      <c r="BD411" s="10"/>
      <c r="BE411" s="10"/>
      <c r="BF411" s="10"/>
      <c r="BG411" s="10"/>
      <c r="BH411" s="10"/>
      <c r="BI411" s="10"/>
      <c r="BJ411" s="10"/>
      <c r="BK411" s="10"/>
      <c r="BL411" s="10"/>
      <c r="BM411" s="10"/>
      <c r="BN411" s="10"/>
      <c r="BO411" s="10"/>
      <c r="BP411" s="10"/>
      <c r="BQ411" s="10"/>
      <c r="BR411" s="10"/>
      <c r="BS411" s="10"/>
      <c r="BT411" s="10"/>
      <c r="BU411" s="10"/>
    </row>
    <row r="412" spans="15:73" x14ac:dyDescent="0.2"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"/>
      <c r="BC412" s="10"/>
      <c r="BD412" s="10"/>
      <c r="BE412" s="10"/>
      <c r="BF412" s="10"/>
      <c r="BG412" s="10"/>
      <c r="BH412" s="10"/>
      <c r="BI412" s="10"/>
      <c r="BJ412" s="10"/>
      <c r="BK412" s="10"/>
      <c r="BL412" s="10"/>
      <c r="BM412" s="10"/>
      <c r="BN412" s="10"/>
      <c r="BO412" s="10"/>
      <c r="BP412" s="10"/>
      <c r="BQ412" s="10"/>
      <c r="BR412" s="10"/>
      <c r="BS412" s="10"/>
      <c r="BT412" s="10"/>
      <c r="BU412" s="10"/>
    </row>
    <row r="413" spans="15:73" x14ac:dyDescent="0.2"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0"/>
      <c r="BB413" s="10"/>
      <c r="BC413" s="10"/>
      <c r="BD413" s="10"/>
      <c r="BE413" s="10"/>
      <c r="BF413" s="10"/>
      <c r="BG413" s="10"/>
      <c r="BH413" s="10"/>
      <c r="BI413" s="10"/>
      <c r="BJ413" s="10"/>
      <c r="BK413" s="10"/>
      <c r="BL413" s="10"/>
      <c r="BM413" s="10"/>
      <c r="BN413" s="10"/>
      <c r="BO413" s="10"/>
      <c r="BP413" s="10"/>
      <c r="BQ413" s="10"/>
      <c r="BR413" s="10"/>
      <c r="BS413" s="10"/>
      <c r="BT413" s="10"/>
      <c r="BU413" s="10"/>
    </row>
    <row r="414" spans="15:73" x14ac:dyDescent="0.2"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"/>
      <c r="BC414" s="10"/>
      <c r="BD414" s="10"/>
      <c r="BE414" s="10"/>
      <c r="BF414" s="10"/>
      <c r="BG414" s="10"/>
      <c r="BH414" s="10"/>
      <c r="BI414" s="10"/>
      <c r="BJ414" s="10"/>
      <c r="BK414" s="10"/>
      <c r="BL414" s="10"/>
      <c r="BM414" s="10"/>
      <c r="BN414" s="10"/>
      <c r="BO414" s="10"/>
      <c r="BP414" s="10"/>
      <c r="BQ414" s="10"/>
      <c r="BR414" s="10"/>
      <c r="BS414" s="10"/>
      <c r="BT414" s="10"/>
      <c r="BU414" s="10"/>
    </row>
    <row r="415" spans="15:73" x14ac:dyDescent="0.2"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"/>
      <c r="BC415" s="10"/>
      <c r="BD415" s="10"/>
      <c r="BE415" s="10"/>
      <c r="BF415" s="10"/>
      <c r="BG415" s="10"/>
      <c r="BH415" s="10"/>
      <c r="BI415" s="10"/>
      <c r="BJ415" s="10"/>
      <c r="BK415" s="10"/>
      <c r="BL415" s="10"/>
      <c r="BM415" s="10"/>
      <c r="BN415" s="10"/>
      <c r="BO415" s="10"/>
      <c r="BP415" s="10"/>
      <c r="BQ415" s="10"/>
      <c r="BR415" s="10"/>
      <c r="BS415" s="10"/>
      <c r="BT415" s="10"/>
      <c r="BU415" s="10"/>
    </row>
    <row r="416" spans="15:73" x14ac:dyDescent="0.2"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0"/>
      <c r="BB416" s="10"/>
      <c r="BC416" s="10"/>
      <c r="BD416" s="10"/>
      <c r="BE416" s="10"/>
      <c r="BF416" s="10"/>
      <c r="BG416" s="10"/>
      <c r="BH416" s="10"/>
      <c r="BI416" s="10"/>
      <c r="BJ416" s="10"/>
      <c r="BK416" s="10"/>
      <c r="BL416" s="10"/>
      <c r="BM416" s="10"/>
      <c r="BN416" s="10"/>
      <c r="BO416" s="10"/>
      <c r="BP416" s="10"/>
      <c r="BQ416" s="10"/>
      <c r="BR416" s="10"/>
      <c r="BS416" s="10"/>
      <c r="BT416" s="10"/>
      <c r="BU416" s="10"/>
    </row>
    <row r="417" spans="15:73" x14ac:dyDescent="0.2"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"/>
      <c r="BC417" s="10"/>
      <c r="BD417" s="10"/>
      <c r="BE417" s="10"/>
      <c r="BF417" s="10"/>
      <c r="BG417" s="10"/>
      <c r="BH417" s="10"/>
      <c r="BI417" s="10"/>
      <c r="BJ417" s="10"/>
      <c r="BK417" s="10"/>
      <c r="BL417" s="10"/>
      <c r="BM417" s="10"/>
      <c r="BN417" s="10"/>
      <c r="BO417" s="10"/>
      <c r="BP417" s="10"/>
      <c r="BQ417" s="10"/>
      <c r="BR417" s="10"/>
      <c r="BS417" s="10"/>
      <c r="BT417" s="10"/>
      <c r="BU417" s="10"/>
    </row>
    <row r="418" spans="15:73" x14ac:dyDescent="0.2"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"/>
      <c r="BC418" s="10"/>
      <c r="BD418" s="10"/>
      <c r="BE418" s="10"/>
      <c r="BF418" s="10"/>
      <c r="BG418" s="10"/>
      <c r="BH418" s="10"/>
      <c r="BI418" s="10"/>
      <c r="BJ418" s="10"/>
      <c r="BK418" s="10"/>
      <c r="BL418" s="10"/>
      <c r="BM418" s="10"/>
      <c r="BN418" s="10"/>
      <c r="BO418" s="10"/>
      <c r="BP418" s="10"/>
      <c r="BQ418" s="10"/>
      <c r="BR418" s="10"/>
      <c r="BS418" s="10"/>
      <c r="BT418" s="10"/>
      <c r="BU418" s="10"/>
    </row>
    <row r="419" spans="15:73" x14ac:dyDescent="0.2"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0"/>
      <c r="BB419" s="10"/>
      <c r="BC419" s="10"/>
      <c r="BD419" s="10"/>
      <c r="BE419" s="10"/>
      <c r="BF419" s="10"/>
      <c r="BG419" s="10"/>
      <c r="BH419" s="10"/>
      <c r="BI419" s="10"/>
      <c r="BJ419" s="10"/>
      <c r="BK419" s="10"/>
      <c r="BL419" s="10"/>
      <c r="BM419" s="10"/>
      <c r="BN419" s="10"/>
      <c r="BO419" s="10"/>
      <c r="BP419" s="10"/>
      <c r="BQ419" s="10"/>
      <c r="BR419" s="10"/>
      <c r="BS419" s="10"/>
      <c r="BT419" s="10"/>
      <c r="BU419" s="10"/>
    </row>
    <row r="420" spans="15:73" x14ac:dyDescent="0.2"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"/>
      <c r="BC420" s="10"/>
      <c r="BD420" s="10"/>
      <c r="BE420" s="10"/>
      <c r="BF420" s="10"/>
      <c r="BG420" s="10"/>
      <c r="BH420" s="10"/>
      <c r="BI420" s="10"/>
      <c r="BJ420" s="10"/>
      <c r="BK420" s="10"/>
      <c r="BL420" s="10"/>
      <c r="BM420" s="10"/>
      <c r="BN420" s="10"/>
      <c r="BO420" s="10"/>
      <c r="BP420" s="10"/>
      <c r="BQ420" s="10"/>
      <c r="BR420" s="10"/>
      <c r="BS420" s="10"/>
      <c r="BT420" s="10"/>
      <c r="BU420" s="10"/>
    </row>
    <row r="421" spans="15:73" x14ac:dyDescent="0.2"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"/>
      <c r="BC421" s="10"/>
      <c r="BD421" s="10"/>
      <c r="BE421" s="10"/>
      <c r="BF421" s="10"/>
      <c r="BG421" s="10"/>
      <c r="BH421" s="10"/>
      <c r="BI421" s="10"/>
      <c r="BJ421" s="10"/>
      <c r="BK421" s="10"/>
      <c r="BL421" s="10"/>
      <c r="BM421" s="10"/>
      <c r="BN421" s="10"/>
      <c r="BO421" s="10"/>
      <c r="BP421" s="10"/>
      <c r="BQ421" s="10"/>
      <c r="BR421" s="10"/>
      <c r="BS421" s="10"/>
      <c r="BT421" s="10"/>
      <c r="BU421" s="10"/>
    </row>
    <row r="422" spans="15:73" x14ac:dyDescent="0.2"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"/>
      <c r="BC422" s="10"/>
      <c r="BD422" s="10"/>
      <c r="BE422" s="10"/>
      <c r="BF422" s="10"/>
      <c r="BG422" s="10"/>
      <c r="BH422" s="10"/>
      <c r="BI422" s="10"/>
      <c r="BJ422" s="10"/>
      <c r="BK422" s="10"/>
      <c r="BL422" s="10"/>
      <c r="BM422" s="10"/>
      <c r="BN422" s="10"/>
      <c r="BO422" s="10"/>
      <c r="BP422" s="10"/>
      <c r="BQ422" s="10"/>
      <c r="BR422" s="10"/>
      <c r="BS422" s="10"/>
      <c r="BT422" s="10"/>
      <c r="BU422" s="10"/>
    </row>
    <row r="423" spans="15:73" x14ac:dyDescent="0.2"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"/>
      <c r="BC423" s="10"/>
      <c r="BD423" s="10"/>
      <c r="BE423" s="10"/>
      <c r="BF423" s="10"/>
      <c r="BG423" s="10"/>
      <c r="BH423" s="10"/>
      <c r="BI423" s="10"/>
      <c r="BJ423" s="10"/>
      <c r="BK423" s="10"/>
      <c r="BL423" s="10"/>
      <c r="BM423" s="10"/>
      <c r="BN423" s="10"/>
      <c r="BO423" s="10"/>
      <c r="BP423" s="10"/>
      <c r="BQ423" s="10"/>
      <c r="BR423" s="10"/>
      <c r="BS423" s="10"/>
      <c r="BT423" s="10"/>
      <c r="BU423" s="10"/>
    </row>
    <row r="424" spans="15:73" x14ac:dyDescent="0.2"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"/>
      <c r="BC424" s="10"/>
      <c r="BD424" s="10"/>
      <c r="BE424" s="10"/>
      <c r="BF424" s="10"/>
      <c r="BG424" s="10"/>
      <c r="BH424" s="10"/>
      <c r="BI424" s="10"/>
      <c r="BJ424" s="10"/>
      <c r="BK424" s="10"/>
      <c r="BL424" s="10"/>
      <c r="BM424" s="10"/>
      <c r="BN424" s="10"/>
      <c r="BO424" s="10"/>
      <c r="BP424" s="10"/>
      <c r="BQ424" s="10"/>
      <c r="BR424" s="10"/>
      <c r="BS424" s="10"/>
      <c r="BT424" s="10"/>
      <c r="BU424" s="10"/>
    </row>
    <row r="425" spans="15:73" x14ac:dyDescent="0.2"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"/>
      <c r="BC425" s="10"/>
      <c r="BD425" s="10"/>
      <c r="BE425" s="10"/>
      <c r="BF425" s="10"/>
      <c r="BG425" s="10"/>
      <c r="BH425" s="10"/>
      <c r="BI425" s="10"/>
      <c r="BJ425" s="10"/>
      <c r="BK425" s="10"/>
      <c r="BL425" s="10"/>
      <c r="BM425" s="10"/>
      <c r="BN425" s="10"/>
      <c r="BO425" s="10"/>
      <c r="BP425" s="10"/>
      <c r="BQ425" s="10"/>
      <c r="BR425" s="10"/>
      <c r="BS425" s="10"/>
      <c r="BT425" s="10"/>
      <c r="BU425" s="10"/>
    </row>
    <row r="426" spans="15:73" x14ac:dyDescent="0.2"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"/>
      <c r="BC426" s="10"/>
      <c r="BD426" s="10"/>
      <c r="BE426" s="10"/>
      <c r="BF426" s="10"/>
      <c r="BG426" s="10"/>
      <c r="BH426" s="10"/>
      <c r="BI426" s="10"/>
      <c r="BJ426" s="10"/>
      <c r="BK426" s="10"/>
      <c r="BL426" s="10"/>
      <c r="BM426" s="10"/>
      <c r="BN426" s="10"/>
      <c r="BO426" s="10"/>
      <c r="BP426" s="10"/>
      <c r="BQ426" s="10"/>
      <c r="BR426" s="10"/>
      <c r="BS426" s="10"/>
      <c r="BT426" s="10"/>
      <c r="BU426" s="10"/>
    </row>
    <row r="427" spans="15:73" x14ac:dyDescent="0.2"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0"/>
      <c r="BB427" s="10"/>
      <c r="BC427" s="10"/>
      <c r="BD427" s="10"/>
      <c r="BE427" s="10"/>
      <c r="BF427" s="10"/>
      <c r="BG427" s="10"/>
      <c r="BH427" s="10"/>
      <c r="BI427" s="10"/>
      <c r="BJ427" s="10"/>
      <c r="BK427" s="10"/>
      <c r="BL427" s="10"/>
      <c r="BM427" s="10"/>
      <c r="BN427" s="10"/>
      <c r="BO427" s="10"/>
      <c r="BP427" s="10"/>
      <c r="BQ427" s="10"/>
      <c r="BR427" s="10"/>
      <c r="BS427" s="10"/>
      <c r="BT427" s="10"/>
      <c r="BU427" s="10"/>
    </row>
    <row r="428" spans="15:73" x14ac:dyDescent="0.2"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"/>
      <c r="BC428" s="10"/>
      <c r="BD428" s="10"/>
      <c r="BE428" s="10"/>
      <c r="BF428" s="10"/>
      <c r="BG428" s="10"/>
      <c r="BH428" s="10"/>
      <c r="BI428" s="10"/>
      <c r="BJ428" s="10"/>
      <c r="BK428" s="10"/>
      <c r="BL428" s="10"/>
      <c r="BM428" s="10"/>
      <c r="BN428" s="10"/>
      <c r="BO428" s="10"/>
      <c r="BP428" s="10"/>
      <c r="BQ428" s="10"/>
      <c r="BR428" s="10"/>
      <c r="BS428" s="10"/>
      <c r="BT428" s="10"/>
      <c r="BU428" s="10"/>
    </row>
    <row r="429" spans="15:73" x14ac:dyDescent="0.2"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0"/>
      <c r="BB429" s="10"/>
      <c r="BC429" s="10"/>
      <c r="BD429" s="10"/>
      <c r="BE429" s="10"/>
      <c r="BF429" s="10"/>
      <c r="BG429" s="10"/>
      <c r="BH429" s="10"/>
      <c r="BI429" s="10"/>
      <c r="BJ429" s="10"/>
      <c r="BK429" s="10"/>
      <c r="BL429" s="10"/>
      <c r="BM429" s="10"/>
      <c r="BN429" s="10"/>
      <c r="BO429" s="10"/>
      <c r="BP429" s="10"/>
      <c r="BQ429" s="10"/>
      <c r="BR429" s="10"/>
      <c r="BS429" s="10"/>
      <c r="BT429" s="10"/>
      <c r="BU429" s="10"/>
    </row>
    <row r="430" spans="15:73" x14ac:dyDescent="0.2"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0"/>
      <c r="BB430" s="10"/>
      <c r="BC430" s="10"/>
      <c r="BD430" s="10"/>
      <c r="BE430" s="10"/>
      <c r="BF430" s="10"/>
      <c r="BG430" s="10"/>
      <c r="BH430" s="10"/>
      <c r="BI430" s="10"/>
      <c r="BJ430" s="10"/>
      <c r="BK430" s="10"/>
      <c r="BL430" s="10"/>
      <c r="BM430" s="10"/>
      <c r="BN430" s="10"/>
      <c r="BO430" s="10"/>
      <c r="BP430" s="10"/>
      <c r="BQ430" s="10"/>
      <c r="BR430" s="10"/>
      <c r="BS430" s="10"/>
      <c r="BT430" s="10"/>
      <c r="BU430" s="10"/>
    </row>
    <row r="431" spans="15:73" x14ac:dyDescent="0.2"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0"/>
      <c r="BB431" s="10"/>
      <c r="BC431" s="10"/>
      <c r="BD431" s="10"/>
      <c r="BE431" s="10"/>
      <c r="BF431" s="10"/>
      <c r="BG431" s="10"/>
      <c r="BH431" s="10"/>
      <c r="BI431" s="10"/>
      <c r="BJ431" s="10"/>
      <c r="BK431" s="10"/>
      <c r="BL431" s="10"/>
      <c r="BM431" s="10"/>
      <c r="BN431" s="10"/>
      <c r="BO431" s="10"/>
      <c r="BP431" s="10"/>
      <c r="BQ431" s="10"/>
      <c r="BR431" s="10"/>
      <c r="BS431" s="10"/>
      <c r="BT431" s="10"/>
      <c r="BU431" s="10"/>
    </row>
    <row r="432" spans="15:73" x14ac:dyDescent="0.2"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"/>
      <c r="BC432" s="10"/>
      <c r="BD432" s="10"/>
      <c r="BE432" s="10"/>
      <c r="BF432" s="10"/>
      <c r="BG432" s="10"/>
      <c r="BH432" s="10"/>
      <c r="BI432" s="10"/>
      <c r="BJ432" s="10"/>
      <c r="BK432" s="10"/>
      <c r="BL432" s="10"/>
      <c r="BM432" s="10"/>
      <c r="BN432" s="10"/>
      <c r="BO432" s="10"/>
      <c r="BP432" s="10"/>
      <c r="BQ432" s="10"/>
      <c r="BR432" s="10"/>
      <c r="BS432" s="10"/>
      <c r="BT432" s="10"/>
      <c r="BU432" s="10"/>
    </row>
    <row r="433" spans="15:73" x14ac:dyDescent="0.2"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"/>
      <c r="BC433" s="10"/>
      <c r="BD433" s="10"/>
      <c r="BE433" s="10"/>
      <c r="BF433" s="10"/>
      <c r="BG433" s="10"/>
      <c r="BH433" s="10"/>
      <c r="BI433" s="10"/>
      <c r="BJ433" s="10"/>
      <c r="BK433" s="10"/>
      <c r="BL433" s="10"/>
      <c r="BM433" s="10"/>
      <c r="BN433" s="10"/>
      <c r="BO433" s="10"/>
      <c r="BP433" s="10"/>
      <c r="BQ433" s="10"/>
      <c r="BR433" s="10"/>
      <c r="BS433" s="10"/>
      <c r="BT433" s="10"/>
      <c r="BU433" s="10"/>
    </row>
    <row r="434" spans="15:73" x14ac:dyDescent="0.2"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"/>
      <c r="BC434" s="10"/>
      <c r="BD434" s="10"/>
      <c r="BE434" s="10"/>
      <c r="BF434" s="10"/>
      <c r="BG434" s="10"/>
      <c r="BH434" s="10"/>
      <c r="BI434" s="10"/>
      <c r="BJ434" s="10"/>
      <c r="BK434" s="10"/>
      <c r="BL434" s="10"/>
      <c r="BM434" s="10"/>
      <c r="BN434" s="10"/>
      <c r="BO434" s="10"/>
      <c r="BP434" s="10"/>
      <c r="BQ434" s="10"/>
      <c r="BR434" s="10"/>
      <c r="BS434" s="10"/>
      <c r="BT434" s="10"/>
      <c r="BU434" s="10"/>
    </row>
    <row r="435" spans="15:73" x14ac:dyDescent="0.2"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"/>
      <c r="BC435" s="10"/>
      <c r="BD435" s="10"/>
      <c r="BE435" s="10"/>
      <c r="BF435" s="10"/>
      <c r="BG435" s="10"/>
      <c r="BH435" s="10"/>
      <c r="BI435" s="10"/>
      <c r="BJ435" s="10"/>
      <c r="BK435" s="10"/>
      <c r="BL435" s="10"/>
      <c r="BM435" s="10"/>
      <c r="BN435" s="10"/>
      <c r="BO435" s="10"/>
      <c r="BP435" s="10"/>
      <c r="BQ435" s="10"/>
      <c r="BR435" s="10"/>
      <c r="BS435" s="10"/>
      <c r="BT435" s="10"/>
      <c r="BU435" s="10"/>
    </row>
    <row r="436" spans="15:73" x14ac:dyDescent="0.2"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"/>
      <c r="BC436" s="10"/>
      <c r="BD436" s="10"/>
      <c r="BE436" s="10"/>
      <c r="BF436" s="10"/>
      <c r="BG436" s="10"/>
      <c r="BH436" s="10"/>
      <c r="BI436" s="10"/>
      <c r="BJ436" s="10"/>
      <c r="BK436" s="10"/>
      <c r="BL436" s="10"/>
      <c r="BM436" s="10"/>
      <c r="BN436" s="10"/>
      <c r="BO436" s="10"/>
      <c r="BP436" s="10"/>
      <c r="BQ436" s="10"/>
      <c r="BR436" s="10"/>
      <c r="BS436" s="10"/>
      <c r="BT436" s="10"/>
      <c r="BU436" s="10"/>
    </row>
    <row r="437" spans="15:73" x14ac:dyDescent="0.2"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"/>
      <c r="BC437" s="10"/>
      <c r="BD437" s="10"/>
      <c r="BE437" s="10"/>
      <c r="BF437" s="10"/>
      <c r="BG437" s="10"/>
      <c r="BH437" s="10"/>
      <c r="BI437" s="10"/>
      <c r="BJ437" s="10"/>
      <c r="BK437" s="10"/>
      <c r="BL437" s="10"/>
      <c r="BM437" s="10"/>
      <c r="BN437" s="10"/>
      <c r="BO437" s="10"/>
      <c r="BP437" s="10"/>
      <c r="BQ437" s="10"/>
      <c r="BR437" s="10"/>
      <c r="BS437" s="10"/>
      <c r="BT437" s="10"/>
      <c r="BU437" s="10"/>
    </row>
    <row r="438" spans="15:73" x14ac:dyDescent="0.2"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"/>
      <c r="BC438" s="10"/>
      <c r="BD438" s="10"/>
      <c r="BE438" s="10"/>
      <c r="BF438" s="10"/>
      <c r="BG438" s="10"/>
      <c r="BH438" s="10"/>
      <c r="BI438" s="10"/>
      <c r="BJ438" s="10"/>
      <c r="BK438" s="10"/>
      <c r="BL438" s="10"/>
      <c r="BM438" s="10"/>
      <c r="BN438" s="10"/>
      <c r="BO438" s="10"/>
      <c r="BP438" s="10"/>
      <c r="BQ438" s="10"/>
      <c r="BR438" s="10"/>
      <c r="BS438" s="10"/>
      <c r="BT438" s="10"/>
      <c r="BU438" s="10"/>
    </row>
    <row r="439" spans="15:73" x14ac:dyDescent="0.2"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0"/>
      <c r="BB439" s="10"/>
      <c r="BC439" s="10"/>
      <c r="BD439" s="10"/>
      <c r="BE439" s="10"/>
      <c r="BF439" s="10"/>
      <c r="BG439" s="10"/>
      <c r="BH439" s="10"/>
      <c r="BI439" s="10"/>
      <c r="BJ439" s="10"/>
      <c r="BK439" s="10"/>
      <c r="BL439" s="10"/>
      <c r="BM439" s="10"/>
      <c r="BN439" s="10"/>
      <c r="BO439" s="10"/>
      <c r="BP439" s="10"/>
      <c r="BQ439" s="10"/>
      <c r="BR439" s="10"/>
      <c r="BS439" s="10"/>
      <c r="BT439" s="10"/>
      <c r="BU439" s="10"/>
    </row>
    <row r="440" spans="15:73" x14ac:dyDescent="0.2"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"/>
      <c r="BC440" s="10"/>
      <c r="BD440" s="10"/>
      <c r="BE440" s="10"/>
      <c r="BF440" s="10"/>
      <c r="BG440" s="10"/>
      <c r="BH440" s="10"/>
      <c r="BI440" s="10"/>
      <c r="BJ440" s="10"/>
      <c r="BK440" s="10"/>
      <c r="BL440" s="10"/>
      <c r="BM440" s="10"/>
      <c r="BN440" s="10"/>
      <c r="BO440" s="10"/>
      <c r="BP440" s="10"/>
      <c r="BQ440" s="10"/>
      <c r="BR440" s="10"/>
      <c r="BS440" s="10"/>
      <c r="BT440" s="10"/>
      <c r="BU440" s="10"/>
    </row>
    <row r="441" spans="15:73" x14ac:dyDescent="0.2"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0"/>
      <c r="BB441" s="10"/>
      <c r="BC441" s="10"/>
      <c r="BD441" s="10"/>
      <c r="BE441" s="10"/>
      <c r="BF441" s="10"/>
      <c r="BG441" s="10"/>
      <c r="BH441" s="10"/>
      <c r="BI441" s="10"/>
      <c r="BJ441" s="10"/>
      <c r="BK441" s="10"/>
      <c r="BL441" s="10"/>
      <c r="BM441" s="10"/>
      <c r="BN441" s="10"/>
      <c r="BO441" s="10"/>
      <c r="BP441" s="10"/>
      <c r="BQ441" s="10"/>
      <c r="BR441" s="10"/>
      <c r="BS441" s="10"/>
      <c r="BT441" s="10"/>
      <c r="BU441" s="10"/>
    </row>
    <row r="442" spans="15:73" x14ac:dyDescent="0.2"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0"/>
      <c r="BB442" s="10"/>
      <c r="BC442" s="10"/>
      <c r="BD442" s="10"/>
      <c r="BE442" s="10"/>
      <c r="BF442" s="10"/>
      <c r="BG442" s="10"/>
      <c r="BH442" s="10"/>
      <c r="BI442" s="10"/>
      <c r="BJ442" s="10"/>
      <c r="BK442" s="10"/>
      <c r="BL442" s="10"/>
      <c r="BM442" s="10"/>
      <c r="BN442" s="10"/>
      <c r="BO442" s="10"/>
      <c r="BP442" s="10"/>
      <c r="BQ442" s="10"/>
      <c r="BR442" s="10"/>
      <c r="BS442" s="10"/>
      <c r="BT442" s="10"/>
      <c r="BU442" s="10"/>
    </row>
    <row r="443" spans="15:73" x14ac:dyDescent="0.2"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"/>
      <c r="BC443" s="10"/>
      <c r="BD443" s="10"/>
      <c r="BE443" s="10"/>
      <c r="BF443" s="10"/>
      <c r="BG443" s="10"/>
      <c r="BH443" s="10"/>
      <c r="BI443" s="10"/>
      <c r="BJ443" s="10"/>
      <c r="BK443" s="10"/>
      <c r="BL443" s="10"/>
      <c r="BM443" s="10"/>
      <c r="BN443" s="10"/>
      <c r="BO443" s="10"/>
      <c r="BP443" s="10"/>
      <c r="BQ443" s="10"/>
      <c r="BR443" s="10"/>
      <c r="BS443" s="10"/>
      <c r="BT443" s="10"/>
      <c r="BU443" s="10"/>
    </row>
    <row r="444" spans="15:73" x14ac:dyDescent="0.2"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0"/>
      <c r="BB444" s="10"/>
      <c r="BC444" s="10"/>
      <c r="BD444" s="10"/>
      <c r="BE444" s="10"/>
      <c r="BF444" s="10"/>
      <c r="BG444" s="10"/>
      <c r="BH444" s="10"/>
      <c r="BI444" s="10"/>
      <c r="BJ444" s="10"/>
      <c r="BK444" s="10"/>
      <c r="BL444" s="10"/>
      <c r="BM444" s="10"/>
      <c r="BN444" s="10"/>
      <c r="BO444" s="10"/>
      <c r="BP444" s="10"/>
      <c r="BQ444" s="10"/>
      <c r="BR444" s="10"/>
      <c r="BS444" s="10"/>
      <c r="BT444" s="10"/>
      <c r="BU444" s="10"/>
    </row>
    <row r="445" spans="15:73" x14ac:dyDescent="0.2"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"/>
      <c r="BC445" s="10"/>
      <c r="BD445" s="10"/>
      <c r="BE445" s="10"/>
      <c r="BF445" s="10"/>
      <c r="BG445" s="10"/>
      <c r="BH445" s="10"/>
      <c r="BI445" s="10"/>
      <c r="BJ445" s="10"/>
      <c r="BK445" s="10"/>
      <c r="BL445" s="10"/>
      <c r="BM445" s="10"/>
      <c r="BN445" s="10"/>
      <c r="BO445" s="10"/>
      <c r="BP445" s="10"/>
      <c r="BQ445" s="10"/>
      <c r="BR445" s="10"/>
      <c r="BS445" s="10"/>
      <c r="BT445" s="10"/>
      <c r="BU445" s="10"/>
    </row>
    <row r="446" spans="15:73" x14ac:dyDescent="0.2"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0"/>
      <c r="BB446" s="10"/>
      <c r="BC446" s="10"/>
      <c r="BD446" s="10"/>
      <c r="BE446" s="10"/>
      <c r="BF446" s="10"/>
      <c r="BG446" s="10"/>
      <c r="BH446" s="10"/>
      <c r="BI446" s="10"/>
      <c r="BJ446" s="10"/>
      <c r="BK446" s="10"/>
      <c r="BL446" s="10"/>
      <c r="BM446" s="10"/>
      <c r="BN446" s="10"/>
      <c r="BO446" s="10"/>
      <c r="BP446" s="10"/>
      <c r="BQ446" s="10"/>
      <c r="BR446" s="10"/>
      <c r="BS446" s="10"/>
      <c r="BT446" s="10"/>
      <c r="BU446" s="10"/>
    </row>
    <row r="447" spans="15:73" x14ac:dyDescent="0.2"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"/>
      <c r="BC447" s="10"/>
      <c r="BD447" s="10"/>
      <c r="BE447" s="10"/>
      <c r="BF447" s="10"/>
      <c r="BG447" s="10"/>
      <c r="BH447" s="10"/>
      <c r="BI447" s="10"/>
      <c r="BJ447" s="10"/>
      <c r="BK447" s="10"/>
      <c r="BL447" s="10"/>
      <c r="BM447" s="10"/>
      <c r="BN447" s="10"/>
      <c r="BO447" s="10"/>
      <c r="BP447" s="10"/>
      <c r="BQ447" s="10"/>
      <c r="BR447" s="10"/>
      <c r="BS447" s="10"/>
      <c r="BT447" s="10"/>
      <c r="BU447" s="10"/>
    </row>
    <row r="448" spans="15:73" x14ac:dyDescent="0.2"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0"/>
      <c r="BB448" s="10"/>
      <c r="BC448" s="10"/>
      <c r="BD448" s="10"/>
      <c r="BE448" s="10"/>
      <c r="BF448" s="10"/>
      <c r="BG448" s="10"/>
      <c r="BH448" s="10"/>
      <c r="BI448" s="10"/>
      <c r="BJ448" s="10"/>
      <c r="BK448" s="10"/>
      <c r="BL448" s="10"/>
      <c r="BM448" s="10"/>
      <c r="BN448" s="10"/>
      <c r="BO448" s="10"/>
      <c r="BP448" s="10"/>
      <c r="BQ448" s="10"/>
      <c r="BR448" s="10"/>
      <c r="BS448" s="10"/>
      <c r="BT448" s="10"/>
      <c r="BU448" s="10"/>
    </row>
    <row r="449" spans="15:73" x14ac:dyDescent="0.2"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0"/>
      <c r="BB449" s="10"/>
      <c r="BC449" s="10"/>
      <c r="BD449" s="10"/>
      <c r="BE449" s="10"/>
      <c r="BF449" s="10"/>
      <c r="BG449" s="10"/>
      <c r="BH449" s="10"/>
      <c r="BI449" s="10"/>
      <c r="BJ449" s="10"/>
      <c r="BK449" s="10"/>
      <c r="BL449" s="10"/>
      <c r="BM449" s="10"/>
      <c r="BN449" s="10"/>
      <c r="BO449" s="10"/>
      <c r="BP449" s="10"/>
      <c r="BQ449" s="10"/>
      <c r="BR449" s="10"/>
      <c r="BS449" s="10"/>
      <c r="BT449" s="10"/>
      <c r="BU449" s="10"/>
    </row>
    <row r="450" spans="15:73" x14ac:dyDescent="0.2"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"/>
      <c r="BC450" s="10"/>
      <c r="BD450" s="10"/>
      <c r="BE450" s="10"/>
      <c r="BF450" s="10"/>
      <c r="BG450" s="10"/>
      <c r="BH450" s="10"/>
      <c r="BI450" s="10"/>
      <c r="BJ450" s="10"/>
      <c r="BK450" s="10"/>
      <c r="BL450" s="10"/>
      <c r="BM450" s="10"/>
      <c r="BN450" s="10"/>
      <c r="BO450" s="10"/>
      <c r="BP450" s="10"/>
      <c r="BQ450" s="10"/>
      <c r="BR450" s="10"/>
      <c r="BS450" s="10"/>
      <c r="BT450" s="10"/>
      <c r="BU450" s="10"/>
    </row>
    <row r="451" spans="15:73" x14ac:dyDescent="0.2"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"/>
      <c r="BC451" s="10"/>
      <c r="BD451" s="10"/>
      <c r="BE451" s="10"/>
      <c r="BF451" s="10"/>
      <c r="BG451" s="10"/>
      <c r="BH451" s="10"/>
      <c r="BI451" s="10"/>
      <c r="BJ451" s="10"/>
      <c r="BK451" s="10"/>
      <c r="BL451" s="10"/>
      <c r="BM451" s="10"/>
      <c r="BN451" s="10"/>
      <c r="BO451" s="10"/>
      <c r="BP451" s="10"/>
      <c r="BQ451" s="10"/>
      <c r="BR451" s="10"/>
      <c r="BS451" s="10"/>
      <c r="BT451" s="10"/>
      <c r="BU451" s="10"/>
    </row>
    <row r="452" spans="15:73" x14ac:dyDescent="0.2"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0"/>
      <c r="BB452" s="10"/>
      <c r="BC452" s="10"/>
      <c r="BD452" s="10"/>
      <c r="BE452" s="10"/>
      <c r="BF452" s="10"/>
      <c r="BG452" s="10"/>
      <c r="BH452" s="10"/>
      <c r="BI452" s="10"/>
      <c r="BJ452" s="10"/>
      <c r="BK452" s="10"/>
      <c r="BL452" s="10"/>
      <c r="BM452" s="10"/>
      <c r="BN452" s="10"/>
      <c r="BO452" s="10"/>
      <c r="BP452" s="10"/>
      <c r="BQ452" s="10"/>
      <c r="BR452" s="10"/>
      <c r="BS452" s="10"/>
      <c r="BT452" s="10"/>
      <c r="BU452" s="10"/>
    </row>
    <row r="453" spans="15:73" x14ac:dyDescent="0.2"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0"/>
      <c r="BB453" s="10"/>
      <c r="BC453" s="10"/>
      <c r="BD453" s="10"/>
      <c r="BE453" s="10"/>
      <c r="BF453" s="10"/>
      <c r="BG453" s="10"/>
      <c r="BH453" s="10"/>
      <c r="BI453" s="10"/>
      <c r="BJ453" s="10"/>
      <c r="BK453" s="10"/>
      <c r="BL453" s="10"/>
      <c r="BM453" s="10"/>
      <c r="BN453" s="10"/>
      <c r="BO453" s="10"/>
      <c r="BP453" s="10"/>
      <c r="BQ453" s="10"/>
      <c r="BR453" s="10"/>
      <c r="BS453" s="10"/>
      <c r="BT453" s="10"/>
      <c r="BU453" s="10"/>
    </row>
    <row r="454" spans="15:73" x14ac:dyDescent="0.2"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"/>
      <c r="BC454" s="10"/>
      <c r="BD454" s="10"/>
      <c r="BE454" s="10"/>
      <c r="BF454" s="10"/>
      <c r="BG454" s="10"/>
      <c r="BH454" s="10"/>
      <c r="BI454" s="10"/>
      <c r="BJ454" s="10"/>
      <c r="BK454" s="10"/>
      <c r="BL454" s="10"/>
      <c r="BM454" s="10"/>
      <c r="BN454" s="10"/>
      <c r="BO454" s="10"/>
      <c r="BP454" s="10"/>
      <c r="BQ454" s="10"/>
      <c r="BR454" s="10"/>
      <c r="BS454" s="10"/>
      <c r="BT454" s="10"/>
      <c r="BU454" s="10"/>
    </row>
    <row r="455" spans="15:73" x14ac:dyDescent="0.2"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0"/>
      <c r="BB455" s="10"/>
      <c r="BC455" s="10"/>
      <c r="BD455" s="10"/>
      <c r="BE455" s="10"/>
      <c r="BF455" s="10"/>
      <c r="BG455" s="10"/>
      <c r="BH455" s="10"/>
      <c r="BI455" s="10"/>
      <c r="BJ455" s="10"/>
      <c r="BK455" s="10"/>
      <c r="BL455" s="10"/>
      <c r="BM455" s="10"/>
      <c r="BN455" s="10"/>
      <c r="BO455" s="10"/>
      <c r="BP455" s="10"/>
      <c r="BQ455" s="10"/>
      <c r="BR455" s="10"/>
      <c r="BS455" s="10"/>
      <c r="BT455" s="10"/>
      <c r="BU455" s="10"/>
    </row>
    <row r="456" spans="15:73" x14ac:dyDescent="0.2"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0"/>
      <c r="BB456" s="10"/>
      <c r="BC456" s="10"/>
      <c r="BD456" s="10"/>
      <c r="BE456" s="10"/>
      <c r="BF456" s="10"/>
      <c r="BG456" s="10"/>
      <c r="BH456" s="10"/>
      <c r="BI456" s="10"/>
      <c r="BJ456" s="10"/>
      <c r="BK456" s="10"/>
      <c r="BL456" s="10"/>
      <c r="BM456" s="10"/>
      <c r="BN456" s="10"/>
      <c r="BO456" s="10"/>
      <c r="BP456" s="10"/>
      <c r="BQ456" s="10"/>
      <c r="BR456" s="10"/>
      <c r="BS456" s="10"/>
      <c r="BT456" s="10"/>
      <c r="BU456" s="10"/>
    </row>
    <row r="457" spans="15:73" x14ac:dyDescent="0.2"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"/>
      <c r="BC457" s="10"/>
      <c r="BD457" s="10"/>
      <c r="BE457" s="10"/>
      <c r="BF457" s="10"/>
      <c r="BG457" s="10"/>
      <c r="BH457" s="10"/>
      <c r="BI457" s="10"/>
      <c r="BJ457" s="10"/>
      <c r="BK457" s="10"/>
      <c r="BL457" s="10"/>
      <c r="BM457" s="10"/>
      <c r="BN457" s="10"/>
      <c r="BO457" s="10"/>
      <c r="BP457" s="10"/>
      <c r="BQ457" s="10"/>
      <c r="BR457" s="10"/>
      <c r="BS457" s="10"/>
      <c r="BT457" s="10"/>
      <c r="BU457" s="10"/>
    </row>
    <row r="458" spans="15:73" x14ac:dyDescent="0.2"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"/>
      <c r="BC458" s="10"/>
      <c r="BD458" s="10"/>
      <c r="BE458" s="10"/>
      <c r="BF458" s="10"/>
      <c r="BG458" s="10"/>
      <c r="BH458" s="10"/>
      <c r="BI458" s="10"/>
      <c r="BJ458" s="10"/>
      <c r="BK458" s="10"/>
      <c r="BL458" s="10"/>
      <c r="BM458" s="10"/>
      <c r="BN458" s="10"/>
      <c r="BO458" s="10"/>
      <c r="BP458" s="10"/>
      <c r="BQ458" s="10"/>
      <c r="BR458" s="10"/>
      <c r="BS458" s="10"/>
      <c r="BT458" s="10"/>
      <c r="BU458" s="10"/>
    </row>
    <row r="459" spans="15:73" x14ac:dyDescent="0.2"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"/>
      <c r="BC459" s="10"/>
      <c r="BD459" s="10"/>
      <c r="BE459" s="10"/>
      <c r="BF459" s="10"/>
      <c r="BG459" s="10"/>
      <c r="BH459" s="10"/>
      <c r="BI459" s="10"/>
      <c r="BJ459" s="10"/>
      <c r="BK459" s="10"/>
      <c r="BL459" s="10"/>
      <c r="BM459" s="10"/>
      <c r="BN459" s="10"/>
      <c r="BO459" s="10"/>
      <c r="BP459" s="10"/>
      <c r="BQ459" s="10"/>
      <c r="BR459" s="10"/>
      <c r="BS459" s="10"/>
      <c r="BT459" s="10"/>
      <c r="BU459" s="10"/>
    </row>
    <row r="460" spans="15:73" x14ac:dyDescent="0.2"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"/>
      <c r="BC460" s="10"/>
      <c r="BD460" s="10"/>
      <c r="BE460" s="10"/>
      <c r="BF460" s="10"/>
      <c r="BG460" s="10"/>
      <c r="BH460" s="10"/>
      <c r="BI460" s="10"/>
      <c r="BJ460" s="10"/>
      <c r="BK460" s="10"/>
      <c r="BL460" s="10"/>
      <c r="BM460" s="10"/>
      <c r="BN460" s="10"/>
      <c r="BO460" s="10"/>
      <c r="BP460" s="10"/>
      <c r="BQ460" s="10"/>
      <c r="BR460" s="10"/>
      <c r="BS460" s="10"/>
      <c r="BT460" s="10"/>
      <c r="BU460" s="10"/>
    </row>
    <row r="461" spans="15:73" x14ac:dyDescent="0.2"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"/>
      <c r="BC461" s="10"/>
      <c r="BD461" s="10"/>
      <c r="BE461" s="10"/>
      <c r="BF461" s="10"/>
      <c r="BG461" s="10"/>
      <c r="BH461" s="10"/>
      <c r="BI461" s="10"/>
      <c r="BJ461" s="10"/>
      <c r="BK461" s="10"/>
      <c r="BL461" s="10"/>
      <c r="BM461" s="10"/>
      <c r="BN461" s="10"/>
      <c r="BO461" s="10"/>
      <c r="BP461" s="10"/>
      <c r="BQ461" s="10"/>
      <c r="BR461" s="10"/>
      <c r="BS461" s="10"/>
      <c r="BT461" s="10"/>
      <c r="BU461" s="10"/>
    </row>
    <row r="462" spans="15:73" x14ac:dyDescent="0.2"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"/>
      <c r="BC462" s="10"/>
      <c r="BD462" s="10"/>
      <c r="BE462" s="10"/>
      <c r="BF462" s="10"/>
      <c r="BG462" s="10"/>
      <c r="BH462" s="10"/>
      <c r="BI462" s="10"/>
      <c r="BJ462" s="10"/>
      <c r="BK462" s="10"/>
      <c r="BL462" s="10"/>
      <c r="BM462" s="10"/>
      <c r="BN462" s="10"/>
      <c r="BO462" s="10"/>
      <c r="BP462" s="10"/>
      <c r="BQ462" s="10"/>
      <c r="BR462" s="10"/>
      <c r="BS462" s="10"/>
      <c r="BT462" s="10"/>
      <c r="BU462" s="10"/>
    </row>
    <row r="463" spans="15:73" x14ac:dyDescent="0.2"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"/>
      <c r="BC463" s="10"/>
      <c r="BD463" s="10"/>
      <c r="BE463" s="10"/>
      <c r="BF463" s="10"/>
      <c r="BG463" s="10"/>
      <c r="BH463" s="10"/>
      <c r="BI463" s="10"/>
      <c r="BJ463" s="10"/>
      <c r="BK463" s="10"/>
      <c r="BL463" s="10"/>
      <c r="BM463" s="10"/>
      <c r="BN463" s="10"/>
      <c r="BO463" s="10"/>
      <c r="BP463" s="10"/>
      <c r="BQ463" s="10"/>
      <c r="BR463" s="10"/>
      <c r="BS463" s="10"/>
      <c r="BT463" s="10"/>
      <c r="BU463" s="10"/>
    </row>
    <row r="464" spans="15:73" x14ac:dyDescent="0.2"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0"/>
      <c r="BB464" s="10"/>
      <c r="BC464" s="10"/>
      <c r="BD464" s="10"/>
      <c r="BE464" s="10"/>
      <c r="BF464" s="10"/>
      <c r="BG464" s="10"/>
      <c r="BH464" s="10"/>
      <c r="BI464" s="10"/>
      <c r="BJ464" s="10"/>
      <c r="BK464" s="10"/>
      <c r="BL464" s="10"/>
      <c r="BM464" s="10"/>
      <c r="BN464" s="10"/>
      <c r="BO464" s="10"/>
      <c r="BP464" s="10"/>
      <c r="BQ464" s="10"/>
      <c r="BR464" s="10"/>
      <c r="BS464" s="10"/>
      <c r="BT464" s="10"/>
      <c r="BU464" s="10"/>
    </row>
    <row r="465" spans="15:73" x14ac:dyDescent="0.2"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0"/>
      <c r="BB465" s="10"/>
      <c r="BC465" s="10"/>
      <c r="BD465" s="10"/>
      <c r="BE465" s="10"/>
      <c r="BF465" s="10"/>
      <c r="BG465" s="10"/>
      <c r="BH465" s="10"/>
      <c r="BI465" s="10"/>
      <c r="BJ465" s="10"/>
      <c r="BK465" s="10"/>
      <c r="BL465" s="10"/>
      <c r="BM465" s="10"/>
      <c r="BN465" s="10"/>
      <c r="BO465" s="10"/>
      <c r="BP465" s="10"/>
      <c r="BQ465" s="10"/>
      <c r="BR465" s="10"/>
      <c r="BS465" s="10"/>
      <c r="BT465" s="10"/>
      <c r="BU465" s="10"/>
    </row>
    <row r="466" spans="15:73" x14ac:dyDescent="0.2"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0"/>
      <c r="BB466" s="10"/>
      <c r="BC466" s="10"/>
      <c r="BD466" s="10"/>
      <c r="BE466" s="10"/>
      <c r="BF466" s="10"/>
      <c r="BG466" s="10"/>
      <c r="BH466" s="10"/>
      <c r="BI466" s="10"/>
      <c r="BJ466" s="10"/>
      <c r="BK466" s="10"/>
      <c r="BL466" s="10"/>
      <c r="BM466" s="10"/>
      <c r="BN466" s="10"/>
      <c r="BO466" s="10"/>
      <c r="BP466" s="10"/>
      <c r="BQ466" s="10"/>
      <c r="BR466" s="10"/>
      <c r="BS466" s="10"/>
      <c r="BT466" s="10"/>
      <c r="BU466" s="10"/>
    </row>
    <row r="467" spans="15:73" x14ac:dyDescent="0.2"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0"/>
      <c r="BB467" s="10"/>
      <c r="BC467" s="10"/>
      <c r="BD467" s="10"/>
      <c r="BE467" s="10"/>
      <c r="BF467" s="10"/>
      <c r="BG467" s="10"/>
      <c r="BH467" s="10"/>
      <c r="BI467" s="10"/>
      <c r="BJ467" s="10"/>
      <c r="BK467" s="10"/>
      <c r="BL467" s="10"/>
      <c r="BM467" s="10"/>
      <c r="BN467" s="10"/>
      <c r="BO467" s="10"/>
      <c r="BP467" s="10"/>
      <c r="BQ467" s="10"/>
      <c r="BR467" s="10"/>
      <c r="BS467" s="10"/>
      <c r="BT467" s="10"/>
      <c r="BU467" s="10"/>
    </row>
    <row r="468" spans="15:73" x14ac:dyDescent="0.2"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"/>
      <c r="BC468" s="10"/>
      <c r="BD468" s="10"/>
      <c r="BE468" s="10"/>
      <c r="BF468" s="10"/>
      <c r="BG468" s="10"/>
      <c r="BH468" s="10"/>
      <c r="BI468" s="10"/>
      <c r="BJ468" s="10"/>
      <c r="BK468" s="10"/>
      <c r="BL468" s="10"/>
      <c r="BM468" s="10"/>
      <c r="BN468" s="10"/>
      <c r="BO468" s="10"/>
      <c r="BP468" s="10"/>
      <c r="BQ468" s="10"/>
      <c r="BR468" s="10"/>
      <c r="BS468" s="10"/>
      <c r="BT468" s="10"/>
      <c r="BU468" s="10"/>
    </row>
    <row r="469" spans="15:73" x14ac:dyDescent="0.2"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0"/>
      <c r="BB469" s="10"/>
      <c r="BC469" s="10"/>
      <c r="BD469" s="10"/>
      <c r="BE469" s="10"/>
      <c r="BF469" s="10"/>
      <c r="BG469" s="10"/>
      <c r="BH469" s="10"/>
      <c r="BI469" s="10"/>
      <c r="BJ469" s="10"/>
      <c r="BK469" s="10"/>
      <c r="BL469" s="10"/>
      <c r="BM469" s="10"/>
      <c r="BN469" s="10"/>
      <c r="BO469" s="10"/>
      <c r="BP469" s="10"/>
      <c r="BQ469" s="10"/>
      <c r="BR469" s="10"/>
      <c r="BS469" s="10"/>
      <c r="BT469" s="10"/>
      <c r="BU469" s="10"/>
    </row>
    <row r="470" spans="15:73" x14ac:dyDescent="0.2"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"/>
      <c r="BC470" s="10"/>
      <c r="BD470" s="10"/>
      <c r="BE470" s="10"/>
      <c r="BF470" s="10"/>
      <c r="BG470" s="10"/>
      <c r="BH470" s="10"/>
      <c r="BI470" s="10"/>
      <c r="BJ470" s="10"/>
      <c r="BK470" s="10"/>
      <c r="BL470" s="10"/>
      <c r="BM470" s="10"/>
      <c r="BN470" s="10"/>
      <c r="BO470" s="10"/>
      <c r="BP470" s="10"/>
      <c r="BQ470" s="10"/>
      <c r="BR470" s="10"/>
      <c r="BS470" s="10"/>
      <c r="BT470" s="10"/>
      <c r="BU470" s="10"/>
    </row>
    <row r="471" spans="15:73" x14ac:dyDescent="0.2"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"/>
      <c r="BC471" s="10"/>
      <c r="BD471" s="10"/>
      <c r="BE471" s="10"/>
      <c r="BF471" s="10"/>
      <c r="BG471" s="10"/>
      <c r="BH471" s="10"/>
      <c r="BI471" s="10"/>
      <c r="BJ471" s="10"/>
      <c r="BK471" s="10"/>
      <c r="BL471" s="10"/>
      <c r="BM471" s="10"/>
      <c r="BN471" s="10"/>
      <c r="BO471" s="10"/>
      <c r="BP471" s="10"/>
      <c r="BQ471" s="10"/>
      <c r="BR471" s="10"/>
      <c r="BS471" s="10"/>
      <c r="BT471" s="10"/>
      <c r="BU471" s="10"/>
    </row>
    <row r="472" spans="15:73" x14ac:dyDescent="0.2"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0"/>
      <c r="BB472" s="10"/>
      <c r="BC472" s="10"/>
      <c r="BD472" s="10"/>
      <c r="BE472" s="10"/>
      <c r="BF472" s="10"/>
      <c r="BG472" s="10"/>
      <c r="BH472" s="10"/>
      <c r="BI472" s="10"/>
      <c r="BJ472" s="10"/>
      <c r="BK472" s="10"/>
      <c r="BL472" s="10"/>
      <c r="BM472" s="10"/>
      <c r="BN472" s="10"/>
      <c r="BO472" s="10"/>
      <c r="BP472" s="10"/>
      <c r="BQ472" s="10"/>
      <c r="BR472" s="10"/>
      <c r="BS472" s="10"/>
      <c r="BT472" s="10"/>
      <c r="BU472" s="10"/>
    </row>
    <row r="473" spans="15:73" x14ac:dyDescent="0.2"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0"/>
      <c r="BB473" s="10"/>
      <c r="BC473" s="10"/>
      <c r="BD473" s="10"/>
      <c r="BE473" s="10"/>
      <c r="BF473" s="10"/>
      <c r="BG473" s="10"/>
      <c r="BH473" s="10"/>
      <c r="BI473" s="10"/>
      <c r="BJ473" s="10"/>
      <c r="BK473" s="10"/>
      <c r="BL473" s="10"/>
      <c r="BM473" s="10"/>
      <c r="BN473" s="10"/>
      <c r="BO473" s="10"/>
      <c r="BP473" s="10"/>
      <c r="BQ473" s="10"/>
      <c r="BR473" s="10"/>
      <c r="BS473" s="10"/>
      <c r="BT473" s="10"/>
      <c r="BU473" s="10"/>
    </row>
    <row r="474" spans="15:73" x14ac:dyDescent="0.2"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"/>
      <c r="BC474" s="10"/>
      <c r="BD474" s="10"/>
      <c r="BE474" s="10"/>
      <c r="BF474" s="10"/>
      <c r="BG474" s="10"/>
      <c r="BH474" s="10"/>
      <c r="BI474" s="10"/>
      <c r="BJ474" s="10"/>
      <c r="BK474" s="10"/>
      <c r="BL474" s="10"/>
      <c r="BM474" s="10"/>
      <c r="BN474" s="10"/>
      <c r="BO474" s="10"/>
      <c r="BP474" s="10"/>
      <c r="BQ474" s="10"/>
      <c r="BR474" s="10"/>
      <c r="BS474" s="10"/>
      <c r="BT474" s="10"/>
      <c r="BU474" s="10"/>
    </row>
    <row r="475" spans="15:73" x14ac:dyDescent="0.2"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"/>
      <c r="BC475" s="10"/>
      <c r="BD475" s="10"/>
      <c r="BE475" s="10"/>
      <c r="BF475" s="10"/>
      <c r="BG475" s="10"/>
      <c r="BH475" s="10"/>
      <c r="BI475" s="10"/>
      <c r="BJ475" s="10"/>
      <c r="BK475" s="10"/>
      <c r="BL475" s="10"/>
      <c r="BM475" s="10"/>
      <c r="BN475" s="10"/>
      <c r="BO475" s="10"/>
      <c r="BP475" s="10"/>
      <c r="BQ475" s="10"/>
      <c r="BR475" s="10"/>
      <c r="BS475" s="10"/>
      <c r="BT475" s="10"/>
      <c r="BU475" s="10"/>
    </row>
    <row r="476" spans="15:73" x14ac:dyDescent="0.2"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0"/>
      <c r="BB476" s="10"/>
      <c r="BC476" s="10"/>
      <c r="BD476" s="10"/>
      <c r="BE476" s="10"/>
      <c r="BF476" s="10"/>
      <c r="BG476" s="10"/>
      <c r="BH476" s="10"/>
      <c r="BI476" s="10"/>
      <c r="BJ476" s="10"/>
      <c r="BK476" s="10"/>
      <c r="BL476" s="10"/>
      <c r="BM476" s="10"/>
      <c r="BN476" s="10"/>
      <c r="BO476" s="10"/>
      <c r="BP476" s="10"/>
      <c r="BQ476" s="10"/>
      <c r="BR476" s="10"/>
      <c r="BS476" s="10"/>
      <c r="BT476" s="10"/>
      <c r="BU476" s="10"/>
    </row>
    <row r="477" spans="15:73" x14ac:dyDescent="0.2"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"/>
      <c r="BC477" s="10"/>
      <c r="BD477" s="10"/>
      <c r="BE477" s="10"/>
      <c r="BF477" s="10"/>
      <c r="BG477" s="10"/>
      <c r="BH477" s="10"/>
      <c r="BI477" s="10"/>
      <c r="BJ477" s="10"/>
      <c r="BK477" s="10"/>
      <c r="BL477" s="10"/>
      <c r="BM477" s="10"/>
      <c r="BN477" s="10"/>
      <c r="BO477" s="10"/>
      <c r="BP477" s="10"/>
      <c r="BQ477" s="10"/>
      <c r="BR477" s="10"/>
      <c r="BS477" s="10"/>
      <c r="BT477" s="10"/>
      <c r="BU477" s="10"/>
    </row>
    <row r="478" spans="15:73" x14ac:dyDescent="0.2"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"/>
      <c r="BC478" s="10"/>
      <c r="BD478" s="10"/>
      <c r="BE478" s="10"/>
      <c r="BF478" s="10"/>
      <c r="BG478" s="10"/>
      <c r="BH478" s="10"/>
      <c r="BI478" s="10"/>
      <c r="BJ478" s="10"/>
      <c r="BK478" s="10"/>
      <c r="BL478" s="10"/>
      <c r="BM478" s="10"/>
      <c r="BN478" s="10"/>
      <c r="BO478" s="10"/>
      <c r="BP478" s="10"/>
      <c r="BQ478" s="10"/>
      <c r="BR478" s="10"/>
      <c r="BS478" s="10"/>
      <c r="BT478" s="10"/>
      <c r="BU478" s="10"/>
    </row>
    <row r="479" spans="15:73" x14ac:dyDescent="0.2"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0"/>
      <c r="BB479" s="10"/>
      <c r="BC479" s="10"/>
      <c r="BD479" s="10"/>
      <c r="BE479" s="10"/>
      <c r="BF479" s="10"/>
      <c r="BG479" s="10"/>
      <c r="BH479" s="10"/>
      <c r="BI479" s="10"/>
      <c r="BJ479" s="10"/>
      <c r="BK479" s="10"/>
      <c r="BL479" s="10"/>
      <c r="BM479" s="10"/>
      <c r="BN479" s="10"/>
      <c r="BO479" s="10"/>
      <c r="BP479" s="10"/>
      <c r="BQ479" s="10"/>
      <c r="BR479" s="10"/>
      <c r="BS479" s="10"/>
      <c r="BT479" s="10"/>
      <c r="BU479" s="10"/>
    </row>
    <row r="480" spans="15:73" x14ac:dyDescent="0.2"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0"/>
      <c r="BB480" s="10"/>
      <c r="BC480" s="10"/>
      <c r="BD480" s="10"/>
      <c r="BE480" s="10"/>
      <c r="BF480" s="10"/>
      <c r="BG480" s="10"/>
      <c r="BH480" s="10"/>
      <c r="BI480" s="10"/>
      <c r="BJ480" s="10"/>
      <c r="BK480" s="10"/>
      <c r="BL480" s="10"/>
      <c r="BM480" s="10"/>
      <c r="BN480" s="10"/>
      <c r="BO480" s="10"/>
      <c r="BP480" s="10"/>
      <c r="BQ480" s="10"/>
      <c r="BR480" s="10"/>
      <c r="BS480" s="10"/>
      <c r="BT480" s="10"/>
      <c r="BU480" s="10"/>
    </row>
    <row r="481" spans="15:73" x14ac:dyDescent="0.2"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"/>
      <c r="BC481" s="10"/>
      <c r="BD481" s="10"/>
      <c r="BE481" s="10"/>
      <c r="BF481" s="10"/>
      <c r="BG481" s="10"/>
      <c r="BH481" s="10"/>
      <c r="BI481" s="10"/>
      <c r="BJ481" s="10"/>
      <c r="BK481" s="10"/>
      <c r="BL481" s="10"/>
      <c r="BM481" s="10"/>
      <c r="BN481" s="10"/>
      <c r="BO481" s="10"/>
      <c r="BP481" s="10"/>
      <c r="BQ481" s="10"/>
      <c r="BR481" s="10"/>
      <c r="BS481" s="10"/>
      <c r="BT481" s="10"/>
      <c r="BU481" s="10"/>
    </row>
    <row r="482" spans="15:73" x14ac:dyDescent="0.2"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0"/>
      <c r="BB482" s="10"/>
      <c r="BC482" s="10"/>
      <c r="BD482" s="10"/>
      <c r="BE482" s="10"/>
      <c r="BF482" s="10"/>
      <c r="BG482" s="10"/>
      <c r="BH482" s="10"/>
      <c r="BI482" s="10"/>
      <c r="BJ482" s="10"/>
      <c r="BK482" s="10"/>
      <c r="BL482" s="10"/>
      <c r="BM482" s="10"/>
      <c r="BN482" s="10"/>
      <c r="BO482" s="10"/>
      <c r="BP482" s="10"/>
      <c r="BQ482" s="10"/>
      <c r="BR482" s="10"/>
      <c r="BS482" s="10"/>
      <c r="BT482" s="10"/>
      <c r="BU482" s="10"/>
    </row>
    <row r="483" spans="15:73" x14ac:dyDescent="0.2"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10"/>
      <c r="AX483" s="10"/>
      <c r="AY483" s="10"/>
      <c r="AZ483" s="10"/>
      <c r="BA483" s="10"/>
      <c r="BB483" s="10"/>
      <c r="BC483" s="10"/>
      <c r="BD483" s="10"/>
      <c r="BE483" s="10"/>
      <c r="BF483" s="10"/>
      <c r="BG483" s="10"/>
      <c r="BH483" s="10"/>
      <c r="BI483" s="10"/>
      <c r="BJ483" s="10"/>
      <c r="BK483" s="10"/>
      <c r="BL483" s="10"/>
      <c r="BM483" s="10"/>
      <c r="BN483" s="10"/>
      <c r="BO483" s="10"/>
      <c r="BP483" s="10"/>
      <c r="BQ483" s="10"/>
      <c r="BR483" s="10"/>
      <c r="BS483" s="10"/>
      <c r="BT483" s="10"/>
      <c r="BU483" s="10"/>
    </row>
    <row r="484" spans="15:73" x14ac:dyDescent="0.2"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10"/>
      <c r="AX484" s="10"/>
      <c r="AY484" s="10"/>
      <c r="AZ484" s="10"/>
      <c r="BA484" s="10"/>
      <c r="BB484" s="10"/>
      <c r="BC484" s="10"/>
      <c r="BD484" s="10"/>
      <c r="BE484" s="10"/>
      <c r="BF484" s="10"/>
      <c r="BG484" s="10"/>
      <c r="BH484" s="10"/>
      <c r="BI484" s="10"/>
      <c r="BJ484" s="10"/>
      <c r="BK484" s="10"/>
      <c r="BL484" s="10"/>
      <c r="BM484" s="10"/>
      <c r="BN484" s="10"/>
      <c r="BO484" s="10"/>
      <c r="BP484" s="10"/>
      <c r="BQ484" s="10"/>
      <c r="BR484" s="10"/>
      <c r="BS484" s="10"/>
      <c r="BT484" s="10"/>
      <c r="BU484" s="10"/>
    </row>
    <row r="485" spans="15:73" x14ac:dyDescent="0.2"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"/>
      <c r="BC485" s="10"/>
      <c r="BD485" s="10"/>
      <c r="BE485" s="10"/>
      <c r="BF485" s="10"/>
      <c r="BG485" s="10"/>
      <c r="BH485" s="10"/>
      <c r="BI485" s="10"/>
      <c r="BJ485" s="10"/>
      <c r="BK485" s="10"/>
      <c r="BL485" s="10"/>
      <c r="BM485" s="10"/>
      <c r="BN485" s="10"/>
      <c r="BO485" s="10"/>
      <c r="BP485" s="10"/>
      <c r="BQ485" s="10"/>
      <c r="BR485" s="10"/>
      <c r="BS485" s="10"/>
      <c r="BT485" s="10"/>
      <c r="BU485" s="10"/>
    </row>
    <row r="486" spans="15:73" x14ac:dyDescent="0.2"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"/>
      <c r="BC486" s="10"/>
      <c r="BD486" s="10"/>
      <c r="BE486" s="10"/>
      <c r="BF486" s="10"/>
      <c r="BG486" s="10"/>
      <c r="BH486" s="10"/>
      <c r="BI486" s="10"/>
      <c r="BJ486" s="10"/>
      <c r="BK486" s="10"/>
      <c r="BL486" s="10"/>
      <c r="BM486" s="10"/>
      <c r="BN486" s="10"/>
      <c r="BO486" s="10"/>
      <c r="BP486" s="10"/>
      <c r="BQ486" s="10"/>
      <c r="BR486" s="10"/>
      <c r="BS486" s="10"/>
      <c r="BT486" s="10"/>
      <c r="BU486" s="10"/>
    </row>
    <row r="487" spans="15:73" x14ac:dyDescent="0.2"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10"/>
      <c r="AX487" s="10"/>
      <c r="AY487" s="10"/>
      <c r="AZ487" s="10"/>
      <c r="BA487" s="10"/>
      <c r="BB487" s="10"/>
      <c r="BC487" s="10"/>
      <c r="BD487" s="10"/>
      <c r="BE487" s="10"/>
      <c r="BF487" s="10"/>
      <c r="BG487" s="10"/>
      <c r="BH487" s="10"/>
      <c r="BI487" s="10"/>
      <c r="BJ487" s="10"/>
      <c r="BK487" s="10"/>
      <c r="BL487" s="10"/>
      <c r="BM487" s="10"/>
      <c r="BN487" s="10"/>
      <c r="BO487" s="10"/>
      <c r="BP487" s="10"/>
      <c r="BQ487" s="10"/>
      <c r="BR487" s="10"/>
      <c r="BS487" s="10"/>
      <c r="BT487" s="10"/>
      <c r="BU487" s="10"/>
    </row>
    <row r="488" spans="15:73" x14ac:dyDescent="0.2"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"/>
      <c r="BC488" s="10"/>
      <c r="BD488" s="10"/>
      <c r="BE488" s="10"/>
      <c r="BF488" s="10"/>
      <c r="BG488" s="10"/>
      <c r="BH488" s="10"/>
      <c r="BI488" s="10"/>
      <c r="BJ488" s="10"/>
      <c r="BK488" s="10"/>
      <c r="BL488" s="10"/>
      <c r="BM488" s="10"/>
      <c r="BN488" s="10"/>
      <c r="BO488" s="10"/>
      <c r="BP488" s="10"/>
      <c r="BQ488" s="10"/>
      <c r="BR488" s="10"/>
      <c r="BS488" s="10"/>
      <c r="BT488" s="10"/>
      <c r="BU488" s="10"/>
    </row>
    <row r="489" spans="15:73" x14ac:dyDescent="0.2"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"/>
      <c r="BC489" s="10"/>
      <c r="BD489" s="10"/>
      <c r="BE489" s="10"/>
      <c r="BF489" s="10"/>
      <c r="BG489" s="10"/>
      <c r="BH489" s="10"/>
      <c r="BI489" s="10"/>
      <c r="BJ489" s="10"/>
      <c r="BK489" s="10"/>
      <c r="BL489" s="10"/>
      <c r="BM489" s="10"/>
      <c r="BN489" s="10"/>
      <c r="BO489" s="10"/>
      <c r="BP489" s="10"/>
      <c r="BQ489" s="10"/>
      <c r="BR489" s="10"/>
      <c r="BS489" s="10"/>
      <c r="BT489" s="10"/>
      <c r="BU489" s="10"/>
    </row>
    <row r="490" spans="15:73" x14ac:dyDescent="0.2"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10"/>
      <c r="AX490" s="10"/>
      <c r="AY490" s="10"/>
      <c r="AZ490" s="10"/>
      <c r="BA490" s="10"/>
      <c r="BB490" s="10"/>
      <c r="BC490" s="10"/>
      <c r="BD490" s="10"/>
      <c r="BE490" s="10"/>
      <c r="BF490" s="10"/>
      <c r="BG490" s="10"/>
      <c r="BH490" s="10"/>
      <c r="BI490" s="10"/>
      <c r="BJ490" s="10"/>
      <c r="BK490" s="10"/>
      <c r="BL490" s="10"/>
      <c r="BM490" s="10"/>
      <c r="BN490" s="10"/>
      <c r="BO490" s="10"/>
      <c r="BP490" s="10"/>
      <c r="BQ490" s="10"/>
      <c r="BR490" s="10"/>
      <c r="BS490" s="10"/>
      <c r="BT490" s="10"/>
      <c r="BU490" s="10"/>
    </row>
    <row r="491" spans="15:73" x14ac:dyDescent="0.2"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10"/>
      <c r="AX491" s="10"/>
      <c r="AY491" s="10"/>
      <c r="AZ491" s="10"/>
      <c r="BA491" s="10"/>
      <c r="BB491" s="10"/>
      <c r="BC491" s="10"/>
      <c r="BD491" s="10"/>
      <c r="BE491" s="10"/>
      <c r="BF491" s="10"/>
      <c r="BG491" s="10"/>
      <c r="BH491" s="10"/>
      <c r="BI491" s="10"/>
      <c r="BJ491" s="10"/>
      <c r="BK491" s="10"/>
      <c r="BL491" s="10"/>
      <c r="BM491" s="10"/>
      <c r="BN491" s="10"/>
      <c r="BO491" s="10"/>
      <c r="BP491" s="10"/>
      <c r="BQ491" s="10"/>
      <c r="BR491" s="10"/>
      <c r="BS491" s="10"/>
      <c r="BT491" s="10"/>
      <c r="BU491" s="10"/>
    </row>
    <row r="492" spans="15:73" x14ac:dyDescent="0.2"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"/>
      <c r="BC492" s="10"/>
      <c r="BD492" s="10"/>
      <c r="BE492" s="10"/>
      <c r="BF492" s="10"/>
      <c r="BG492" s="10"/>
      <c r="BH492" s="10"/>
      <c r="BI492" s="10"/>
      <c r="BJ492" s="10"/>
      <c r="BK492" s="10"/>
      <c r="BL492" s="10"/>
      <c r="BM492" s="10"/>
      <c r="BN492" s="10"/>
      <c r="BO492" s="10"/>
      <c r="BP492" s="10"/>
      <c r="BQ492" s="10"/>
      <c r="BR492" s="10"/>
      <c r="BS492" s="10"/>
      <c r="BT492" s="10"/>
      <c r="BU492" s="10"/>
    </row>
    <row r="493" spans="15:73" x14ac:dyDescent="0.2"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"/>
      <c r="BC493" s="10"/>
      <c r="BD493" s="10"/>
      <c r="BE493" s="10"/>
      <c r="BF493" s="10"/>
      <c r="BG493" s="10"/>
      <c r="BH493" s="10"/>
      <c r="BI493" s="10"/>
      <c r="BJ493" s="10"/>
      <c r="BK493" s="10"/>
      <c r="BL493" s="10"/>
      <c r="BM493" s="10"/>
      <c r="BN493" s="10"/>
      <c r="BO493" s="10"/>
      <c r="BP493" s="10"/>
      <c r="BQ493" s="10"/>
      <c r="BR493" s="10"/>
      <c r="BS493" s="10"/>
      <c r="BT493" s="10"/>
      <c r="BU493" s="10"/>
    </row>
    <row r="494" spans="15:73" x14ac:dyDescent="0.2"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10"/>
      <c r="AX494" s="10"/>
      <c r="AY494" s="10"/>
      <c r="AZ494" s="10"/>
      <c r="BA494" s="10"/>
      <c r="BB494" s="10"/>
      <c r="BC494" s="10"/>
      <c r="BD494" s="10"/>
      <c r="BE494" s="10"/>
      <c r="BF494" s="10"/>
      <c r="BG494" s="10"/>
      <c r="BH494" s="10"/>
      <c r="BI494" s="10"/>
      <c r="BJ494" s="10"/>
      <c r="BK494" s="10"/>
      <c r="BL494" s="10"/>
      <c r="BM494" s="10"/>
      <c r="BN494" s="10"/>
      <c r="BO494" s="10"/>
      <c r="BP494" s="10"/>
      <c r="BQ494" s="10"/>
      <c r="BR494" s="10"/>
      <c r="BS494" s="10"/>
      <c r="BT494" s="10"/>
      <c r="BU494" s="10"/>
    </row>
    <row r="495" spans="15:73" x14ac:dyDescent="0.2"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"/>
      <c r="BC495" s="10"/>
      <c r="BD495" s="10"/>
      <c r="BE495" s="10"/>
      <c r="BF495" s="10"/>
      <c r="BG495" s="10"/>
      <c r="BH495" s="10"/>
      <c r="BI495" s="10"/>
      <c r="BJ495" s="10"/>
      <c r="BK495" s="10"/>
      <c r="BL495" s="10"/>
      <c r="BM495" s="10"/>
      <c r="BN495" s="10"/>
      <c r="BO495" s="10"/>
      <c r="BP495" s="10"/>
      <c r="BQ495" s="10"/>
      <c r="BR495" s="10"/>
      <c r="BS495" s="10"/>
      <c r="BT495" s="10"/>
      <c r="BU495" s="10"/>
    </row>
    <row r="496" spans="15:73" x14ac:dyDescent="0.2"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10"/>
      <c r="AX496" s="10"/>
      <c r="AY496" s="10"/>
      <c r="AZ496" s="10"/>
      <c r="BA496" s="10"/>
      <c r="BB496" s="10"/>
      <c r="BC496" s="10"/>
      <c r="BD496" s="10"/>
      <c r="BE496" s="10"/>
      <c r="BF496" s="10"/>
      <c r="BG496" s="10"/>
      <c r="BH496" s="10"/>
      <c r="BI496" s="10"/>
      <c r="BJ496" s="10"/>
      <c r="BK496" s="10"/>
      <c r="BL496" s="10"/>
      <c r="BM496" s="10"/>
      <c r="BN496" s="10"/>
      <c r="BO496" s="10"/>
      <c r="BP496" s="10"/>
      <c r="BQ496" s="10"/>
      <c r="BR496" s="10"/>
      <c r="BS496" s="10"/>
      <c r="BT496" s="10"/>
      <c r="BU496" s="10"/>
    </row>
    <row r="497" spans="15:73" x14ac:dyDescent="0.2"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10"/>
      <c r="AX497" s="10"/>
      <c r="AY497" s="10"/>
      <c r="AZ497" s="10"/>
      <c r="BA497" s="10"/>
      <c r="BB497" s="10"/>
      <c r="BC497" s="10"/>
      <c r="BD497" s="10"/>
      <c r="BE497" s="10"/>
      <c r="BF497" s="10"/>
      <c r="BG497" s="10"/>
      <c r="BH497" s="10"/>
      <c r="BI497" s="10"/>
      <c r="BJ497" s="10"/>
      <c r="BK497" s="10"/>
      <c r="BL497" s="10"/>
      <c r="BM497" s="10"/>
      <c r="BN497" s="10"/>
      <c r="BO497" s="10"/>
      <c r="BP497" s="10"/>
      <c r="BQ497" s="10"/>
      <c r="BR497" s="10"/>
      <c r="BS497" s="10"/>
      <c r="BT497" s="10"/>
      <c r="BU497" s="10"/>
    </row>
    <row r="498" spans="15:73" x14ac:dyDescent="0.2"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"/>
      <c r="BC498" s="10"/>
      <c r="BD498" s="10"/>
      <c r="BE498" s="10"/>
      <c r="BF498" s="10"/>
      <c r="BG498" s="10"/>
      <c r="BH498" s="10"/>
      <c r="BI498" s="10"/>
      <c r="BJ498" s="10"/>
      <c r="BK498" s="10"/>
      <c r="BL498" s="10"/>
      <c r="BM498" s="10"/>
      <c r="BN498" s="10"/>
      <c r="BO498" s="10"/>
      <c r="BP498" s="10"/>
      <c r="BQ498" s="10"/>
      <c r="BR498" s="10"/>
      <c r="BS498" s="10"/>
      <c r="BT498" s="10"/>
      <c r="BU498" s="10"/>
    </row>
    <row r="499" spans="15:73" x14ac:dyDescent="0.2"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10"/>
      <c r="AX499" s="10"/>
      <c r="AY499" s="10"/>
      <c r="AZ499" s="10"/>
      <c r="BA499" s="10"/>
      <c r="BB499" s="10"/>
      <c r="BC499" s="10"/>
      <c r="BD499" s="10"/>
      <c r="BE499" s="10"/>
      <c r="BF499" s="10"/>
      <c r="BG499" s="10"/>
      <c r="BH499" s="10"/>
      <c r="BI499" s="10"/>
      <c r="BJ499" s="10"/>
      <c r="BK499" s="10"/>
      <c r="BL499" s="10"/>
      <c r="BM499" s="10"/>
      <c r="BN499" s="10"/>
      <c r="BO499" s="10"/>
      <c r="BP499" s="10"/>
      <c r="BQ499" s="10"/>
      <c r="BR499" s="10"/>
      <c r="BS499" s="10"/>
      <c r="BT499" s="10"/>
      <c r="BU499" s="10"/>
    </row>
    <row r="500" spans="15:73" x14ac:dyDescent="0.2"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"/>
      <c r="BC500" s="10"/>
      <c r="BD500" s="10"/>
      <c r="BE500" s="10"/>
      <c r="BF500" s="10"/>
      <c r="BG500" s="10"/>
      <c r="BH500" s="10"/>
      <c r="BI500" s="10"/>
      <c r="BJ500" s="10"/>
      <c r="BK500" s="10"/>
      <c r="BL500" s="10"/>
      <c r="BM500" s="10"/>
      <c r="BN500" s="10"/>
      <c r="BO500" s="10"/>
      <c r="BP500" s="10"/>
      <c r="BQ500" s="10"/>
      <c r="BR500" s="10"/>
      <c r="BS500" s="10"/>
      <c r="BT500" s="10"/>
      <c r="BU500" s="10"/>
    </row>
    <row r="501" spans="15:73" x14ac:dyDescent="0.2"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"/>
      <c r="BC501" s="10"/>
      <c r="BD501" s="10"/>
      <c r="BE501" s="10"/>
      <c r="BF501" s="10"/>
      <c r="BG501" s="10"/>
      <c r="BH501" s="10"/>
      <c r="BI501" s="10"/>
      <c r="BJ501" s="10"/>
      <c r="BK501" s="10"/>
      <c r="BL501" s="10"/>
      <c r="BM501" s="10"/>
      <c r="BN501" s="10"/>
      <c r="BO501" s="10"/>
      <c r="BP501" s="10"/>
      <c r="BQ501" s="10"/>
      <c r="BR501" s="10"/>
      <c r="BS501" s="10"/>
      <c r="BT501" s="10"/>
      <c r="BU501" s="10"/>
    </row>
    <row r="502" spans="15:73" x14ac:dyDescent="0.2"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10"/>
      <c r="AX502" s="10"/>
      <c r="AY502" s="10"/>
      <c r="AZ502" s="10"/>
      <c r="BA502" s="10"/>
      <c r="BB502" s="10"/>
      <c r="BC502" s="10"/>
      <c r="BD502" s="10"/>
      <c r="BE502" s="10"/>
      <c r="BF502" s="10"/>
      <c r="BG502" s="10"/>
      <c r="BH502" s="10"/>
      <c r="BI502" s="10"/>
      <c r="BJ502" s="10"/>
      <c r="BK502" s="10"/>
      <c r="BL502" s="10"/>
      <c r="BM502" s="10"/>
      <c r="BN502" s="10"/>
      <c r="BO502" s="10"/>
      <c r="BP502" s="10"/>
      <c r="BQ502" s="10"/>
      <c r="BR502" s="10"/>
      <c r="BS502" s="10"/>
      <c r="BT502" s="10"/>
      <c r="BU502" s="10"/>
    </row>
    <row r="503" spans="15:73" x14ac:dyDescent="0.2"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"/>
      <c r="BC503" s="10"/>
      <c r="BD503" s="10"/>
      <c r="BE503" s="10"/>
      <c r="BF503" s="10"/>
      <c r="BG503" s="10"/>
      <c r="BH503" s="10"/>
      <c r="BI503" s="10"/>
      <c r="BJ503" s="10"/>
      <c r="BK503" s="10"/>
      <c r="BL503" s="10"/>
      <c r="BM503" s="10"/>
      <c r="BN503" s="10"/>
      <c r="BO503" s="10"/>
      <c r="BP503" s="10"/>
      <c r="BQ503" s="10"/>
      <c r="BR503" s="10"/>
      <c r="BS503" s="10"/>
      <c r="BT503" s="10"/>
      <c r="BU503" s="10"/>
    </row>
    <row r="504" spans="15:73" x14ac:dyDescent="0.2"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10"/>
      <c r="AX504" s="10"/>
      <c r="AY504" s="10"/>
      <c r="AZ504" s="10"/>
      <c r="BA504" s="10"/>
      <c r="BB504" s="10"/>
      <c r="BC504" s="10"/>
      <c r="BD504" s="10"/>
      <c r="BE504" s="10"/>
      <c r="BF504" s="10"/>
      <c r="BG504" s="10"/>
      <c r="BH504" s="10"/>
      <c r="BI504" s="10"/>
      <c r="BJ504" s="10"/>
      <c r="BK504" s="10"/>
      <c r="BL504" s="10"/>
      <c r="BM504" s="10"/>
      <c r="BN504" s="10"/>
      <c r="BO504" s="10"/>
      <c r="BP504" s="10"/>
      <c r="BQ504" s="10"/>
      <c r="BR504" s="10"/>
      <c r="BS504" s="10"/>
      <c r="BT504" s="10"/>
      <c r="BU504" s="10"/>
    </row>
    <row r="505" spans="15:73" x14ac:dyDescent="0.2"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  <c r="BE505" s="10"/>
      <c r="BF505" s="10"/>
      <c r="BG505" s="10"/>
      <c r="BH505" s="10"/>
      <c r="BI505" s="10"/>
      <c r="BJ505" s="10"/>
      <c r="BK505" s="10"/>
      <c r="BL505" s="10"/>
      <c r="BM505" s="10"/>
      <c r="BN505" s="10"/>
      <c r="BO505" s="10"/>
      <c r="BP505" s="10"/>
      <c r="BQ505" s="10"/>
      <c r="BR505" s="10"/>
      <c r="BS505" s="10"/>
      <c r="BT505" s="10"/>
      <c r="BU505" s="10"/>
    </row>
    <row r="506" spans="15:73" x14ac:dyDescent="0.2"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10"/>
      <c r="AX506" s="10"/>
      <c r="AY506" s="10"/>
      <c r="AZ506" s="10"/>
      <c r="BA506" s="10"/>
      <c r="BB506" s="10"/>
      <c r="BC506" s="10"/>
      <c r="BD506" s="10"/>
      <c r="BE506" s="10"/>
      <c r="BF506" s="10"/>
      <c r="BG506" s="10"/>
      <c r="BH506" s="10"/>
      <c r="BI506" s="10"/>
      <c r="BJ506" s="10"/>
      <c r="BK506" s="10"/>
      <c r="BL506" s="10"/>
      <c r="BM506" s="10"/>
      <c r="BN506" s="10"/>
      <c r="BO506" s="10"/>
      <c r="BP506" s="10"/>
      <c r="BQ506" s="10"/>
      <c r="BR506" s="10"/>
      <c r="BS506" s="10"/>
      <c r="BT506" s="10"/>
      <c r="BU506" s="10"/>
    </row>
    <row r="507" spans="15:73" x14ac:dyDescent="0.2"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"/>
      <c r="BC507" s="10"/>
      <c r="BD507" s="10"/>
      <c r="BE507" s="10"/>
      <c r="BF507" s="10"/>
      <c r="BG507" s="10"/>
      <c r="BH507" s="10"/>
      <c r="BI507" s="10"/>
      <c r="BJ507" s="10"/>
      <c r="BK507" s="10"/>
      <c r="BL507" s="10"/>
      <c r="BM507" s="10"/>
      <c r="BN507" s="10"/>
      <c r="BO507" s="10"/>
      <c r="BP507" s="10"/>
      <c r="BQ507" s="10"/>
      <c r="BR507" s="10"/>
      <c r="BS507" s="10"/>
      <c r="BT507" s="10"/>
      <c r="BU507" s="10"/>
    </row>
    <row r="508" spans="15:73" x14ac:dyDescent="0.2"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"/>
      <c r="BC508" s="10"/>
      <c r="BD508" s="10"/>
      <c r="BE508" s="10"/>
      <c r="BF508" s="10"/>
      <c r="BG508" s="10"/>
      <c r="BH508" s="10"/>
      <c r="BI508" s="10"/>
      <c r="BJ508" s="10"/>
      <c r="BK508" s="10"/>
      <c r="BL508" s="10"/>
      <c r="BM508" s="10"/>
      <c r="BN508" s="10"/>
      <c r="BO508" s="10"/>
      <c r="BP508" s="10"/>
      <c r="BQ508" s="10"/>
      <c r="BR508" s="10"/>
      <c r="BS508" s="10"/>
      <c r="BT508" s="10"/>
      <c r="BU508" s="10"/>
    </row>
    <row r="509" spans="15:73" x14ac:dyDescent="0.2"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"/>
      <c r="BC509" s="10"/>
      <c r="BD509" s="10"/>
      <c r="BE509" s="10"/>
      <c r="BF509" s="10"/>
      <c r="BG509" s="10"/>
      <c r="BH509" s="10"/>
      <c r="BI509" s="10"/>
      <c r="BJ509" s="10"/>
      <c r="BK509" s="10"/>
      <c r="BL509" s="10"/>
      <c r="BM509" s="10"/>
      <c r="BN509" s="10"/>
      <c r="BO509" s="10"/>
      <c r="BP509" s="10"/>
      <c r="BQ509" s="10"/>
      <c r="BR509" s="10"/>
      <c r="BS509" s="10"/>
      <c r="BT509" s="10"/>
      <c r="BU509" s="10"/>
    </row>
    <row r="510" spans="15:73" x14ac:dyDescent="0.2"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10"/>
      <c r="AX510" s="10"/>
      <c r="AY510" s="10"/>
      <c r="AZ510" s="10"/>
      <c r="BA510" s="10"/>
      <c r="BB510" s="10"/>
      <c r="BC510" s="10"/>
      <c r="BD510" s="10"/>
      <c r="BE510" s="10"/>
      <c r="BF510" s="10"/>
      <c r="BG510" s="10"/>
      <c r="BH510" s="10"/>
      <c r="BI510" s="10"/>
      <c r="BJ510" s="10"/>
      <c r="BK510" s="10"/>
      <c r="BL510" s="10"/>
      <c r="BM510" s="10"/>
      <c r="BN510" s="10"/>
      <c r="BO510" s="10"/>
      <c r="BP510" s="10"/>
      <c r="BQ510" s="10"/>
      <c r="BR510" s="10"/>
      <c r="BS510" s="10"/>
      <c r="BT510" s="10"/>
      <c r="BU510" s="10"/>
    </row>
    <row r="511" spans="15:73" x14ac:dyDescent="0.2"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"/>
      <c r="BC511" s="10"/>
      <c r="BD511" s="10"/>
      <c r="BE511" s="10"/>
      <c r="BF511" s="10"/>
      <c r="BG511" s="10"/>
      <c r="BH511" s="10"/>
      <c r="BI511" s="10"/>
      <c r="BJ511" s="10"/>
      <c r="BK511" s="10"/>
      <c r="BL511" s="10"/>
      <c r="BM511" s="10"/>
      <c r="BN511" s="10"/>
      <c r="BO511" s="10"/>
      <c r="BP511" s="10"/>
      <c r="BQ511" s="10"/>
      <c r="BR511" s="10"/>
      <c r="BS511" s="10"/>
      <c r="BT511" s="10"/>
      <c r="BU511" s="10"/>
    </row>
    <row r="512" spans="15:73" x14ac:dyDescent="0.2"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"/>
      <c r="BC512" s="10"/>
      <c r="BD512" s="10"/>
      <c r="BE512" s="10"/>
      <c r="BF512" s="10"/>
      <c r="BG512" s="10"/>
      <c r="BH512" s="10"/>
      <c r="BI512" s="10"/>
      <c r="BJ512" s="10"/>
      <c r="BK512" s="10"/>
      <c r="BL512" s="10"/>
      <c r="BM512" s="10"/>
      <c r="BN512" s="10"/>
      <c r="BO512" s="10"/>
      <c r="BP512" s="10"/>
      <c r="BQ512" s="10"/>
      <c r="BR512" s="10"/>
      <c r="BS512" s="10"/>
      <c r="BT512" s="10"/>
      <c r="BU512" s="10"/>
    </row>
    <row r="513" spans="15:73" x14ac:dyDescent="0.2"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10"/>
      <c r="AX513" s="10"/>
      <c r="AY513" s="10"/>
      <c r="AZ513" s="10"/>
      <c r="BA513" s="10"/>
      <c r="BB513" s="10"/>
      <c r="BC513" s="10"/>
      <c r="BD513" s="10"/>
      <c r="BE513" s="10"/>
      <c r="BF513" s="10"/>
      <c r="BG513" s="10"/>
      <c r="BH513" s="10"/>
      <c r="BI513" s="10"/>
      <c r="BJ513" s="10"/>
      <c r="BK513" s="10"/>
      <c r="BL513" s="10"/>
      <c r="BM513" s="10"/>
      <c r="BN513" s="10"/>
      <c r="BO513" s="10"/>
      <c r="BP513" s="10"/>
      <c r="BQ513" s="10"/>
      <c r="BR513" s="10"/>
      <c r="BS513" s="10"/>
      <c r="BT513" s="10"/>
      <c r="BU513" s="10"/>
    </row>
    <row r="514" spans="15:73" x14ac:dyDescent="0.2"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"/>
      <c r="BC514" s="10"/>
      <c r="BD514" s="10"/>
      <c r="BE514" s="10"/>
      <c r="BF514" s="10"/>
      <c r="BG514" s="10"/>
      <c r="BH514" s="10"/>
      <c r="BI514" s="10"/>
      <c r="BJ514" s="10"/>
      <c r="BK514" s="10"/>
      <c r="BL514" s="10"/>
      <c r="BM514" s="10"/>
      <c r="BN514" s="10"/>
      <c r="BO514" s="10"/>
      <c r="BP514" s="10"/>
      <c r="BQ514" s="10"/>
      <c r="BR514" s="10"/>
      <c r="BS514" s="10"/>
      <c r="BT514" s="10"/>
      <c r="BU514" s="10"/>
    </row>
    <row r="515" spans="15:73" x14ac:dyDescent="0.2"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"/>
      <c r="BC515" s="10"/>
      <c r="BD515" s="10"/>
      <c r="BE515" s="10"/>
      <c r="BF515" s="10"/>
      <c r="BG515" s="10"/>
      <c r="BH515" s="10"/>
      <c r="BI515" s="10"/>
      <c r="BJ515" s="10"/>
      <c r="BK515" s="10"/>
      <c r="BL515" s="10"/>
      <c r="BM515" s="10"/>
      <c r="BN515" s="10"/>
      <c r="BO515" s="10"/>
      <c r="BP515" s="10"/>
      <c r="BQ515" s="10"/>
      <c r="BR515" s="10"/>
      <c r="BS515" s="10"/>
      <c r="BT515" s="10"/>
      <c r="BU515" s="10"/>
    </row>
    <row r="516" spans="15:73" x14ac:dyDescent="0.2"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10"/>
      <c r="AX516" s="10"/>
      <c r="AY516" s="10"/>
      <c r="AZ516" s="10"/>
      <c r="BA516" s="10"/>
      <c r="BB516" s="10"/>
      <c r="BC516" s="10"/>
      <c r="BD516" s="10"/>
      <c r="BE516" s="10"/>
      <c r="BF516" s="10"/>
      <c r="BG516" s="10"/>
      <c r="BH516" s="10"/>
      <c r="BI516" s="10"/>
      <c r="BJ516" s="10"/>
      <c r="BK516" s="10"/>
      <c r="BL516" s="10"/>
      <c r="BM516" s="10"/>
      <c r="BN516" s="10"/>
      <c r="BO516" s="10"/>
      <c r="BP516" s="10"/>
      <c r="BQ516" s="10"/>
      <c r="BR516" s="10"/>
      <c r="BS516" s="10"/>
      <c r="BT516" s="10"/>
      <c r="BU516" s="10"/>
    </row>
    <row r="517" spans="15:73" x14ac:dyDescent="0.2"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"/>
      <c r="BC517" s="10"/>
      <c r="BD517" s="10"/>
      <c r="BE517" s="10"/>
      <c r="BF517" s="10"/>
      <c r="BG517" s="10"/>
      <c r="BH517" s="10"/>
      <c r="BI517" s="10"/>
      <c r="BJ517" s="10"/>
      <c r="BK517" s="10"/>
      <c r="BL517" s="10"/>
      <c r="BM517" s="10"/>
      <c r="BN517" s="10"/>
      <c r="BO517" s="10"/>
      <c r="BP517" s="10"/>
      <c r="BQ517" s="10"/>
      <c r="BR517" s="10"/>
      <c r="BS517" s="10"/>
      <c r="BT517" s="10"/>
      <c r="BU517" s="10"/>
    </row>
    <row r="518" spans="15:73" x14ac:dyDescent="0.2"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10"/>
      <c r="AX518" s="10"/>
      <c r="AY518" s="10"/>
      <c r="AZ518" s="10"/>
      <c r="BA518" s="10"/>
      <c r="BB518" s="10"/>
      <c r="BC518" s="10"/>
      <c r="BD518" s="10"/>
      <c r="BE518" s="10"/>
      <c r="BF518" s="10"/>
      <c r="BG518" s="10"/>
      <c r="BH518" s="10"/>
      <c r="BI518" s="10"/>
      <c r="BJ518" s="10"/>
      <c r="BK518" s="10"/>
      <c r="BL518" s="10"/>
      <c r="BM518" s="10"/>
      <c r="BN518" s="10"/>
      <c r="BO518" s="10"/>
      <c r="BP518" s="10"/>
      <c r="BQ518" s="10"/>
      <c r="BR518" s="10"/>
      <c r="BS518" s="10"/>
      <c r="BT518" s="10"/>
      <c r="BU518" s="10"/>
    </row>
    <row r="519" spans="15:73" x14ac:dyDescent="0.2"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"/>
      <c r="BC519" s="10"/>
      <c r="BD519" s="10"/>
      <c r="BE519" s="10"/>
      <c r="BF519" s="10"/>
      <c r="BG519" s="10"/>
      <c r="BH519" s="10"/>
      <c r="BI519" s="10"/>
      <c r="BJ519" s="10"/>
      <c r="BK519" s="10"/>
      <c r="BL519" s="10"/>
      <c r="BM519" s="10"/>
      <c r="BN519" s="10"/>
      <c r="BO519" s="10"/>
      <c r="BP519" s="10"/>
      <c r="BQ519" s="10"/>
      <c r="BR519" s="10"/>
      <c r="BS519" s="10"/>
      <c r="BT519" s="10"/>
      <c r="BU519" s="10"/>
    </row>
    <row r="520" spans="15:73" x14ac:dyDescent="0.2"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10"/>
      <c r="AX520" s="10"/>
      <c r="AY520" s="10"/>
      <c r="AZ520" s="10"/>
      <c r="BA520" s="10"/>
      <c r="BB520" s="10"/>
      <c r="BC520" s="10"/>
      <c r="BD520" s="10"/>
      <c r="BE520" s="10"/>
      <c r="BF520" s="10"/>
      <c r="BG520" s="10"/>
      <c r="BH520" s="10"/>
      <c r="BI520" s="10"/>
      <c r="BJ520" s="10"/>
      <c r="BK520" s="10"/>
      <c r="BL520" s="10"/>
      <c r="BM520" s="10"/>
      <c r="BN520" s="10"/>
      <c r="BO520" s="10"/>
      <c r="BP520" s="10"/>
      <c r="BQ520" s="10"/>
      <c r="BR520" s="10"/>
      <c r="BS520" s="10"/>
      <c r="BT520" s="10"/>
      <c r="BU520" s="10"/>
    </row>
    <row r="521" spans="15:73" x14ac:dyDescent="0.2"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"/>
      <c r="BC521" s="10"/>
      <c r="BD521" s="10"/>
      <c r="BE521" s="10"/>
      <c r="BF521" s="10"/>
      <c r="BG521" s="10"/>
      <c r="BH521" s="10"/>
      <c r="BI521" s="10"/>
      <c r="BJ521" s="10"/>
      <c r="BK521" s="10"/>
      <c r="BL521" s="10"/>
      <c r="BM521" s="10"/>
      <c r="BN521" s="10"/>
      <c r="BO521" s="10"/>
      <c r="BP521" s="10"/>
      <c r="BQ521" s="10"/>
      <c r="BR521" s="10"/>
      <c r="BS521" s="10"/>
      <c r="BT521" s="10"/>
      <c r="BU521" s="10"/>
    </row>
    <row r="522" spans="15:73" x14ac:dyDescent="0.2"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"/>
      <c r="BC522" s="10"/>
      <c r="BD522" s="10"/>
      <c r="BE522" s="10"/>
      <c r="BF522" s="10"/>
      <c r="BG522" s="10"/>
      <c r="BH522" s="10"/>
      <c r="BI522" s="10"/>
      <c r="BJ522" s="10"/>
      <c r="BK522" s="10"/>
      <c r="BL522" s="10"/>
      <c r="BM522" s="10"/>
      <c r="BN522" s="10"/>
      <c r="BO522" s="10"/>
      <c r="BP522" s="10"/>
      <c r="BQ522" s="10"/>
      <c r="BR522" s="10"/>
      <c r="BS522" s="10"/>
      <c r="BT522" s="10"/>
      <c r="BU522" s="10"/>
    </row>
    <row r="523" spans="15:73" x14ac:dyDescent="0.2"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"/>
      <c r="BC523" s="10"/>
      <c r="BD523" s="10"/>
      <c r="BE523" s="10"/>
      <c r="BF523" s="10"/>
      <c r="BG523" s="10"/>
      <c r="BH523" s="10"/>
      <c r="BI523" s="10"/>
      <c r="BJ523" s="10"/>
      <c r="BK523" s="10"/>
      <c r="BL523" s="10"/>
      <c r="BM523" s="10"/>
      <c r="BN523" s="10"/>
      <c r="BO523" s="10"/>
      <c r="BP523" s="10"/>
      <c r="BQ523" s="10"/>
      <c r="BR523" s="10"/>
      <c r="BS523" s="10"/>
      <c r="BT523" s="10"/>
      <c r="BU523" s="10"/>
    </row>
    <row r="524" spans="15:73" x14ac:dyDescent="0.2"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10"/>
      <c r="AX524" s="10"/>
      <c r="AY524" s="10"/>
      <c r="AZ524" s="10"/>
      <c r="BA524" s="10"/>
      <c r="BB524" s="10"/>
      <c r="BC524" s="10"/>
      <c r="BD524" s="10"/>
      <c r="BE524" s="10"/>
      <c r="BF524" s="10"/>
      <c r="BG524" s="10"/>
      <c r="BH524" s="10"/>
      <c r="BI524" s="10"/>
      <c r="BJ524" s="10"/>
      <c r="BK524" s="10"/>
      <c r="BL524" s="10"/>
      <c r="BM524" s="10"/>
      <c r="BN524" s="10"/>
      <c r="BO524" s="10"/>
      <c r="BP524" s="10"/>
      <c r="BQ524" s="10"/>
      <c r="BR524" s="10"/>
      <c r="BS524" s="10"/>
      <c r="BT524" s="10"/>
      <c r="BU524" s="10"/>
    </row>
    <row r="525" spans="15:73" x14ac:dyDescent="0.2"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10"/>
      <c r="AX525" s="10"/>
      <c r="AY525" s="10"/>
      <c r="AZ525" s="10"/>
      <c r="BA525" s="10"/>
      <c r="BB525" s="10"/>
      <c r="BC525" s="10"/>
      <c r="BD525" s="10"/>
      <c r="BE525" s="10"/>
      <c r="BF525" s="10"/>
      <c r="BG525" s="10"/>
      <c r="BH525" s="10"/>
      <c r="BI525" s="10"/>
      <c r="BJ525" s="10"/>
      <c r="BK525" s="10"/>
      <c r="BL525" s="10"/>
      <c r="BM525" s="10"/>
      <c r="BN525" s="10"/>
      <c r="BO525" s="10"/>
      <c r="BP525" s="10"/>
      <c r="BQ525" s="10"/>
      <c r="BR525" s="10"/>
      <c r="BS525" s="10"/>
      <c r="BT525" s="10"/>
      <c r="BU525" s="10"/>
    </row>
    <row r="526" spans="15:73" x14ac:dyDescent="0.2"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10"/>
      <c r="AX526" s="10"/>
      <c r="AY526" s="10"/>
      <c r="AZ526" s="10"/>
      <c r="BA526" s="10"/>
      <c r="BB526" s="10"/>
      <c r="BC526" s="10"/>
      <c r="BD526" s="10"/>
      <c r="BE526" s="10"/>
      <c r="BF526" s="10"/>
      <c r="BG526" s="10"/>
      <c r="BH526" s="10"/>
      <c r="BI526" s="10"/>
      <c r="BJ526" s="10"/>
      <c r="BK526" s="10"/>
      <c r="BL526" s="10"/>
      <c r="BM526" s="10"/>
      <c r="BN526" s="10"/>
      <c r="BO526" s="10"/>
      <c r="BP526" s="10"/>
      <c r="BQ526" s="10"/>
      <c r="BR526" s="10"/>
      <c r="BS526" s="10"/>
      <c r="BT526" s="10"/>
      <c r="BU526" s="10"/>
    </row>
    <row r="527" spans="15:73" x14ac:dyDescent="0.2"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"/>
      <c r="BC527" s="10"/>
      <c r="BD527" s="10"/>
      <c r="BE527" s="10"/>
      <c r="BF527" s="10"/>
      <c r="BG527" s="10"/>
      <c r="BH527" s="10"/>
      <c r="BI527" s="10"/>
      <c r="BJ527" s="10"/>
      <c r="BK527" s="10"/>
      <c r="BL527" s="10"/>
      <c r="BM527" s="10"/>
      <c r="BN527" s="10"/>
      <c r="BO527" s="10"/>
      <c r="BP527" s="10"/>
      <c r="BQ527" s="10"/>
      <c r="BR527" s="10"/>
      <c r="BS527" s="10"/>
      <c r="BT527" s="10"/>
      <c r="BU527" s="10"/>
    </row>
    <row r="528" spans="15:73" x14ac:dyDescent="0.2"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10"/>
      <c r="AX528" s="10"/>
      <c r="AY528" s="10"/>
      <c r="AZ528" s="10"/>
      <c r="BA528" s="10"/>
      <c r="BB528" s="10"/>
      <c r="BC528" s="10"/>
      <c r="BD528" s="10"/>
      <c r="BE528" s="10"/>
      <c r="BF528" s="10"/>
      <c r="BG528" s="10"/>
      <c r="BH528" s="10"/>
      <c r="BI528" s="10"/>
      <c r="BJ528" s="10"/>
      <c r="BK528" s="10"/>
      <c r="BL528" s="10"/>
      <c r="BM528" s="10"/>
      <c r="BN528" s="10"/>
      <c r="BO528" s="10"/>
      <c r="BP528" s="10"/>
      <c r="BQ528" s="10"/>
      <c r="BR528" s="10"/>
      <c r="BS528" s="10"/>
      <c r="BT528" s="10"/>
      <c r="BU528" s="10"/>
    </row>
    <row r="529" spans="15:73" x14ac:dyDescent="0.2"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10"/>
      <c r="AX529" s="10"/>
      <c r="AY529" s="10"/>
      <c r="AZ529" s="10"/>
      <c r="BA529" s="10"/>
      <c r="BB529" s="10"/>
      <c r="BC529" s="10"/>
      <c r="BD529" s="10"/>
      <c r="BE529" s="10"/>
      <c r="BF529" s="10"/>
      <c r="BG529" s="10"/>
      <c r="BH529" s="10"/>
      <c r="BI529" s="10"/>
      <c r="BJ529" s="10"/>
      <c r="BK529" s="10"/>
      <c r="BL529" s="10"/>
      <c r="BM529" s="10"/>
      <c r="BN529" s="10"/>
      <c r="BO529" s="10"/>
      <c r="BP529" s="10"/>
      <c r="BQ529" s="10"/>
      <c r="BR529" s="10"/>
      <c r="BS529" s="10"/>
      <c r="BT529" s="10"/>
      <c r="BU529" s="10"/>
    </row>
    <row r="530" spans="15:73" x14ac:dyDescent="0.2"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"/>
      <c r="BC530" s="10"/>
      <c r="BD530" s="10"/>
      <c r="BE530" s="10"/>
      <c r="BF530" s="10"/>
      <c r="BG530" s="10"/>
      <c r="BH530" s="10"/>
      <c r="BI530" s="10"/>
      <c r="BJ530" s="10"/>
      <c r="BK530" s="10"/>
      <c r="BL530" s="10"/>
      <c r="BM530" s="10"/>
      <c r="BN530" s="10"/>
      <c r="BO530" s="10"/>
      <c r="BP530" s="10"/>
      <c r="BQ530" s="10"/>
      <c r="BR530" s="10"/>
      <c r="BS530" s="10"/>
      <c r="BT530" s="10"/>
      <c r="BU530" s="10"/>
    </row>
    <row r="531" spans="15:73" x14ac:dyDescent="0.2"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"/>
      <c r="BC531" s="10"/>
      <c r="BD531" s="10"/>
      <c r="BE531" s="10"/>
      <c r="BF531" s="10"/>
      <c r="BG531" s="10"/>
      <c r="BH531" s="10"/>
      <c r="BI531" s="10"/>
      <c r="BJ531" s="10"/>
      <c r="BK531" s="10"/>
      <c r="BL531" s="10"/>
      <c r="BM531" s="10"/>
      <c r="BN531" s="10"/>
      <c r="BO531" s="10"/>
      <c r="BP531" s="10"/>
      <c r="BQ531" s="10"/>
      <c r="BR531" s="10"/>
      <c r="BS531" s="10"/>
      <c r="BT531" s="10"/>
      <c r="BU531" s="10"/>
    </row>
    <row r="532" spans="15:73" x14ac:dyDescent="0.2"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"/>
      <c r="BC532" s="10"/>
      <c r="BD532" s="10"/>
      <c r="BE532" s="10"/>
      <c r="BF532" s="10"/>
      <c r="BG532" s="10"/>
      <c r="BH532" s="10"/>
      <c r="BI532" s="10"/>
      <c r="BJ532" s="10"/>
      <c r="BK532" s="10"/>
      <c r="BL532" s="10"/>
      <c r="BM532" s="10"/>
      <c r="BN532" s="10"/>
      <c r="BO532" s="10"/>
      <c r="BP532" s="10"/>
      <c r="BQ532" s="10"/>
      <c r="BR532" s="10"/>
      <c r="BS532" s="10"/>
      <c r="BT532" s="10"/>
      <c r="BU532" s="10"/>
    </row>
    <row r="533" spans="15:73" x14ac:dyDescent="0.2"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10"/>
      <c r="AX533" s="10"/>
      <c r="AY533" s="10"/>
      <c r="AZ533" s="10"/>
      <c r="BA533" s="10"/>
      <c r="BB533" s="10"/>
      <c r="BC533" s="10"/>
      <c r="BD533" s="10"/>
      <c r="BE533" s="10"/>
      <c r="BF533" s="10"/>
      <c r="BG533" s="10"/>
      <c r="BH533" s="10"/>
      <c r="BI533" s="10"/>
      <c r="BJ533" s="10"/>
      <c r="BK533" s="10"/>
      <c r="BL533" s="10"/>
      <c r="BM533" s="10"/>
      <c r="BN533" s="10"/>
      <c r="BO533" s="10"/>
      <c r="BP533" s="10"/>
      <c r="BQ533" s="10"/>
      <c r="BR533" s="10"/>
      <c r="BS533" s="10"/>
      <c r="BT533" s="10"/>
      <c r="BU533" s="10"/>
    </row>
    <row r="534" spans="15:73" x14ac:dyDescent="0.2"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10"/>
      <c r="AX534" s="10"/>
      <c r="AY534" s="10"/>
      <c r="AZ534" s="10"/>
      <c r="BA534" s="10"/>
      <c r="BB534" s="10"/>
      <c r="BC534" s="10"/>
      <c r="BD534" s="10"/>
      <c r="BE534" s="10"/>
      <c r="BF534" s="10"/>
      <c r="BG534" s="10"/>
      <c r="BH534" s="10"/>
      <c r="BI534" s="10"/>
      <c r="BJ534" s="10"/>
      <c r="BK534" s="10"/>
      <c r="BL534" s="10"/>
      <c r="BM534" s="10"/>
      <c r="BN534" s="10"/>
      <c r="BO534" s="10"/>
      <c r="BP534" s="10"/>
      <c r="BQ534" s="10"/>
      <c r="BR534" s="10"/>
      <c r="BS534" s="10"/>
      <c r="BT534" s="10"/>
      <c r="BU534" s="10"/>
    </row>
  </sheetData>
  <dataConsolidate/>
  <mergeCells count="5">
    <mergeCell ref="B5:C5"/>
    <mergeCell ref="B2:C2"/>
    <mergeCell ref="E2:H2"/>
    <mergeCell ref="J2:M2"/>
    <mergeCell ref="E5:N5"/>
  </mergeCells>
  <phoneticPr fontId="3" type="noConversion"/>
  <pageMargins left="0.75" right="0.75" top="1" bottom="1" header="0.5" footer="0.5"/>
  <pageSetup scale="64" orientation="portrait" verticalDpi="300" r:id="rId1"/>
  <headerFooter alignWithMargins="0"/>
  <ignoredErrors>
    <ignoredError sqref="K6:K7 K15 K23 K19 K2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3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7109375" customWidth="1"/>
    <col min="3" max="3" width="10.7109375" customWidth="1"/>
    <col min="4" max="4" width="7.7109375" customWidth="1"/>
    <col min="5" max="5" width="10.7109375" customWidth="1"/>
    <col min="6" max="6" width="1.7109375" customWidth="1"/>
    <col min="7" max="10" width="10.7109375" customWidth="1"/>
    <col min="11" max="11" width="7.7109375" customWidth="1"/>
  </cols>
  <sheetData>
    <row r="1" spans="1:12" ht="14.25" x14ac:dyDescent="0.2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</row>
    <row r="2" spans="1:12" ht="14.25" x14ac:dyDescent="0.2">
      <c r="A2" s="41"/>
      <c r="B2" s="158" t="s">
        <v>0</v>
      </c>
      <c r="C2" s="158"/>
      <c r="D2" s="158"/>
      <c r="E2" s="158"/>
      <c r="F2" s="44"/>
      <c r="G2" s="158" t="s">
        <v>24</v>
      </c>
      <c r="H2" s="158"/>
      <c r="I2" s="158"/>
      <c r="J2" s="41"/>
    </row>
    <row r="3" spans="1:12" ht="14.25" x14ac:dyDescent="0.2">
      <c r="A3" s="41" t="s">
        <v>84</v>
      </c>
      <c r="B3" s="43" t="s">
        <v>8</v>
      </c>
      <c r="C3" s="45"/>
      <c r="D3" s="45"/>
      <c r="E3" s="45"/>
      <c r="F3" s="45"/>
      <c r="G3" s="45"/>
      <c r="H3" s="45"/>
      <c r="I3" s="45"/>
      <c r="J3" s="43" t="s">
        <v>34</v>
      </c>
    </row>
    <row r="4" spans="1:12" ht="14.25" x14ac:dyDescent="0.2">
      <c r="A4" s="46" t="s">
        <v>85</v>
      </c>
      <c r="B4" s="48" t="s">
        <v>33</v>
      </c>
      <c r="C4" s="48" t="s">
        <v>1</v>
      </c>
      <c r="D4" s="48" t="s">
        <v>2</v>
      </c>
      <c r="E4" s="50" t="s">
        <v>32</v>
      </c>
      <c r="F4" s="49"/>
      <c r="G4" s="48" t="s">
        <v>35</v>
      </c>
      <c r="H4" s="48" t="s">
        <v>31</v>
      </c>
      <c r="I4" s="48" t="s">
        <v>32</v>
      </c>
      <c r="J4" s="48" t="s">
        <v>97</v>
      </c>
    </row>
    <row r="5" spans="1:12" ht="14.25" x14ac:dyDescent="0.2">
      <c r="A5" s="41"/>
      <c r="B5" s="157" t="s">
        <v>105</v>
      </c>
      <c r="C5" s="157"/>
      <c r="D5" s="157"/>
      <c r="E5" s="157"/>
      <c r="F5" s="157"/>
      <c r="G5" s="157"/>
      <c r="H5" s="157"/>
      <c r="I5" s="157"/>
      <c r="J5" s="157"/>
    </row>
    <row r="6" spans="1:12" ht="16.5" x14ac:dyDescent="0.2">
      <c r="A6" s="41" t="s">
        <v>126</v>
      </c>
      <c r="B6" s="80">
        <v>263.88600000000002</v>
      </c>
      <c r="C6" s="81">
        <v>44787.017</v>
      </c>
      <c r="D6" s="81">
        <v>349.553099354697</v>
      </c>
      <c r="E6" s="81">
        <f>+B6+C6+D6</f>
        <v>45400.456099354698</v>
      </c>
      <c r="F6" s="81"/>
      <c r="G6" s="81">
        <f>+I6-H6</f>
        <v>33419.538222414194</v>
      </c>
      <c r="H6" s="81">
        <v>11580.287876940511</v>
      </c>
      <c r="I6" s="81">
        <f>+E6-J6</f>
        <v>44999.826099354701</v>
      </c>
      <c r="J6" s="81">
        <v>400.63</v>
      </c>
    </row>
    <row r="7" spans="1:12" ht="16.5" x14ac:dyDescent="0.2">
      <c r="A7" s="41" t="s">
        <v>145</v>
      </c>
      <c r="B7" s="80">
        <f>J6</f>
        <v>400.63</v>
      </c>
      <c r="C7" s="81">
        <f>C23</f>
        <v>49215.829000000005</v>
      </c>
      <c r="D7" s="81">
        <f>D23</f>
        <v>495.14565941574295</v>
      </c>
      <c r="E7" s="81">
        <f>+B7+C7+D7</f>
        <v>50111.604659415745</v>
      </c>
      <c r="F7" s="81"/>
      <c r="G7" s="81">
        <f>+I7-H7</f>
        <v>34733.11146749364</v>
      </c>
      <c r="H7" s="81">
        <f>H23</f>
        <v>14825.621191922099</v>
      </c>
      <c r="I7" s="81">
        <f>+E7-J7</f>
        <v>49558.732659415742</v>
      </c>
      <c r="J7" s="81">
        <f>J22</f>
        <v>552.87200000000007</v>
      </c>
    </row>
    <row r="8" spans="1:12" ht="16.5" x14ac:dyDescent="0.2">
      <c r="A8" s="41" t="s">
        <v>168</v>
      </c>
      <c r="B8" s="80">
        <f>J7</f>
        <v>552.87200000000007</v>
      </c>
      <c r="C8" s="81">
        <v>49147</v>
      </c>
      <c r="D8" s="81">
        <v>350</v>
      </c>
      <c r="E8" s="81">
        <f>+B8+C8+D8</f>
        <v>50049.872000000003</v>
      </c>
      <c r="F8" s="81"/>
      <c r="G8" s="81">
        <f>+I8-H8</f>
        <v>35849.872000000003</v>
      </c>
      <c r="H8" s="81">
        <v>13750</v>
      </c>
      <c r="I8" s="81">
        <f>+E8-J8</f>
        <v>49599.872000000003</v>
      </c>
      <c r="J8" s="81">
        <v>450</v>
      </c>
    </row>
    <row r="9" spans="1:12" ht="14.25" x14ac:dyDescent="0.2">
      <c r="A9" s="41"/>
      <c r="B9" s="82"/>
      <c r="C9" s="82"/>
      <c r="D9" s="82"/>
      <c r="E9" s="82"/>
      <c r="F9" s="82"/>
      <c r="G9" s="82"/>
      <c r="H9" s="82"/>
      <c r="I9" s="82"/>
      <c r="J9" s="82"/>
    </row>
    <row r="10" spans="1:12" ht="14.25" x14ac:dyDescent="0.2">
      <c r="A10" s="41" t="s">
        <v>121</v>
      </c>
      <c r="B10" s="82"/>
      <c r="C10" s="62"/>
      <c r="D10" s="62"/>
      <c r="E10" s="62"/>
      <c r="F10" s="83"/>
      <c r="G10" s="62"/>
      <c r="H10" s="62"/>
      <c r="I10" s="62"/>
      <c r="J10" s="83"/>
    </row>
    <row r="11" spans="1:12" ht="15.75" x14ac:dyDescent="0.25">
      <c r="A11" s="44" t="s">
        <v>58</v>
      </c>
      <c r="B11" s="84">
        <f>353.758+46.872</f>
        <v>400.63</v>
      </c>
      <c r="C11" s="62">
        <f>3847.77+276.055</f>
        <v>4123.8249999999998</v>
      </c>
      <c r="D11" s="62">
        <f>(22847.236+3613+112.237+227.84)*2.204622/2000</f>
        <v>29.542279823343005</v>
      </c>
      <c r="E11" s="62">
        <f t="shared" ref="E11:E16" si="0">SUM(B11:D11)</f>
        <v>4553.997279823343</v>
      </c>
      <c r="F11" s="83"/>
      <c r="G11" s="85">
        <f t="shared" ref="G11:G16" si="1">I11-H11</f>
        <v>3378.7416613199302</v>
      </c>
      <c r="H11" s="62">
        <f>((600.174309+9.196+100.005374))*(2.204622/2)</f>
        <v>781.95261850341296</v>
      </c>
      <c r="I11" s="83">
        <f t="shared" ref="I11:I17" si="2">E11-J11</f>
        <v>4160.6942798233431</v>
      </c>
      <c r="J11" s="62">
        <f>350.935+42.368</f>
        <v>393.303</v>
      </c>
      <c r="K11" s="23"/>
      <c r="L11" s="23"/>
    </row>
    <row r="12" spans="1:12" ht="15.75" x14ac:dyDescent="0.25">
      <c r="A12" s="44" t="s">
        <v>59</v>
      </c>
      <c r="B12" s="84">
        <f t="shared" ref="B12:B18" si="3">J11</f>
        <v>393.303</v>
      </c>
      <c r="C12" s="62">
        <f>3829.14+272.552</f>
        <v>4101.692</v>
      </c>
      <c r="D12" s="62">
        <f>(24089.253+6879+138.856+88.687)*2.204622/2000</f>
        <v>34.387469084556002</v>
      </c>
      <c r="E12" s="62">
        <f t="shared" si="0"/>
        <v>4529.3824690845559</v>
      </c>
      <c r="F12" s="83"/>
      <c r="G12" s="85">
        <f t="shared" si="1"/>
        <v>3025.7385579029396</v>
      </c>
      <c r="H12" s="62">
        <f>((805.972095+9.59+195.528161))*(2.204622/2)</f>
        <v>1114.535911181616</v>
      </c>
      <c r="I12" s="83">
        <f t="shared" si="2"/>
        <v>4140.2744690845557</v>
      </c>
      <c r="J12" s="62">
        <f>354.998+34.11</f>
        <v>389.108</v>
      </c>
      <c r="K12" s="23"/>
      <c r="L12" s="23"/>
    </row>
    <row r="13" spans="1:12" ht="15.75" x14ac:dyDescent="0.25">
      <c r="A13" s="44" t="s">
        <v>60</v>
      </c>
      <c r="B13" s="84">
        <f t="shared" si="3"/>
        <v>389.108</v>
      </c>
      <c r="C13" s="62">
        <f>3904.161+268.856</f>
        <v>4173.0169999999998</v>
      </c>
      <c r="D13" s="62">
        <f>(24389.331+4562+327.365+22.939)*2.204622/2000</f>
        <v>32.299514578485002</v>
      </c>
      <c r="E13" s="62">
        <f t="shared" si="0"/>
        <v>4594.4245145784853</v>
      </c>
      <c r="F13" s="83"/>
      <c r="G13" s="85">
        <f t="shared" si="1"/>
        <v>2850.6246743459992</v>
      </c>
      <c r="H13" s="62">
        <f>((830.201079+4.499+243.868347))*(2.204622/2)</f>
        <v>1188.917840232486</v>
      </c>
      <c r="I13" s="83">
        <f t="shared" si="2"/>
        <v>4039.5425145784852</v>
      </c>
      <c r="J13" s="62">
        <f>506.203+48.679</f>
        <v>554.88199999999995</v>
      </c>
      <c r="K13" s="23"/>
      <c r="L13" s="23"/>
    </row>
    <row r="14" spans="1:12" ht="15.75" x14ac:dyDescent="0.25">
      <c r="A14" s="44" t="s">
        <v>61</v>
      </c>
      <c r="B14" s="84">
        <f t="shared" si="3"/>
        <v>554.88199999999995</v>
      </c>
      <c r="C14" s="62">
        <f>3859.849+268.466</f>
        <v>4128.3150000000005</v>
      </c>
      <c r="D14" s="62">
        <f>(36971.805+5379+529.766+155.003)*2.204622/2000</f>
        <v>47.438586611514005</v>
      </c>
      <c r="E14" s="62">
        <f t="shared" si="0"/>
        <v>4730.6355866115146</v>
      </c>
      <c r="F14" s="83"/>
      <c r="G14" s="85">
        <f t="shared" si="1"/>
        <v>3137.9027527343933</v>
      </c>
      <c r="H14" s="62">
        <f>((963.675889+8.332+100.939613))*(2.204622/2)</f>
        <v>1182.721833877122</v>
      </c>
      <c r="I14" s="83">
        <f t="shared" si="2"/>
        <v>4320.624586611515</v>
      </c>
      <c r="J14" s="62">
        <f>379.359+30.652</f>
        <v>410.01099999999997</v>
      </c>
      <c r="K14" s="23"/>
      <c r="L14" s="23"/>
    </row>
    <row r="15" spans="1:12" ht="15.75" x14ac:dyDescent="0.25">
      <c r="A15" s="44" t="s">
        <v>62</v>
      </c>
      <c r="B15" s="84">
        <f t="shared" si="3"/>
        <v>410.01099999999997</v>
      </c>
      <c r="C15" s="62">
        <f>3651.786+247.786</f>
        <v>3899.5720000000001</v>
      </c>
      <c r="D15" s="62">
        <f>(38660.509+4701+268.165+52.191)*2.204622/2000</f>
        <v>48.151000290014998</v>
      </c>
      <c r="E15" s="62">
        <f t="shared" si="0"/>
        <v>4357.7340002900155</v>
      </c>
      <c r="F15" s="83"/>
      <c r="G15" s="85">
        <f t="shared" si="1"/>
        <v>2658.6559813247736</v>
      </c>
      <c r="H15" s="62">
        <f>((928.305283+11.173+188.412139))*(2.204622/2)</f>
        <v>1243.286018965242</v>
      </c>
      <c r="I15" s="83">
        <f t="shared" si="2"/>
        <v>3901.9420002900156</v>
      </c>
      <c r="J15" s="62">
        <f>415.077+40.715</f>
        <v>455.79200000000003</v>
      </c>
      <c r="K15" s="23"/>
      <c r="L15" s="23"/>
    </row>
    <row r="16" spans="1:12" ht="15.75" x14ac:dyDescent="0.25">
      <c r="A16" s="44" t="s">
        <v>63</v>
      </c>
      <c r="B16" s="84">
        <f t="shared" si="3"/>
        <v>455.79200000000003</v>
      </c>
      <c r="C16" s="62">
        <f>4029.272+277.277</f>
        <v>4306.549</v>
      </c>
      <c r="D16" s="62">
        <f>(44293.716+6632+552.284+45.659)*2.204622/2000</f>
        <v>56.795096075949004</v>
      </c>
      <c r="E16" s="62">
        <f t="shared" si="0"/>
        <v>4819.1360960759494</v>
      </c>
      <c r="F16" s="83"/>
      <c r="G16" s="85">
        <f t="shared" si="1"/>
        <v>2860.0986151257603</v>
      </c>
      <c r="H16" s="62">
        <f>((1087.910534+8.669+186.947965))*(2.204622/2)</f>
        <v>1414.8464809501893</v>
      </c>
      <c r="I16" s="83">
        <f t="shared" si="2"/>
        <v>4274.9450960759496</v>
      </c>
      <c r="J16" s="62">
        <f>492.224+51.967</f>
        <v>544.19100000000003</v>
      </c>
      <c r="K16" s="23"/>
      <c r="L16" s="23"/>
    </row>
    <row r="17" spans="1:12" ht="15.75" x14ac:dyDescent="0.25">
      <c r="A17" s="44" t="s">
        <v>64</v>
      </c>
      <c r="B17" s="84">
        <f t="shared" si="3"/>
        <v>544.19100000000003</v>
      </c>
      <c r="C17" s="62">
        <f>3822.338+257.585</f>
        <v>4079.9230000000002</v>
      </c>
      <c r="D17" s="62">
        <f>(28045.93+7488+746.07+92.753)*2.204622/2000</f>
        <v>40.094085732182997</v>
      </c>
      <c r="E17" s="62">
        <f t="shared" ref="E17:E22" si="4">SUM(B17:D17)</f>
        <v>4664.2080857321835</v>
      </c>
      <c r="F17" s="83"/>
      <c r="G17" s="85">
        <f t="shared" ref="G17:G22" si="5">I17-H17</f>
        <v>2883.6715361031738</v>
      </c>
      <c r="H17" s="62">
        <f>((939.851833+12.285+252.977286))*(2.204622/2)</f>
        <v>1328.4105496290092</v>
      </c>
      <c r="I17" s="83">
        <f t="shared" si="2"/>
        <v>4212.0820857321833</v>
      </c>
      <c r="J17" s="62">
        <f>404.468+47.658</f>
        <v>452.12600000000003</v>
      </c>
      <c r="K17" s="23"/>
      <c r="L17" s="23"/>
    </row>
    <row r="18" spans="1:12" ht="15.75" x14ac:dyDescent="0.25">
      <c r="A18" s="44" t="s">
        <v>65</v>
      </c>
      <c r="B18" s="84">
        <f t="shared" si="3"/>
        <v>452.12600000000003</v>
      </c>
      <c r="C18" s="62">
        <f>3846.687+262.574</f>
        <v>4109.2609999999995</v>
      </c>
      <c r="D18" s="62">
        <f>(30307.778+8732+999.903+277.738)*2.204622/2000</f>
        <v>44.442334455308995</v>
      </c>
      <c r="E18" s="62">
        <f t="shared" si="4"/>
        <v>4605.8293344553085</v>
      </c>
      <c r="F18" s="83"/>
      <c r="G18" s="85">
        <f t="shared" si="5"/>
        <v>2837.7341102318351</v>
      </c>
      <c r="H18" s="62">
        <f>((931.728038+14.292+265.043105))*(2.204622/2)</f>
        <v>1334.968224223473</v>
      </c>
      <c r="I18" s="83">
        <f>E18-J18</f>
        <v>4172.7023344553081</v>
      </c>
      <c r="J18" s="62">
        <f>391.812+41.315</f>
        <v>433.12700000000001</v>
      </c>
      <c r="K18" s="23"/>
      <c r="L18" s="23"/>
    </row>
    <row r="19" spans="1:12" ht="15.75" x14ac:dyDescent="0.25">
      <c r="A19" s="44" t="s">
        <v>66</v>
      </c>
      <c r="B19" s="84">
        <f>J18</f>
        <v>433.12700000000001</v>
      </c>
      <c r="C19" s="62">
        <f>3778.127+254.192</f>
        <v>4032.319</v>
      </c>
      <c r="D19" s="62">
        <f>(32240.674+5482+601.309+347.659)*2.204622/2000</f>
        <v>42.628176364662004</v>
      </c>
      <c r="E19" s="62">
        <f t="shared" si="4"/>
        <v>4508.074176364662</v>
      </c>
      <c r="F19" s="83"/>
      <c r="G19" s="85">
        <f t="shared" si="5"/>
        <v>2631.8480803154871</v>
      </c>
      <c r="H19" s="62">
        <f>((1029.570683+13.178+297.795951))*(2.204622/2)</f>
        <v>1477.6970960491742</v>
      </c>
      <c r="I19" s="83">
        <f>E19-J19</f>
        <v>4109.5451763646615</v>
      </c>
      <c r="J19" s="62">
        <f>359.823+38.706</f>
        <v>398.529</v>
      </c>
      <c r="K19" s="23"/>
      <c r="L19" s="23"/>
    </row>
    <row r="20" spans="1:12" ht="15.75" x14ac:dyDescent="0.25">
      <c r="A20" s="44" t="s">
        <v>68</v>
      </c>
      <c r="B20" s="84">
        <f>J19</f>
        <v>398.529</v>
      </c>
      <c r="C20" s="62">
        <f>3979.12+265.562</f>
        <v>4244.6819999999998</v>
      </c>
      <c r="D20" s="62">
        <f>(25790.768+9506+404.699+474.826)*2.204622/2000</f>
        <v>39.877525713122992</v>
      </c>
      <c r="E20" s="62">
        <f t="shared" si="4"/>
        <v>4683.0885257131222</v>
      </c>
      <c r="F20" s="83"/>
      <c r="G20" s="85">
        <f t="shared" si="5"/>
        <v>2917.1928897382468</v>
      </c>
      <c r="H20" s="62">
        <f>((871.419645+16.308+249.39848))*(2.204622/2)</f>
        <v>1253.4666359748751</v>
      </c>
      <c r="I20" s="83">
        <f>E20-J20</f>
        <v>4170.6595257131221</v>
      </c>
      <c r="J20" s="62">
        <f>462.35+50.079</f>
        <v>512.42899999999997</v>
      </c>
      <c r="K20" s="23"/>
      <c r="L20" s="23"/>
    </row>
    <row r="21" spans="1:12" ht="15.75" x14ac:dyDescent="0.25">
      <c r="A21" s="44" t="s">
        <v>69</v>
      </c>
      <c r="B21" s="84">
        <f>J20</f>
        <v>512.42899999999997</v>
      </c>
      <c r="C21" s="62">
        <f>3771.727+259.078</f>
        <v>4030.8049999999998</v>
      </c>
      <c r="D21" s="62">
        <f>(30811.776+9784+380.962+375.799)*2.204622/2000</f>
        <v>45.583356413007003</v>
      </c>
      <c r="E21" s="62">
        <f t="shared" si="4"/>
        <v>4588.8173564130066</v>
      </c>
      <c r="F21" s="83"/>
      <c r="G21" s="85">
        <f t="shared" si="5"/>
        <v>2843.5690296272546</v>
      </c>
      <c r="H21" s="62">
        <f>((990.184003+14.522+214.727829))*(2.204622/2)</f>
        <v>1344.1953267857521</v>
      </c>
      <c r="I21" s="83">
        <f>E21-J21</f>
        <v>4187.7643564130067</v>
      </c>
      <c r="J21" s="62">
        <f>359.936+41.117</f>
        <v>401.053</v>
      </c>
      <c r="K21" s="23"/>
      <c r="L21" s="23"/>
    </row>
    <row r="22" spans="1:12" ht="15.75" x14ac:dyDescent="0.25">
      <c r="A22" s="44" t="s">
        <v>71</v>
      </c>
      <c r="B22" s="84">
        <f>J21</f>
        <v>401.053</v>
      </c>
      <c r="C22" s="62">
        <f>3731.6+254.269</f>
        <v>3985.8689999999997</v>
      </c>
      <c r="D22" s="62">
        <f>(21488.826+7910+984.314+376.087)*2.204622/2000</f>
        <v>33.906234273597001</v>
      </c>
      <c r="E22" s="62">
        <f t="shared" si="4"/>
        <v>4420.8282342735965</v>
      </c>
      <c r="F22" s="83"/>
      <c r="G22" s="85">
        <f t="shared" si="5"/>
        <v>2707.3335787238475</v>
      </c>
      <c r="H22" s="62">
        <f>((822.935166+16.362+213.602293))*(2.204622/2)</f>
        <v>1160.622655549749</v>
      </c>
      <c r="I22" s="83">
        <f>E22-J22</f>
        <v>3867.9562342735962</v>
      </c>
      <c r="J22" s="62">
        <f>498.862+54.01</f>
        <v>552.87200000000007</v>
      </c>
      <c r="K22" s="23"/>
      <c r="L22" s="23"/>
    </row>
    <row r="23" spans="1:12" ht="15.75" x14ac:dyDescent="0.25">
      <c r="A23" s="44" t="s">
        <v>3</v>
      </c>
      <c r="B23" s="84"/>
      <c r="C23" s="62">
        <f>SUM(C11:C22)</f>
        <v>49215.829000000005</v>
      </c>
      <c r="D23" s="62">
        <f>SUM(D11:D22)</f>
        <v>495.14565941574295</v>
      </c>
      <c r="E23" s="62">
        <f>B11+C23+D23</f>
        <v>50111.604659415745</v>
      </c>
      <c r="F23" s="83"/>
      <c r="G23" s="85">
        <f>SUM(G11:G22)</f>
        <v>34733.11146749364</v>
      </c>
      <c r="H23" s="62">
        <f>SUM(H11:H22)</f>
        <v>14825.621191922099</v>
      </c>
      <c r="I23" s="83">
        <f>SUM(I11:I22)</f>
        <v>49558.732659415735</v>
      </c>
      <c r="J23" s="62"/>
      <c r="K23" s="23"/>
      <c r="L23" s="23"/>
    </row>
    <row r="24" spans="1:12" ht="14.25" x14ac:dyDescent="0.2">
      <c r="A24" s="44"/>
      <c r="B24" s="84"/>
      <c r="C24" s="62"/>
      <c r="D24" s="62"/>
      <c r="E24" s="62"/>
      <c r="F24" s="62"/>
      <c r="G24" s="62"/>
      <c r="H24" s="62"/>
      <c r="I24" s="62"/>
      <c r="J24" s="62"/>
    </row>
    <row r="25" spans="1:12" ht="14.25" x14ac:dyDescent="0.2">
      <c r="A25" s="41" t="s">
        <v>173</v>
      </c>
      <c r="B25" s="84"/>
      <c r="C25" s="62"/>
      <c r="D25" s="62"/>
      <c r="E25" s="62"/>
      <c r="F25" s="62"/>
      <c r="G25" s="62"/>
      <c r="H25" s="62"/>
      <c r="I25" s="62"/>
      <c r="J25" s="62"/>
    </row>
    <row r="26" spans="1:12" ht="14.25" x14ac:dyDescent="0.2">
      <c r="A26" s="40" t="s">
        <v>58</v>
      </c>
      <c r="B26" s="86">
        <f>J22</f>
        <v>552.87200000000007</v>
      </c>
      <c r="C26" s="71">
        <f>4007.671+270.093</f>
        <v>4277.7640000000001</v>
      </c>
      <c r="D26" s="71">
        <f>(38926.531+8534+588.568+342.761)*2.204622/2000</f>
        <v>53.342879588460001</v>
      </c>
      <c r="E26" s="71">
        <f>SUM(B26:D26)</f>
        <v>4883.9788795884606</v>
      </c>
      <c r="F26" s="71"/>
      <c r="G26" s="71">
        <f>I26-H26</f>
        <v>3333.605814257905</v>
      </c>
      <c r="H26" s="71">
        <f>((777.632699+6.862+220.334306))*(2.204622/2)</f>
        <v>1107.6340653305549</v>
      </c>
      <c r="I26" s="71">
        <f>E26-J26</f>
        <v>4441.2398795884601</v>
      </c>
      <c r="J26" s="71">
        <f>397.413+45.326</f>
        <v>442.73900000000003</v>
      </c>
    </row>
    <row r="27" spans="1:12" ht="16.5" x14ac:dyDescent="0.2">
      <c r="A27" s="87" t="s">
        <v>130</v>
      </c>
      <c r="B27" s="41"/>
      <c r="C27" s="41"/>
      <c r="D27" s="41"/>
      <c r="E27" s="41"/>
      <c r="F27" s="41"/>
      <c r="G27" s="41"/>
      <c r="H27" s="41"/>
      <c r="I27" s="41"/>
      <c r="J27" s="41"/>
    </row>
    <row r="28" spans="1:12" ht="14.25" x14ac:dyDescent="0.2">
      <c r="A28" s="41" t="s">
        <v>131</v>
      </c>
      <c r="B28" s="41"/>
      <c r="C28" s="41"/>
      <c r="D28" s="41"/>
      <c r="E28" s="41"/>
      <c r="F28" s="41"/>
      <c r="G28" s="41"/>
      <c r="H28" s="41"/>
      <c r="I28" s="41"/>
      <c r="J28" s="41"/>
    </row>
    <row r="29" spans="1:12" ht="14.25" x14ac:dyDescent="0.2">
      <c r="A29" s="41" t="s">
        <v>26</v>
      </c>
      <c r="B29" s="79">
        <f ca="1">NOW()</f>
        <v>43447.492243749999</v>
      </c>
      <c r="C29" s="61"/>
      <c r="D29" s="57"/>
      <c r="E29" s="57"/>
      <c r="F29" s="57"/>
      <c r="G29" s="57"/>
      <c r="H29" s="57"/>
      <c r="I29" s="57"/>
      <c r="J29" s="57"/>
    </row>
    <row r="30" spans="1:12" x14ac:dyDescent="0.2">
      <c r="A30" s="1"/>
      <c r="B30" s="3"/>
      <c r="C30" s="4"/>
      <c r="D30" s="3"/>
      <c r="E30" s="3"/>
      <c r="F30" s="3"/>
      <c r="G30" s="3"/>
      <c r="H30" s="5"/>
      <c r="I30" s="3"/>
      <c r="J30" s="3"/>
    </row>
    <row r="31" spans="1:12" x14ac:dyDescent="0.2">
      <c r="A31" s="1"/>
      <c r="B31" s="3"/>
      <c r="C31" s="3"/>
      <c r="D31" s="3"/>
      <c r="E31" s="3"/>
      <c r="F31" s="3"/>
      <c r="G31" s="3"/>
      <c r="H31" s="3"/>
      <c r="I31" s="3"/>
      <c r="J31" s="3"/>
    </row>
    <row r="32" spans="1:12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mergeCells count="3">
    <mergeCell ref="G2:I2"/>
    <mergeCell ref="B5:J5"/>
    <mergeCell ref="B2:E2"/>
  </mergeCells>
  <phoneticPr fontId="3" type="noConversion"/>
  <pageMargins left="0.75" right="0.75" top="1" bottom="1" header="0.5" footer="0.5"/>
  <pageSetup scale="9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0"/>
  <sheetViews>
    <sheetView showGridLines="0" zoomScaleNormal="100" workbookViewId="0"/>
  </sheetViews>
  <sheetFormatPr defaultRowHeight="12.75" x14ac:dyDescent="0.2"/>
  <cols>
    <col min="1" max="1" width="14.5703125" customWidth="1"/>
    <col min="2" max="2" width="11.7109375" customWidth="1"/>
    <col min="3" max="3" width="10.7109375" customWidth="1"/>
    <col min="4" max="4" width="9.5703125" bestFit="1" customWidth="1"/>
    <col min="5" max="5" width="11.28515625" bestFit="1" customWidth="1"/>
    <col min="6" max="6" width="3.7109375" customWidth="1"/>
    <col min="7" max="7" width="10.7109375" bestFit="1" customWidth="1"/>
    <col min="8" max="8" width="10.7109375" customWidth="1"/>
    <col min="9" max="9" width="12.7109375" customWidth="1"/>
    <col min="10" max="10" width="9.7109375" customWidth="1"/>
    <col min="11" max="11" width="10.7109375" customWidth="1"/>
    <col min="12" max="12" width="9.5703125" bestFit="1" customWidth="1"/>
    <col min="14" max="14" width="9.28515625" bestFit="1" customWidth="1"/>
  </cols>
  <sheetData>
    <row r="1" spans="1:13" ht="14.25" x14ac:dyDescent="0.2">
      <c r="A1" s="40" t="s">
        <v>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3" ht="14.25" x14ac:dyDescent="0.2">
      <c r="A2" s="41"/>
      <c r="B2" s="158" t="s">
        <v>0</v>
      </c>
      <c r="C2" s="158"/>
      <c r="D2" s="158"/>
      <c r="E2" s="158"/>
      <c r="F2" s="44"/>
      <c r="G2" s="158" t="s">
        <v>24</v>
      </c>
      <c r="H2" s="158"/>
      <c r="I2" s="158"/>
      <c r="J2" s="42"/>
      <c r="K2" s="42"/>
      <c r="L2" s="41"/>
    </row>
    <row r="3" spans="1:13" ht="14.25" x14ac:dyDescent="0.2">
      <c r="A3" s="41" t="s">
        <v>84</v>
      </c>
      <c r="B3" s="43" t="s">
        <v>36</v>
      </c>
      <c r="C3" s="88" t="s">
        <v>1</v>
      </c>
      <c r="D3" s="88" t="s">
        <v>37</v>
      </c>
      <c r="E3" s="88" t="s">
        <v>32</v>
      </c>
      <c r="F3" s="88"/>
      <c r="G3" s="42" t="s">
        <v>35</v>
      </c>
      <c r="H3" s="42"/>
      <c r="I3" s="42"/>
      <c r="J3" s="88" t="s">
        <v>39</v>
      </c>
      <c r="K3" s="88" t="s">
        <v>32</v>
      </c>
      <c r="L3" s="88" t="s">
        <v>34</v>
      </c>
    </row>
    <row r="4" spans="1:13" ht="14.25" x14ac:dyDescent="0.2">
      <c r="A4" s="46" t="s">
        <v>85</v>
      </c>
      <c r="B4" s="48" t="s">
        <v>33</v>
      </c>
      <c r="C4" s="49"/>
      <c r="D4" s="49"/>
      <c r="E4" s="49"/>
      <c r="F4" s="49"/>
      <c r="G4" s="48" t="s">
        <v>3</v>
      </c>
      <c r="H4" s="48" t="s">
        <v>98</v>
      </c>
      <c r="I4" s="48" t="s">
        <v>120</v>
      </c>
      <c r="J4" s="49"/>
      <c r="K4" s="49"/>
      <c r="L4" s="88" t="s">
        <v>97</v>
      </c>
    </row>
    <row r="5" spans="1:13" ht="14.25" x14ac:dyDescent="0.2">
      <c r="A5" s="41"/>
      <c r="B5" s="156" t="s">
        <v>111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</row>
    <row r="6" spans="1:13" ht="14.25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3" ht="16.5" x14ac:dyDescent="0.2">
      <c r="A7" s="41" t="s">
        <v>126</v>
      </c>
      <c r="B7" s="82">
        <v>1686.8130000000001</v>
      </c>
      <c r="C7" s="82">
        <v>22123.409</v>
      </c>
      <c r="D7" s="82">
        <v>318.70876757353199</v>
      </c>
      <c r="E7" s="82">
        <f>+B7+C7+D7</f>
        <v>24128.930767573533</v>
      </c>
      <c r="F7" s="82"/>
      <c r="G7" s="82">
        <f>+K7-J7</f>
        <v>19862.314534937181</v>
      </c>
      <c r="H7" s="82">
        <v>6200.2999999999993</v>
      </c>
      <c r="I7" s="82">
        <f>G7-H7</f>
        <v>13662.014534937181</v>
      </c>
      <c r="J7" s="82">
        <v>2555.6622326363517</v>
      </c>
      <c r="K7" s="82">
        <f>+E7-L7</f>
        <v>22417.976767573531</v>
      </c>
      <c r="L7" s="82">
        <v>1710.954</v>
      </c>
      <c r="M7" s="17"/>
    </row>
    <row r="8" spans="1:13" ht="16.5" x14ac:dyDescent="0.2">
      <c r="A8" s="41" t="s">
        <v>145</v>
      </c>
      <c r="B8" s="82">
        <f>+L7</f>
        <v>1710.954</v>
      </c>
      <c r="C8" s="82">
        <f>C24</f>
        <v>23767.204000000002</v>
      </c>
      <c r="D8" s="82">
        <f>D24</f>
        <v>335.42550569064605</v>
      </c>
      <c r="E8" s="82">
        <f>+B8+C8+D8</f>
        <v>25813.583505690651</v>
      </c>
      <c r="F8" s="82"/>
      <c r="G8" s="82">
        <f>+K8-J8</f>
        <v>21376.433166286213</v>
      </c>
      <c r="H8" s="82">
        <f>H24</f>
        <v>7133.6900000000005</v>
      </c>
      <c r="I8" s="82">
        <f>G8-H8</f>
        <v>14242.743166286213</v>
      </c>
      <c r="J8" s="82">
        <f>J24</f>
        <v>2447.109339404436</v>
      </c>
      <c r="K8" s="82">
        <f>+E8-L8</f>
        <v>23823.54250569065</v>
      </c>
      <c r="L8" s="82">
        <f>L23</f>
        <v>1990.0409999999999</v>
      </c>
      <c r="M8" s="17"/>
    </row>
    <row r="9" spans="1:13" ht="16.5" x14ac:dyDescent="0.2">
      <c r="A9" s="41" t="s">
        <v>168</v>
      </c>
      <c r="B9" s="82">
        <f>+L8</f>
        <v>1990.0409999999999</v>
      </c>
      <c r="C9" s="82">
        <v>24025</v>
      </c>
      <c r="D9" s="82">
        <v>300</v>
      </c>
      <c r="E9" s="82">
        <f>+B9+C9+D9</f>
        <v>26315.041000000001</v>
      </c>
      <c r="F9" s="82"/>
      <c r="G9" s="82">
        <f>+K9-J9</f>
        <v>22200.041000000001</v>
      </c>
      <c r="H9" s="82">
        <v>7800</v>
      </c>
      <c r="I9" s="82">
        <f>G9-H9</f>
        <v>14400.041000000001</v>
      </c>
      <c r="J9" s="82">
        <v>2200</v>
      </c>
      <c r="K9" s="82">
        <f>+E9-L9</f>
        <v>24400.041000000001</v>
      </c>
      <c r="L9" s="82">
        <v>1915</v>
      </c>
      <c r="M9" s="17"/>
    </row>
    <row r="10" spans="1:13" ht="14.25" x14ac:dyDescent="0.2">
      <c r="A10" s="41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17"/>
    </row>
    <row r="11" spans="1:13" ht="14.25" x14ac:dyDescent="0.2">
      <c r="A11" s="41" t="s">
        <v>121</v>
      </c>
      <c r="B11" s="82"/>
      <c r="C11" s="62"/>
      <c r="D11" s="62"/>
      <c r="E11" s="62"/>
      <c r="F11" s="83"/>
      <c r="G11" s="62"/>
      <c r="H11" s="62"/>
      <c r="I11" s="62"/>
      <c r="J11" s="62"/>
      <c r="K11" s="62"/>
      <c r="L11" s="83"/>
    </row>
    <row r="12" spans="1:13" ht="14.25" x14ac:dyDescent="0.2">
      <c r="A12" s="44" t="s">
        <v>58</v>
      </c>
      <c r="B12" s="83">
        <f>1400.918+310.036</f>
        <v>1710.954</v>
      </c>
      <c r="C12" s="89">
        <v>2016.8879999999999</v>
      </c>
      <c r="D12" s="83">
        <f>(0.663115+0+13.936652+0)*2.204622</f>
        <v>32.186967523074003</v>
      </c>
      <c r="E12" s="83">
        <f t="shared" ref="E12:E18" si="0">SUM(B12:D12)</f>
        <v>3760.0289675230738</v>
      </c>
      <c r="F12" s="83"/>
      <c r="G12" s="83">
        <f t="shared" ref="G12:G18" si="1">K12-J12</f>
        <v>1921.1646905235377</v>
      </c>
      <c r="H12" s="83">
        <v>577.42999999999995</v>
      </c>
      <c r="I12" s="83">
        <f t="shared" ref="I12:I22" si="2">G12-H12</f>
        <v>1343.7346905235377</v>
      </c>
      <c r="J12" s="83">
        <f>(80.225792+0.085525+15.875468+0.265703)*2.204622</f>
        <v>212.64127699953602</v>
      </c>
      <c r="K12" s="83">
        <f t="shared" ref="K12:K18" si="3">E12-L12</f>
        <v>2133.8059675230738</v>
      </c>
      <c r="L12" s="83">
        <f>1300.36+325.863</f>
        <v>1626.223</v>
      </c>
    </row>
    <row r="13" spans="1:13" ht="14.25" x14ac:dyDescent="0.2">
      <c r="A13" s="44" t="s">
        <v>59</v>
      </c>
      <c r="B13" s="83">
        <f t="shared" ref="B13:B18" si="4">L12</f>
        <v>1626.223</v>
      </c>
      <c r="C13" s="62">
        <v>1977.0050000000001</v>
      </c>
      <c r="D13" s="83">
        <f>(0.66927+0+9.3206+0.0008)*2.204622</f>
        <v>22.025650876739999</v>
      </c>
      <c r="E13" s="83">
        <f t="shared" si="0"/>
        <v>3625.2536508767403</v>
      </c>
      <c r="F13" s="83"/>
      <c r="G13" s="83">
        <f t="shared" si="1"/>
        <v>1802.5259723672164</v>
      </c>
      <c r="H13" s="83">
        <v>590.79999999999995</v>
      </c>
      <c r="I13" s="83">
        <f t="shared" si="2"/>
        <v>1211.7259723672164</v>
      </c>
      <c r="J13" s="83">
        <f>(41.937459+0.208519+17.592609+0.202155)*2.204622</f>
        <v>132.14667850952398</v>
      </c>
      <c r="K13" s="83">
        <f t="shared" si="3"/>
        <v>1934.6726508767404</v>
      </c>
      <c r="L13" s="83">
        <f>1379.223+311.358</f>
        <v>1690.5809999999999</v>
      </c>
    </row>
    <row r="14" spans="1:13" ht="14.25" x14ac:dyDescent="0.2">
      <c r="A14" s="44" t="s">
        <v>60</v>
      </c>
      <c r="B14" s="83">
        <f t="shared" si="4"/>
        <v>1690.5809999999999</v>
      </c>
      <c r="C14" s="62">
        <v>2015.2560000000001</v>
      </c>
      <c r="D14" s="83">
        <f>(0.611691+0+13.538281+0.0008)*2.204622</f>
        <v>31.197103268184001</v>
      </c>
      <c r="E14" s="83">
        <f t="shared" si="0"/>
        <v>3737.034103268184</v>
      </c>
      <c r="F14" s="83"/>
      <c r="G14" s="83">
        <f t="shared" si="1"/>
        <v>1613.4431539013021</v>
      </c>
      <c r="H14" s="83">
        <v>593.99</v>
      </c>
      <c r="I14" s="83">
        <f t="shared" si="2"/>
        <v>1019.4531539013021</v>
      </c>
      <c r="J14" s="83">
        <f>(60.89152+0.230156+17.166633+0.145522)*2.204622</f>
        <v>172.91694936688199</v>
      </c>
      <c r="K14" s="83">
        <f t="shared" si="3"/>
        <v>1786.360103268184</v>
      </c>
      <c r="L14" s="83">
        <f>1583.544+367.13</f>
        <v>1950.674</v>
      </c>
    </row>
    <row r="15" spans="1:13" ht="14.25" x14ac:dyDescent="0.2">
      <c r="A15" s="44" t="s">
        <v>61</v>
      </c>
      <c r="B15" s="83">
        <f t="shared" si="4"/>
        <v>1950.674</v>
      </c>
      <c r="C15" s="62">
        <v>1995.5889999999999</v>
      </c>
      <c r="D15" s="83">
        <f>(0.671011+0.001728+9.360229+0)*2.204622</f>
        <v>22.118901978096002</v>
      </c>
      <c r="E15" s="83">
        <f t="shared" si="0"/>
        <v>3968.3819019780958</v>
      </c>
      <c r="F15" s="83"/>
      <c r="G15" s="83">
        <f t="shared" si="1"/>
        <v>1547.9299381743697</v>
      </c>
      <c r="H15" s="83">
        <v>462.12</v>
      </c>
      <c r="I15" s="83">
        <f t="shared" si="2"/>
        <v>1085.8099381743696</v>
      </c>
      <c r="J15" s="83">
        <f>(67.939406+0.153133+13.644+0.213094)*2.204622</f>
        <v>180.66796380372602</v>
      </c>
      <c r="K15" s="83">
        <f t="shared" si="3"/>
        <v>1728.5979019780957</v>
      </c>
      <c r="L15" s="83">
        <f>1886.728+353.056</f>
        <v>2239.7840000000001</v>
      </c>
    </row>
    <row r="16" spans="1:13" ht="14.25" x14ac:dyDescent="0.2">
      <c r="A16" s="44" t="s">
        <v>62</v>
      </c>
      <c r="B16" s="83">
        <f t="shared" si="4"/>
        <v>2239.7840000000001</v>
      </c>
      <c r="C16" s="62">
        <v>1889.8409999999999</v>
      </c>
      <c r="D16" s="83">
        <f>(10.974745+0+7.681166+0.0008)*2.204622</f>
        <v>41.130995518242003</v>
      </c>
      <c r="E16" s="83">
        <f t="shared" si="0"/>
        <v>4170.7559955182423</v>
      </c>
      <c r="F16" s="83"/>
      <c r="G16" s="83">
        <f t="shared" si="1"/>
        <v>1564.2792080768288</v>
      </c>
      <c r="H16" s="83">
        <v>495.59</v>
      </c>
      <c r="I16" s="83">
        <f t="shared" si="2"/>
        <v>1068.6892080768289</v>
      </c>
      <c r="J16" s="83">
        <f>(68.827952+0.142344+12.955662+0.217279)*2.204622</f>
        <v>181.09478744141401</v>
      </c>
      <c r="K16" s="83">
        <f t="shared" si="3"/>
        <v>1745.3739955182427</v>
      </c>
      <c r="L16" s="83">
        <f>2049.644+375.738</f>
        <v>2425.3819999999996</v>
      </c>
    </row>
    <row r="17" spans="1:12" ht="14.25" x14ac:dyDescent="0.2">
      <c r="A17" s="44" t="s">
        <v>63</v>
      </c>
      <c r="B17" s="83">
        <f t="shared" si="4"/>
        <v>2425.3819999999996</v>
      </c>
      <c r="C17" s="62">
        <v>2079.123</v>
      </c>
      <c r="D17" s="83">
        <f>(1.613442+0+7.947498+0.0008)*2.204622</f>
        <v>21.080022362280001</v>
      </c>
      <c r="E17" s="83">
        <f t="shared" si="0"/>
        <v>4525.5850223622792</v>
      </c>
      <c r="F17" s="83"/>
      <c r="G17" s="83">
        <f t="shared" si="1"/>
        <v>1879.5722664204213</v>
      </c>
      <c r="H17" s="83">
        <v>624.15</v>
      </c>
      <c r="I17" s="83">
        <f t="shared" si="2"/>
        <v>1255.4222664204212</v>
      </c>
      <c r="J17" s="83">
        <f>(62.563038+0.255788+28.340078+0.253935)*2.204622</f>
        <v>201.53075594185802</v>
      </c>
      <c r="K17" s="83">
        <f t="shared" si="3"/>
        <v>2081.1030223622793</v>
      </c>
      <c r="L17" s="83">
        <f>2080.138+364.344</f>
        <v>2444.482</v>
      </c>
    </row>
    <row r="18" spans="1:12" ht="14.25" x14ac:dyDescent="0.2">
      <c r="A18" s="44" t="s">
        <v>64</v>
      </c>
      <c r="B18" s="83">
        <f t="shared" si="4"/>
        <v>2444.482</v>
      </c>
      <c r="C18" s="62">
        <v>1964.922</v>
      </c>
      <c r="D18" s="83">
        <f>(0.567115+0.103249+12.3464+0)*2.204622</f>
        <v>28.697044283207997</v>
      </c>
      <c r="E18" s="83">
        <f t="shared" si="0"/>
        <v>4438.1010442832085</v>
      </c>
      <c r="F18" s="83"/>
      <c r="G18" s="83">
        <f t="shared" si="1"/>
        <v>1537.0046059233325</v>
      </c>
      <c r="H18" s="83">
        <v>519.55999999999995</v>
      </c>
      <c r="I18" s="83">
        <f t="shared" si="2"/>
        <v>1017.4446059233326</v>
      </c>
      <c r="J18" s="83">
        <f>(74.547873+0.133339+21.342471+0.283275)*2.204622</f>
        <v>212.32043835987602</v>
      </c>
      <c r="K18" s="83">
        <f t="shared" si="3"/>
        <v>1749.3250442832086</v>
      </c>
      <c r="L18" s="83">
        <f>2316.192+372.584</f>
        <v>2688.7759999999998</v>
      </c>
    </row>
    <row r="19" spans="1:12" ht="14.25" x14ac:dyDescent="0.2">
      <c r="A19" s="44" t="s">
        <v>65</v>
      </c>
      <c r="B19" s="83">
        <f>L18</f>
        <v>2688.7759999999998</v>
      </c>
      <c r="C19" s="62">
        <v>1966.511</v>
      </c>
      <c r="D19" s="83">
        <f>(0.754842+0+14.709869+0.00128)*2.204622</f>
        <v>34.096664010402002</v>
      </c>
      <c r="E19" s="83">
        <f>SUM(B19:D19)</f>
        <v>4689.3836640104018</v>
      </c>
      <c r="F19" s="83"/>
      <c r="G19" s="83">
        <f>K19-J19</f>
        <v>1883.9005750484957</v>
      </c>
      <c r="H19" s="83">
        <v>581.33000000000004</v>
      </c>
      <c r="I19" s="83">
        <f t="shared" si="2"/>
        <v>1302.5705750484958</v>
      </c>
      <c r="J19" s="83">
        <f>(171.049084+0.572188+23.792737+0.275814)*2.204622</f>
        <v>431.42208896190601</v>
      </c>
      <c r="K19" s="83">
        <f>E19-L19</f>
        <v>2315.3226640104017</v>
      </c>
      <c r="L19" s="83">
        <f>2002.934+371.127</f>
        <v>2374.0610000000001</v>
      </c>
    </row>
    <row r="20" spans="1:12" ht="14.25" x14ac:dyDescent="0.2">
      <c r="A20" s="44" t="s">
        <v>66</v>
      </c>
      <c r="B20" s="83">
        <f>L19</f>
        <v>2374.0610000000001</v>
      </c>
      <c r="C20" s="62">
        <v>1936.9069999999999</v>
      </c>
      <c r="D20" s="83">
        <f>(2.305083+0+12.102798+0.0008)*2.204622</f>
        <v>31.765695123581999</v>
      </c>
      <c r="E20" s="83">
        <f>SUM(B20:D20)</f>
        <v>4342.733695123582</v>
      </c>
      <c r="F20" s="83"/>
      <c r="G20" s="83">
        <f>K20-J20</f>
        <v>1809.597328870434</v>
      </c>
      <c r="H20" s="83">
        <v>623.61</v>
      </c>
      <c r="I20" s="83">
        <f t="shared" si="2"/>
        <v>1185.9873288704339</v>
      </c>
      <c r="J20" s="83">
        <f>(86.703348+0.094936+16.432424+0.337326)*2.204622</f>
        <v>228.32836625314803</v>
      </c>
      <c r="K20" s="83">
        <f>E20-L20</f>
        <v>2037.925695123582</v>
      </c>
      <c r="L20" s="83">
        <f>1933.152+371.656</f>
        <v>2304.808</v>
      </c>
    </row>
    <row r="21" spans="1:12" ht="14.25" x14ac:dyDescent="0.2">
      <c r="A21" s="44" t="s">
        <v>68</v>
      </c>
      <c r="B21" s="83">
        <f>L20</f>
        <v>2304.808</v>
      </c>
      <c r="C21" s="62">
        <v>2043.3230000000001</v>
      </c>
      <c r="D21" s="83">
        <f>(2.90045+0+11.937917+0.0018)*2.204622</f>
        <v>32.716958651874002</v>
      </c>
      <c r="E21" s="83">
        <f>SUM(B21:D21)</f>
        <v>4380.8479586518743</v>
      </c>
      <c r="F21" s="83"/>
      <c r="G21" s="83">
        <f>K21-J21</f>
        <v>1822.4687116086945</v>
      </c>
      <c r="H21" s="83">
        <v>671.27</v>
      </c>
      <c r="I21" s="83">
        <f t="shared" si="2"/>
        <v>1151.1987116086946</v>
      </c>
      <c r="J21" s="83">
        <f>(61.380449+0.164409+17.366248+0.346584)*2.204622</f>
        <v>174.73324704318</v>
      </c>
      <c r="K21" s="83">
        <f>E21-L21</f>
        <v>1997.2019586518745</v>
      </c>
      <c r="L21" s="83">
        <f>1983.666+399.98</f>
        <v>2383.6459999999997</v>
      </c>
    </row>
    <row r="22" spans="1:12" ht="14.25" x14ac:dyDescent="0.2">
      <c r="A22" s="44" t="s">
        <v>69</v>
      </c>
      <c r="B22" s="83">
        <f>L21</f>
        <v>2383.6459999999997</v>
      </c>
      <c r="C22" s="62">
        <v>1944.9659999999999</v>
      </c>
      <c r="D22" s="83">
        <f>(1.713977+0+9.048481+0.0008)*2.204622</f>
        <v>23.728915378476003</v>
      </c>
      <c r="E22" s="83">
        <f>SUM(B22:D22)</f>
        <v>4352.3409153784751</v>
      </c>
      <c r="F22" s="83"/>
      <c r="G22" s="83">
        <f>K22-J22</f>
        <v>1939.9040015978251</v>
      </c>
      <c r="H22" s="83">
        <v>705.13</v>
      </c>
      <c r="I22" s="83">
        <f t="shared" si="2"/>
        <v>1234.7740015978252</v>
      </c>
      <c r="J22" s="83">
        <f>(73.253711+0.073925+16.111003+0.208436)*2.204622</f>
        <v>197.63791378065</v>
      </c>
      <c r="K22" s="83">
        <f>E22-L22</f>
        <v>2137.5419153784751</v>
      </c>
      <c r="L22" s="83">
        <f>1843.912+370.887</f>
        <v>2214.799</v>
      </c>
    </row>
    <row r="23" spans="1:12" ht="14.25" x14ac:dyDescent="0.2">
      <c r="A23" s="44" t="s">
        <v>71</v>
      </c>
      <c r="B23" s="83">
        <f>L22</f>
        <v>2214.799</v>
      </c>
      <c r="C23" s="62">
        <v>1936.873</v>
      </c>
      <c r="D23" s="83">
        <f>(2.178466+0.0007+4.471838+0.008)*2.204622</f>
        <v>14.680586716488001</v>
      </c>
      <c r="E23" s="83">
        <f>SUM(B23:D23)</f>
        <v>4166.3525867164881</v>
      </c>
      <c r="F23" s="83"/>
      <c r="G23" s="83">
        <f>K23-J23</f>
        <v>2054.6427137737519</v>
      </c>
      <c r="H23" s="83">
        <v>688.71</v>
      </c>
      <c r="I23" s="83">
        <f t="shared" ref="I23" si="5">G23-H23</f>
        <v>1365.9327137737519</v>
      </c>
      <c r="J23" s="83">
        <f>(41.653346+0.082871+13.184233+0.267638)*2.204622</f>
        <v>121.66887294273599</v>
      </c>
      <c r="K23" s="83">
        <f>E23-L23</f>
        <v>2176.3115867164879</v>
      </c>
      <c r="L23" s="83">
        <f>1642.954+347.087</f>
        <v>1990.0409999999999</v>
      </c>
    </row>
    <row r="24" spans="1:12" ht="14.25" x14ac:dyDescent="0.2">
      <c r="A24" s="44" t="s">
        <v>3</v>
      </c>
      <c r="B24" s="83"/>
      <c r="C24" s="62">
        <f>SUM(C12:C23)</f>
        <v>23767.204000000002</v>
      </c>
      <c r="D24" s="83">
        <f>SUM(D12:D23)</f>
        <v>335.42550569064605</v>
      </c>
      <c r="E24" s="83">
        <f>B12+C24+D24</f>
        <v>25813.583505690651</v>
      </c>
      <c r="F24" s="83"/>
      <c r="G24" s="83">
        <f>SUM(G12:G23)</f>
        <v>21376.43316628621</v>
      </c>
      <c r="H24" s="83">
        <f>SUM(H12:H23)</f>
        <v>7133.6900000000005</v>
      </c>
      <c r="I24" s="83">
        <f>SUM(I12:I23)</f>
        <v>14242.743166286211</v>
      </c>
      <c r="J24" s="83">
        <f>SUM(J12:J23)</f>
        <v>2447.109339404436</v>
      </c>
      <c r="K24" s="83">
        <f>SUM(K12:K23)</f>
        <v>23823.542505690646</v>
      </c>
      <c r="L24" s="83"/>
    </row>
    <row r="25" spans="1:12" ht="14.25" x14ac:dyDescent="0.2">
      <c r="A25" s="44"/>
      <c r="B25" s="83"/>
      <c r="C25" s="62"/>
      <c r="D25" s="62"/>
      <c r="E25" s="62"/>
      <c r="F25" s="83"/>
      <c r="G25" s="62"/>
      <c r="H25" s="62"/>
      <c r="I25" s="62"/>
      <c r="J25" s="62"/>
      <c r="K25" s="62"/>
      <c r="L25" s="83"/>
    </row>
    <row r="26" spans="1:12" ht="14.25" x14ac:dyDescent="0.2">
      <c r="A26" s="41" t="s">
        <v>173</v>
      </c>
      <c r="B26" s="82"/>
      <c r="C26" s="62"/>
      <c r="D26" s="62"/>
      <c r="E26" s="62"/>
      <c r="F26" s="83"/>
      <c r="G26" s="62"/>
      <c r="H26" s="62"/>
      <c r="I26" s="62"/>
      <c r="J26" s="62"/>
      <c r="K26" s="62"/>
      <c r="L26" s="83"/>
    </row>
    <row r="27" spans="1:12" ht="14.25" x14ac:dyDescent="0.2">
      <c r="A27" s="40" t="s">
        <v>58</v>
      </c>
      <c r="B27" s="90">
        <f>1400.918+310.036</f>
        <v>1710.954</v>
      </c>
      <c r="C27" s="71">
        <v>2127.91</v>
      </c>
      <c r="D27" s="71">
        <f>(1.737942+0+14.319564+0)*2.204622</f>
        <v>35.400730992732001</v>
      </c>
      <c r="E27" s="71">
        <f t="shared" ref="E27" si="6">SUM(B27:D27)</f>
        <v>3874.2647309927315</v>
      </c>
      <c r="F27" s="90"/>
      <c r="G27" s="71">
        <f t="shared" ref="G27" si="7">K27-J27</f>
        <v>1686.7243887570676</v>
      </c>
      <c r="H27" s="71" t="s">
        <v>10</v>
      </c>
      <c r="I27" s="71" t="s">
        <v>10</v>
      </c>
      <c r="J27" s="71">
        <f>(55.756858+0.092113+10.188836+0.231305)*2.204622</f>
        <v>146.09834223566403</v>
      </c>
      <c r="K27" s="71">
        <f t="shared" ref="K27" si="8">E27-L27</f>
        <v>1832.8227309927315</v>
      </c>
      <c r="L27" s="90">
        <f>1694.722+346.72</f>
        <v>2041.442</v>
      </c>
    </row>
    <row r="28" spans="1:12" ht="16.5" x14ac:dyDescent="0.2">
      <c r="A28" s="87" t="s">
        <v>132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ht="14.25" x14ac:dyDescent="0.2">
      <c r="A29" s="41" t="s">
        <v>131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12" ht="14.25" x14ac:dyDescent="0.2">
      <c r="A30" s="41" t="s">
        <v>26</v>
      </c>
      <c r="B30" s="79">
        <f ca="1">NOW()</f>
        <v>43447.492243749999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</row>
  </sheetData>
  <mergeCells count="3">
    <mergeCell ref="B5:L5"/>
    <mergeCell ref="G2:I2"/>
    <mergeCell ref="B2:E2"/>
  </mergeCells>
  <phoneticPr fontId="3" type="noConversion"/>
  <pageMargins left="0.75" right="0.75" top="1" bottom="1" header="0.5" footer="0.5"/>
  <pageSetup scale="67" orientation="portrait" r:id="rId1"/>
  <headerFooter alignWithMargins="0"/>
  <ignoredErrors>
    <ignoredError sqref="I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6"/>
  <sheetViews>
    <sheetView showGridLines="0" zoomScaleNormal="100" workbookViewId="0"/>
  </sheetViews>
  <sheetFormatPr defaultRowHeight="12.75" x14ac:dyDescent="0.2"/>
  <cols>
    <col min="1" max="1" width="14.7109375" customWidth="1"/>
    <col min="2" max="2" width="11.5703125" customWidth="1"/>
    <col min="3" max="3" width="10.7109375" customWidth="1"/>
    <col min="4" max="4" width="11.7109375" customWidth="1"/>
    <col min="5" max="5" width="10.7109375" customWidth="1"/>
    <col min="6" max="6" width="10.5703125" customWidth="1"/>
    <col min="7" max="7" width="11.7109375" customWidth="1"/>
    <col min="8" max="8" width="8.7109375" customWidth="1"/>
    <col min="9" max="9" width="9.7109375" customWidth="1"/>
    <col min="10" max="11" width="7.7109375" customWidth="1"/>
    <col min="12" max="12" width="8.5703125" customWidth="1"/>
    <col min="13" max="13" width="9.5703125" customWidth="1"/>
    <col min="14" max="15" width="7.5703125" customWidth="1"/>
  </cols>
  <sheetData>
    <row r="1" spans="1:15" ht="14.25" x14ac:dyDescent="0.2">
      <c r="A1" s="40" t="s">
        <v>11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1"/>
      <c r="N1" s="41"/>
      <c r="O1" s="41"/>
    </row>
    <row r="2" spans="1:15" ht="14.25" x14ac:dyDescent="0.2">
      <c r="A2" s="41"/>
      <c r="B2" s="158" t="s">
        <v>0</v>
      </c>
      <c r="C2" s="158"/>
      <c r="D2" s="158"/>
      <c r="E2" s="158"/>
      <c r="F2" s="91"/>
      <c r="G2" s="158" t="s">
        <v>24</v>
      </c>
      <c r="H2" s="158"/>
      <c r="I2" s="158"/>
      <c r="J2" s="158"/>
      <c r="K2" s="91"/>
      <c r="L2" s="41"/>
      <c r="M2" s="41"/>
      <c r="N2" s="41"/>
      <c r="O2" s="41"/>
    </row>
    <row r="3" spans="1:15" ht="14.25" x14ac:dyDescent="0.2">
      <c r="A3" s="41" t="s">
        <v>84</v>
      </c>
      <c r="B3" s="45" t="s">
        <v>36</v>
      </c>
      <c r="C3" s="45"/>
      <c r="D3" s="45"/>
      <c r="E3" s="45"/>
      <c r="F3" s="92"/>
      <c r="G3" s="45"/>
      <c r="H3" s="45"/>
      <c r="I3" s="45"/>
      <c r="J3" s="45"/>
      <c r="K3" s="43" t="s">
        <v>34</v>
      </c>
      <c r="L3" s="41"/>
      <c r="M3" s="41"/>
      <c r="N3" s="41"/>
      <c r="O3" s="41"/>
    </row>
    <row r="4" spans="1:15" ht="14.25" x14ac:dyDescent="0.2">
      <c r="A4" s="46" t="s">
        <v>86</v>
      </c>
      <c r="B4" s="48" t="s">
        <v>54</v>
      </c>
      <c r="C4" s="93" t="s">
        <v>1</v>
      </c>
      <c r="D4" s="50" t="s">
        <v>37</v>
      </c>
      <c r="E4" s="48" t="s">
        <v>96</v>
      </c>
      <c r="F4" s="49"/>
      <c r="G4" s="48" t="s">
        <v>40</v>
      </c>
      <c r="H4" s="48" t="s">
        <v>4</v>
      </c>
      <c r="I4" s="48" t="s">
        <v>41</v>
      </c>
      <c r="J4" s="48" t="s">
        <v>38</v>
      </c>
      <c r="K4" s="48" t="s">
        <v>33</v>
      </c>
      <c r="L4" s="41"/>
      <c r="M4" s="41"/>
      <c r="N4" s="41"/>
      <c r="O4" s="41"/>
    </row>
    <row r="5" spans="1:15" ht="14.25" x14ac:dyDescent="0.2">
      <c r="A5" s="41"/>
      <c r="B5" s="157" t="s">
        <v>18</v>
      </c>
      <c r="C5" s="157"/>
      <c r="D5" s="157"/>
      <c r="E5" s="157"/>
      <c r="F5" s="157"/>
      <c r="G5" s="157"/>
      <c r="H5" s="157"/>
      <c r="I5" s="157"/>
      <c r="J5" s="157"/>
      <c r="K5" s="157"/>
      <c r="L5" s="41"/>
      <c r="M5" s="41"/>
      <c r="N5" s="41"/>
      <c r="O5" s="41"/>
    </row>
    <row r="6" spans="1:15" ht="14.25" x14ac:dyDescent="0.2">
      <c r="A6" s="41"/>
      <c r="B6" s="41"/>
      <c r="C6" s="41"/>
      <c r="D6" s="41"/>
      <c r="E6" s="41"/>
      <c r="F6" s="41"/>
      <c r="G6" s="88"/>
      <c r="H6" s="94"/>
      <c r="I6" s="88"/>
      <c r="J6" s="88"/>
      <c r="K6" s="41"/>
      <c r="L6" s="41"/>
      <c r="M6" s="41"/>
      <c r="N6" s="41"/>
      <c r="O6" s="41"/>
    </row>
    <row r="7" spans="1:15" ht="16.5" x14ac:dyDescent="0.2">
      <c r="A7" s="41" t="s">
        <v>126</v>
      </c>
      <c r="B7" s="95">
        <v>391</v>
      </c>
      <c r="C7" s="95">
        <v>5369</v>
      </c>
      <c r="D7" s="96">
        <v>51.079000000000001</v>
      </c>
      <c r="E7" s="95">
        <f>+B7+C7+D7</f>
        <v>5811.0789999999997</v>
      </c>
      <c r="F7" s="56"/>
      <c r="G7" s="95">
        <v>1769.4399999999998</v>
      </c>
      <c r="H7" s="97">
        <v>341.65499999999997</v>
      </c>
      <c r="I7" s="95">
        <f>J7-G7-H7</f>
        <v>3299.9840000000004</v>
      </c>
      <c r="J7" s="95">
        <f>E7-K7</f>
        <v>5411.0789999999997</v>
      </c>
      <c r="K7" s="95">
        <v>400</v>
      </c>
      <c r="L7" s="41"/>
      <c r="M7" s="41"/>
      <c r="N7" s="41"/>
      <c r="O7" s="41"/>
    </row>
    <row r="8" spans="1:15" ht="16.5" x14ac:dyDescent="0.2">
      <c r="A8" s="41" t="s">
        <v>127</v>
      </c>
      <c r="B8" s="95">
        <f>+K7</f>
        <v>400</v>
      </c>
      <c r="C8" s="95">
        <v>6422</v>
      </c>
      <c r="D8" s="96">
        <v>0</v>
      </c>
      <c r="E8" s="95">
        <f>+B8+C8+D8</f>
        <v>6822</v>
      </c>
      <c r="F8" s="56"/>
      <c r="G8" s="95">
        <v>1853.576</v>
      </c>
      <c r="H8" s="97">
        <v>478.38499999999999</v>
      </c>
      <c r="I8" s="95">
        <f>J8-G8-H8</f>
        <v>4040.0389999999998</v>
      </c>
      <c r="J8" s="95">
        <f>E8-K8</f>
        <v>6372</v>
      </c>
      <c r="K8" s="95">
        <v>450</v>
      </c>
      <c r="L8" s="41"/>
      <c r="M8" s="41"/>
      <c r="N8" s="41"/>
      <c r="O8" s="41"/>
    </row>
    <row r="9" spans="1:15" ht="16.5" x14ac:dyDescent="0.2">
      <c r="A9" s="40" t="s">
        <v>168</v>
      </c>
      <c r="B9" s="98">
        <f>+K8</f>
        <v>450</v>
      </c>
      <c r="C9" s="98">
        <v>5858</v>
      </c>
      <c r="D9" s="99">
        <v>0</v>
      </c>
      <c r="E9" s="98">
        <f>+B9+C9+D9</f>
        <v>6308</v>
      </c>
      <c r="F9" s="100"/>
      <c r="G9" s="98">
        <v>1800</v>
      </c>
      <c r="H9" s="101">
        <v>425</v>
      </c>
      <c r="I9" s="98">
        <f>J9-G9-H9</f>
        <v>3683</v>
      </c>
      <c r="J9" s="98">
        <f>E9-K9</f>
        <v>5908</v>
      </c>
      <c r="K9" s="98">
        <v>400</v>
      </c>
      <c r="L9" s="41"/>
      <c r="M9" s="41"/>
      <c r="N9" s="41"/>
      <c r="O9" s="41"/>
    </row>
    <row r="10" spans="1:15" ht="16.5" x14ac:dyDescent="0.2">
      <c r="A10" s="87" t="s">
        <v>133</v>
      </c>
      <c r="B10" s="41"/>
      <c r="C10" s="56"/>
      <c r="D10" s="56"/>
      <c r="E10" s="56"/>
      <c r="F10" s="56"/>
      <c r="G10" s="56"/>
      <c r="H10" s="56"/>
      <c r="I10" s="56"/>
      <c r="J10" s="56"/>
      <c r="K10" s="41"/>
      <c r="L10" s="41"/>
      <c r="M10" s="41"/>
      <c r="N10" s="41"/>
      <c r="O10" s="41"/>
    </row>
    <row r="11" spans="1:15" ht="14.25" x14ac:dyDescent="0.2">
      <c r="A11" s="41" t="s">
        <v>134</v>
      </c>
      <c r="B11" s="57"/>
      <c r="C11" s="61"/>
      <c r="D11" s="41"/>
      <c r="E11" s="57"/>
      <c r="F11" s="57"/>
      <c r="G11" s="57"/>
      <c r="H11" s="57"/>
      <c r="I11" s="57"/>
      <c r="J11" s="57"/>
      <c r="K11" s="41"/>
      <c r="L11" s="41"/>
      <c r="M11" s="41"/>
      <c r="N11" s="41"/>
      <c r="O11" s="41"/>
    </row>
    <row r="12" spans="1:15" ht="14.25" x14ac:dyDescent="0.2">
      <c r="A12" s="41" t="s">
        <v>135</v>
      </c>
      <c r="B12" s="57"/>
      <c r="C12" s="61"/>
      <c r="D12" s="41"/>
      <c r="E12" s="57"/>
      <c r="F12" s="57"/>
      <c r="G12" s="57"/>
      <c r="H12" s="57"/>
      <c r="I12" s="57"/>
      <c r="J12" s="57"/>
      <c r="K12" s="41"/>
      <c r="L12" s="41"/>
      <c r="M12" s="41"/>
      <c r="N12" s="41"/>
      <c r="O12" s="41"/>
    </row>
    <row r="13" spans="1:15" ht="14.25" x14ac:dyDescent="0.2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</row>
    <row r="14" spans="1:15" ht="14.25" x14ac:dyDescent="0.2">
      <c r="A14" s="40" t="s">
        <v>12</v>
      </c>
      <c r="B14" s="40"/>
      <c r="C14" s="40"/>
      <c r="D14" s="40"/>
      <c r="E14" s="40"/>
      <c r="F14" s="40"/>
      <c r="G14" s="40"/>
      <c r="H14" s="40"/>
      <c r="I14" s="41"/>
      <c r="J14" s="40"/>
      <c r="K14" s="41"/>
      <c r="L14" s="41"/>
      <c r="M14" s="41"/>
      <c r="N14" s="41"/>
      <c r="O14" s="41"/>
    </row>
    <row r="15" spans="1:15" ht="14.25" x14ac:dyDescent="0.2">
      <c r="A15" s="41"/>
      <c r="B15" s="158" t="s">
        <v>0</v>
      </c>
      <c r="C15" s="158"/>
      <c r="D15" s="158"/>
      <c r="E15" s="158"/>
      <c r="F15" s="41"/>
      <c r="G15" s="158" t="s">
        <v>24</v>
      </c>
      <c r="H15" s="158"/>
      <c r="I15" s="158"/>
      <c r="J15" s="41"/>
      <c r="K15" s="41"/>
      <c r="L15" s="41"/>
      <c r="M15" s="41"/>
      <c r="N15" s="41"/>
      <c r="O15" s="41"/>
    </row>
    <row r="16" spans="1:15" ht="14.25" x14ac:dyDescent="0.2">
      <c r="A16" s="41" t="s">
        <v>84</v>
      </c>
      <c r="B16" s="43" t="s">
        <v>36</v>
      </c>
      <c r="C16" s="45"/>
      <c r="D16" s="45"/>
      <c r="E16" s="45"/>
      <c r="F16" s="45"/>
      <c r="G16" s="45"/>
      <c r="H16" s="45"/>
      <c r="I16" s="45"/>
      <c r="J16" s="43" t="s">
        <v>34</v>
      </c>
      <c r="K16" s="41"/>
      <c r="L16" s="41"/>
      <c r="M16" s="41"/>
      <c r="N16" s="41"/>
      <c r="O16" s="41"/>
    </row>
    <row r="17" spans="1:15" ht="14.25" x14ac:dyDescent="0.2">
      <c r="A17" s="46" t="s">
        <v>85</v>
      </c>
      <c r="B17" s="48" t="s">
        <v>33</v>
      </c>
      <c r="C17" s="93" t="s">
        <v>1</v>
      </c>
      <c r="D17" s="50" t="s">
        <v>37</v>
      </c>
      <c r="E17" s="48" t="s">
        <v>38</v>
      </c>
      <c r="F17" s="49"/>
      <c r="G17" s="102" t="s">
        <v>9</v>
      </c>
      <c r="H17" s="48" t="s">
        <v>4</v>
      </c>
      <c r="I17" s="50" t="s">
        <v>32</v>
      </c>
      <c r="J17" s="48" t="s">
        <v>33</v>
      </c>
      <c r="K17" s="41"/>
      <c r="L17" s="41"/>
      <c r="M17" s="41"/>
      <c r="N17" s="41"/>
      <c r="O17" s="41"/>
    </row>
    <row r="18" spans="1:15" ht="14.25" x14ac:dyDescent="0.2">
      <c r="A18" s="41"/>
      <c r="B18" s="157" t="s">
        <v>19</v>
      </c>
      <c r="C18" s="157"/>
      <c r="D18" s="157"/>
      <c r="E18" s="157"/>
      <c r="F18" s="157"/>
      <c r="G18" s="157"/>
      <c r="H18" s="157"/>
      <c r="I18" s="157"/>
      <c r="J18" s="157"/>
      <c r="K18" s="41"/>
      <c r="L18" s="41"/>
      <c r="M18" s="41"/>
      <c r="N18" s="41"/>
      <c r="O18" s="41"/>
    </row>
    <row r="19" spans="1:15" ht="14.25" x14ac:dyDescent="0.2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ht="16.5" x14ac:dyDescent="0.2">
      <c r="A20" s="41" t="s">
        <v>126</v>
      </c>
      <c r="B20" s="95">
        <v>19.675999999999998</v>
      </c>
      <c r="C20" s="97">
        <v>805.29299999999989</v>
      </c>
      <c r="D20" s="96">
        <v>0</v>
      </c>
      <c r="E20" s="97">
        <f>+B20+D20+C20</f>
        <v>824.96899999999994</v>
      </c>
      <c r="F20" s="41"/>
      <c r="G20" s="97">
        <f>+I20-H20</f>
        <v>687.01285035747389</v>
      </c>
      <c r="H20" s="97">
        <v>110.22014964252601</v>
      </c>
      <c r="I20" s="97">
        <f>+E20-J20</f>
        <v>797.23299999999995</v>
      </c>
      <c r="J20" s="95">
        <v>27.736000000000001</v>
      </c>
      <c r="K20" s="41"/>
      <c r="L20" s="41"/>
      <c r="M20" s="41"/>
      <c r="N20" s="41"/>
      <c r="O20" s="41"/>
    </row>
    <row r="21" spans="1:15" ht="16.5" x14ac:dyDescent="0.2">
      <c r="A21" s="41" t="s">
        <v>127</v>
      </c>
      <c r="B21" s="95">
        <f>+J20</f>
        <v>27.736000000000001</v>
      </c>
      <c r="C21" s="97">
        <v>845</v>
      </c>
      <c r="D21" s="96">
        <v>0</v>
      </c>
      <c r="E21" s="97">
        <f>+B21+D21+C21</f>
        <v>872.73599999999999</v>
      </c>
      <c r="F21" s="41"/>
      <c r="G21" s="97">
        <f>+I21-H21</f>
        <v>713.27932965001094</v>
      </c>
      <c r="H21" s="97">
        <v>119.45667034998903</v>
      </c>
      <c r="I21" s="97">
        <f>+E21-J21</f>
        <v>832.73599999999999</v>
      </c>
      <c r="J21" s="95">
        <v>40</v>
      </c>
      <c r="K21" s="41"/>
      <c r="L21" s="41"/>
      <c r="M21" s="41"/>
      <c r="N21" s="41"/>
      <c r="O21" s="41"/>
    </row>
    <row r="22" spans="1:15" ht="16.5" x14ac:dyDescent="0.2">
      <c r="A22" s="40" t="s">
        <v>168</v>
      </c>
      <c r="B22" s="98">
        <f>+J21</f>
        <v>40</v>
      </c>
      <c r="C22" s="101">
        <v>810</v>
      </c>
      <c r="D22" s="99">
        <v>0</v>
      </c>
      <c r="E22" s="101">
        <f>+B22+D22+C22</f>
        <v>850</v>
      </c>
      <c r="F22" s="100"/>
      <c r="G22" s="101">
        <f>+I22-H22</f>
        <v>700</v>
      </c>
      <c r="H22" s="101">
        <v>110</v>
      </c>
      <c r="I22" s="101">
        <f>+E22-J22</f>
        <v>810</v>
      </c>
      <c r="J22" s="98">
        <v>40</v>
      </c>
      <c r="K22" s="41"/>
      <c r="L22" s="41"/>
      <c r="M22" s="41"/>
      <c r="N22" s="41"/>
      <c r="O22" s="41"/>
    </row>
    <row r="23" spans="1:15" ht="16.5" x14ac:dyDescent="0.2">
      <c r="A23" s="87" t="s">
        <v>133</v>
      </c>
      <c r="B23" s="41"/>
      <c r="C23" s="56"/>
      <c r="D23" s="56"/>
      <c r="E23" s="56"/>
      <c r="F23" s="56"/>
      <c r="G23" s="56"/>
      <c r="H23" s="56"/>
      <c r="I23" s="41"/>
      <c r="J23" s="41"/>
      <c r="K23" s="41"/>
      <c r="L23" s="41"/>
      <c r="M23" s="41"/>
      <c r="N23" s="41"/>
      <c r="O23" s="41"/>
    </row>
    <row r="24" spans="1:15" ht="14.25" x14ac:dyDescent="0.2">
      <c r="A24" s="41" t="s">
        <v>136</v>
      </c>
      <c r="B24" s="103"/>
      <c r="C24" s="103"/>
      <c r="D24" s="103"/>
      <c r="E24" s="103"/>
      <c r="F24" s="103"/>
      <c r="G24" s="103"/>
      <c r="H24" s="103"/>
      <c r="I24" s="41"/>
      <c r="J24" s="41"/>
      <c r="K24" s="41"/>
      <c r="L24" s="41"/>
      <c r="M24" s="41"/>
      <c r="N24" s="41"/>
      <c r="O24" s="41"/>
    </row>
    <row r="25" spans="1:15" ht="14.25" x14ac:dyDescent="0.2">
      <c r="A25" s="44"/>
      <c r="B25" s="57"/>
      <c r="C25" s="57"/>
      <c r="D25" s="57"/>
      <c r="E25" s="57"/>
      <c r="F25" s="57"/>
      <c r="G25" s="57"/>
      <c r="H25" s="57"/>
      <c r="I25" s="41"/>
      <c r="J25" s="41"/>
      <c r="K25" s="41"/>
      <c r="L25" s="41"/>
      <c r="M25" s="41"/>
      <c r="N25" s="41"/>
      <c r="O25" s="41"/>
    </row>
    <row r="26" spans="1:15" ht="14.25" x14ac:dyDescent="0.2">
      <c r="A26" s="44"/>
      <c r="B26" s="57"/>
      <c r="C26" s="61"/>
      <c r="D26" s="57"/>
      <c r="E26" s="57"/>
      <c r="F26" s="57"/>
      <c r="G26" s="57"/>
      <c r="H26" s="57"/>
      <c r="I26" s="41"/>
      <c r="J26" s="41"/>
      <c r="K26" s="41"/>
      <c r="L26" s="41"/>
      <c r="M26" s="41"/>
      <c r="N26" s="41"/>
      <c r="O26" s="41"/>
    </row>
    <row r="27" spans="1:15" ht="14.25" x14ac:dyDescent="0.2">
      <c r="A27" s="40" t="s">
        <v>13</v>
      </c>
      <c r="B27" s="40"/>
      <c r="C27" s="40"/>
      <c r="D27" s="40"/>
      <c r="E27" s="40"/>
      <c r="F27" s="40"/>
      <c r="G27" s="40"/>
      <c r="H27" s="40"/>
      <c r="I27" s="41"/>
      <c r="J27" s="40"/>
      <c r="K27" s="41"/>
      <c r="L27" s="41"/>
      <c r="M27" s="41"/>
      <c r="N27" s="41"/>
      <c r="O27" s="41"/>
    </row>
    <row r="28" spans="1:15" ht="14.25" x14ac:dyDescent="0.2">
      <c r="A28" s="41"/>
      <c r="B28" s="158" t="s">
        <v>0</v>
      </c>
      <c r="C28" s="158"/>
      <c r="D28" s="158"/>
      <c r="E28" s="158"/>
      <c r="F28" s="41"/>
      <c r="G28" s="158" t="s">
        <v>24</v>
      </c>
      <c r="H28" s="158"/>
      <c r="I28" s="158"/>
      <c r="J28" s="41"/>
      <c r="K28" s="41"/>
      <c r="L28" s="41"/>
      <c r="M28" s="41"/>
      <c r="N28" s="41"/>
      <c r="O28" s="41"/>
    </row>
    <row r="29" spans="1:15" ht="14.25" x14ac:dyDescent="0.2">
      <c r="A29" s="41" t="s">
        <v>84</v>
      </c>
      <c r="B29" s="43" t="s">
        <v>36</v>
      </c>
      <c r="C29" s="45"/>
      <c r="D29" s="45"/>
      <c r="E29" s="45"/>
      <c r="F29" s="45"/>
      <c r="G29" s="45"/>
      <c r="H29" s="45"/>
      <c r="I29" s="45"/>
      <c r="J29" s="43" t="s">
        <v>34</v>
      </c>
      <c r="K29" s="41"/>
      <c r="L29" s="41"/>
      <c r="M29" s="41"/>
      <c r="N29" s="41"/>
      <c r="O29" s="41"/>
    </row>
    <row r="30" spans="1:15" ht="14.25" x14ac:dyDescent="0.2">
      <c r="A30" s="46" t="s">
        <v>85</v>
      </c>
      <c r="B30" s="48" t="s">
        <v>33</v>
      </c>
      <c r="C30" s="48" t="s">
        <v>1</v>
      </c>
      <c r="D30" s="50" t="s">
        <v>37</v>
      </c>
      <c r="E30" s="48" t="s">
        <v>38</v>
      </c>
      <c r="F30" s="49"/>
      <c r="G30" s="48" t="s">
        <v>35</v>
      </c>
      <c r="H30" s="48" t="s">
        <v>4</v>
      </c>
      <c r="I30" s="48" t="s">
        <v>32</v>
      </c>
      <c r="J30" s="48" t="s">
        <v>97</v>
      </c>
      <c r="K30" s="41"/>
      <c r="L30" s="41"/>
      <c r="M30" s="41"/>
      <c r="N30" s="41"/>
      <c r="O30" s="41"/>
    </row>
    <row r="31" spans="1:15" ht="14.25" x14ac:dyDescent="0.2">
      <c r="A31" s="41"/>
      <c r="B31" s="157" t="s">
        <v>20</v>
      </c>
      <c r="C31" s="157"/>
      <c r="D31" s="157"/>
      <c r="E31" s="157"/>
      <c r="F31" s="157"/>
      <c r="G31" s="157"/>
      <c r="H31" s="157"/>
      <c r="I31" s="157"/>
      <c r="J31" s="157"/>
      <c r="K31" s="41"/>
      <c r="L31" s="41"/>
      <c r="M31" s="41"/>
      <c r="N31" s="41"/>
      <c r="O31" s="41"/>
    </row>
    <row r="32" spans="1:15" ht="14.25" x14ac:dyDescent="0.2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</row>
    <row r="33" spans="1:15" ht="16.5" x14ac:dyDescent="0.2">
      <c r="A33" s="41" t="s">
        <v>126</v>
      </c>
      <c r="B33" s="96">
        <v>41.546999999999997</v>
      </c>
      <c r="C33" s="97">
        <v>541.625</v>
      </c>
      <c r="D33" s="96">
        <v>0.121953075174</v>
      </c>
      <c r="E33" s="104">
        <f>+B33+D33+C33</f>
        <v>583.29395307517404</v>
      </c>
      <c r="F33" s="41"/>
      <c r="G33" s="97">
        <f>+I33-H33</f>
        <v>435.17942153772003</v>
      </c>
      <c r="H33" s="97">
        <v>103.98553153745401</v>
      </c>
      <c r="I33" s="97">
        <f>+E33-J33</f>
        <v>539.16495307517403</v>
      </c>
      <c r="J33" s="105">
        <v>44.128999999999998</v>
      </c>
      <c r="K33" s="41"/>
      <c r="L33" s="41"/>
      <c r="M33" s="41"/>
      <c r="N33" s="41"/>
      <c r="O33" s="41"/>
    </row>
    <row r="34" spans="1:15" ht="16.5" x14ac:dyDescent="0.2">
      <c r="A34" s="41" t="s">
        <v>127</v>
      </c>
      <c r="B34" s="96">
        <f>+J33</f>
        <v>44.128999999999998</v>
      </c>
      <c r="C34" s="97">
        <v>561.30100000000004</v>
      </c>
      <c r="D34" s="96">
        <v>0.16071698899799999</v>
      </c>
      <c r="E34" s="104">
        <f>+B34+D34+C34</f>
        <v>605.590716988998</v>
      </c>
      <c r="F34" s="41"/>
      <c r="G34" s="97">
        <f>+I34-H34</f>
        <v>462.60811273133004</v>
      </c>
      <c r="H34" s="97">
        <v>110.895604257668</v>
      </c>
      <c r="I34" s="97">
        <f>+E34-J34</f>
        <v>573.50371698899801</v>
      </c>
      <c r="J34" s="105">
        <v>32.087000000000003</v>
      </c>
      <c r="K34" s="41"/>
      <c r="L34" s="41"/>
      <c r="M34" s="41"/>
      <c r="N34" s="41"/>
      <c r="O34" s="41"/>
    </row>
    <row r="35" spans="1:15" ht="16.5" x14ac:dyDescent="0.2">
      <c r="A35" s="40" t="s">
        <v>168</v>
      </c>
      <c r="B35" s="99">
        <f>+J34</f>
        <v>32.087000000000003</v>
      </c>
      <c r="C35" s="101">
        <v>560</v>
      </c>
      <c r="D35" s="99">
        <v>1</v>
      </c>
      <c r="E35" s="106">
        <f>+B35+D35+C35</f>
        <v>593.08699999999999</v>
      </c>
      <c r="F35" s="100"/>
      <c r="G35" s="101">
        <f>+I35-H35</f>
        <v>461.08699999999999</v>
      </c>
      <c r="H35" s="101">
        <v>100</v>
      </c>
      <c r="I35" s="101">
        <f>+E35-J35</f>
        <v>561.08699999999999</v>
      </c>
      <c r="J35" s="101">
        <v>32</v>
      </c>
      <c r="K35" s="41"/>
      <c r="L35" s="41"/>
      <c r="M35" s="41"/>
      <c r="N35" s="41"/>
      <c r="O35" s="41"/>
    </row>
    <row r="36" spans="1:15" ht="16.5" x14ac:dyDescent="0.2">
      <c r="A36" s="87" t="s">
        <v>133</v>
      </c>
      <c r="B36" s="41"/>
      <c r="C36" s="56"/>
      <c r="D36" s="56"/>
      <c r="E36" s="56"/>
      <c r="F36" s="56"/>
      <c r="G36" s="56"/>
      <c r="H36" s="56"/>
      <c r="I36" s="41"/>
      <c r="J36" s="41"/>
      <c r="K36" s="41"/>
      <c r="L36" s="41"/>
      <c r="M36" s="41"/>
      <c r="N36" s="41"/>
      <c r="O36" s="41"/>
    </row>
    <row r="37" spans="1:15" ht="14.25" x14ac:dyDescent="0.2">
      <c r="A37" s="41" t="s">
        <v>137</v>
      </c>
      <c r="B37" s="57"/>
      <c r="C37" s="61"/>
      <c r="D37" s="57"/>
      <c r="E37" s="57"/>
      <c r="F37" s="57"/>
      <c r="G37" s="57"/>
      <c r="H37" s="57"/>
      <c r="I37" s="41"/>
      <c r="J37" s="41"/>
      <c r="K37" s="41"/>
      <c r="L37" s="41"/>
      <c r="M37" s="41"/>
      <c r="N37" s="41"/>
      <c r="O37" s="41"/>
    </row>
    <row r="38" spans="1:15" ht="14.25" x14ac:dyDescent="0.2">
      <c r="A38" s="44"/>
      <c r="B38" s="44"/>
      <c r="C38" s="44"/>
      <c r="D38" s="44"/>
      <c r="E38" s="44"/>
      <c r="F38" s="44"/>
      <c r="G38" s="44"/>
      <c r="H38" s="44"/>
      <c r="I38" s="41"/>
      <c r="J38" s="41"/>
      <c r="K38" s="41"/>
      <c r="L38" s="41"/>
      <c r="M38" s="41"/>
      <c r="N38" s="41"/>
      <c r="O38" s="41"/>
    </row>
    <row r="39" spans="1:15" ht="14.25" x14ac:dyDescent="0.2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</row>
    <row r="40" spans="1:15" ht="14.25" x14ac:dyDescent="0.2">
      <c r="A40" s="40" t="s">
        <v>14</v>
      </c>
      <c r="B40" s="40"/>
      <c r="C40" s="40"/>
      <c r="D40" s="40"/>
      <c r="E40" s="40"/>
      <c r="F40" s="40"/>
      <c r="G40" s="40"/>
      <c r="H40" s="40"/>
      <c r="I40" s="40"/>
      <c r="J40" s="41"/>
      <c r="K40" s="41"/>
      <c r="L40" s="41"/>
      <c r="M40" s="41"/>
      <c r="N40" s="41"/>
      <c r="O40" s="40"/>
    </row>
    <row r="41" spans="1:15" ht="14.25" x14ac:dyDescent="0.2">
      <c r="A41" s="41"/>
      <c r="B41" s="158" t="s">
        <v>27</v>
      </c>
      <c r="C41" s="158"/>
      <c r="D41" s="43" t="s">
        <v>30</v>
      </c>
      <c r="E41" s="158" t="s">
        <v>92</v>
      </c>
      <c r="F41" s="158"/>
      <c r="G41" s="158"/>
      <c r="H41" s="158"/>
      <c r="I41" s="41"/>
      <c r="J41" s="158" t="s">
        <v>24</v>
      </c>
      <c r="K41" s="158"/>
      <c r="L41" s="158"/>
      <c r="M41" s="158"/>
      <c r="N41" s="158"/>
      <c r="O41" s="41"/>
    </row>
    <row r="42" spans="1:15" ht="14.25" x14ac:dyDescent="0.2">
      <c r="A42" s="41" t="s">
        <v>84</v>
      </c>
      <c r="B42" s="43" t="s">
        <v>28</v>
      </c>
      <c r="C42" s="43" t="s">
        <v>29</v>
      </c>
      <c r="D42" s="41"/>
      <c r="E42" s="43" t="s">
        <v>36</v>
      </c>
      <c r="F42" s="43"/>
      <c r="G42" s="43"/>
      <c r="H42" s="43"/>
      <c r="I42" s="41"/>
      <c r="J42" s="43" t="s">
        <v>9</v>
      </c>
      <c r="K42" s="43"/>
      <c r="L42" s="43" t="s">
        <v>100</v>
      </c>
      <c r="M42" s="43"/>
      <c r="N42" s="43"/>
      <c r="O42" s="43" t="s">
        <v>34</v>
      </c>
    </row>
    <row r="43" spans="1:15" ht="14.25" x14ac:dyDescent="0.2">
      <c r="A43" s="46" t="s">
        <v>86</v>
      </c>
      <c r="B43" s="47"/>
      <c r="C43" s="47"/>
      <c r="D43" s="47"/>
      <c r="E43" s="48" t="s">
        <v>33</v>
      </c>
      <c r="F43" s="48" t="s">
        <v>1</v>
      </c>
      <c r="G43" s="48" t="s">
        <v>37</v>
      </c>
      <c r="H43" s="48" t="s">
        <v>38</v>
      </c>
      <c r="I43" s="48"/>
      <c r="J43" s="48" t="s">
        <v>42</v>
      </c>
      <c r="K43" s="48" t="s">
        <v>40</v>
      </c>
      <c r="L43" s="48" t="s">
        <v>5</v>
      </c>
      <c r="M43" s="50" t="s">
        <v>4</v>
      </c>
      <c r="N43" s="48" t="s">
        <v>32</v>
      </c>
      <c r="O43" s="48" t="s">
        <v>97</v>
      </c>
    </row>
    <row r="44" spans="1:15" ht="14.25" x14ac:dyDescent="0.2">
      <c r="A44" s="41"/>
      <c r="B44" s="156" t="s">
        <v>94</v>
      </c>
      <c r="C44" s="157"/>
      <c r="D44" s="107" t="s">
        <v>79</v>
      </c>
      <c r="E44" s="157" t="s">
        <v>21</v>
      </c>
      <c r="F44" s="157"/>
      <c r="G44" s="157"/>
      <c r="H44" s="157"/>
      <c r="I44" s="157"/>
      <c r="J44" s="157"/>
      <c r="K44" s="157"/>
      <c r="L44" s="157"/>
      <c r="M44" s="157"/>
      <c r="N44" s="157"/>
      <c r="O44" s="157"/>
    </row>
    <row r="45" spans="1:15" ht="14.25" x14ac:dyDescent="0.2">
      <c r="A45" s="41"/>
      <c r="B45" s="43"/>
      <c r="C45" s="43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</row>
    <row r="46" spans="1:15" ht="16.5" x14ac:dyDescent="0.2">
      <c r="A46" s="41" t="s">
        <v>126</v>
      </c>
      <c r="B46" s="95">
        <v>1671</v>
      </c>
      <c r="C46" s="95">
        <v>1536</v>
      </c>
      <c r="D46" s="95">
        <f>F46*1000/C46</f>
        <v>3633.8346354166665</v>
      </c>
      <c r="E46" s="95">
        <v>1790.905</v>
      </c>
      <c r="F46" s="95">
        <v>5581.57</v>
      </c>
      <c r="G46" s="105">
        <f>1.333*2.204622*55.0974</f>
        <v>161.91809726367242</v>
      </c>
      <c r="H46" s="95">
        <f>+E46+G46+F46</f>
        <v>7534.3930972636717</v>
      </c>
      <c r="I46" s="95"/>
      <c r="J46" s="95">
        <v>3086</v>
      </c>
      <c r="K46" s="95">
        <f>1.333*659.966</f>
        <v>879.73467800000003</v>
      </c>
      <c r="L46" s="97">
        <f>+N46-J46-K46-M46</f>
        <v>799.41848498118748</v>
      </c>
      <c r="M46" s="105">
        <f>1.333*2.204622*451.7713</f>
        <v>1327.6479342824839</v>
      </c>
      <c r="N46" s="95">
        <f>+H46-O46</f>
        <v>6092.8010972636712</v>
      </c>
      <c r="O46" s="95">
        <v>1441.5920000000001</v>
      </c>
    </row>
    <row r="47" spans="1:15" ht="16.5" x14ac:dyDescent="0.2">
      <c r="A47" s="41" t="s">
        <v>145</v>
      </c>
      <c r="B47" s="95">
        <v>1871.6</v>
      </c>
      <c r="C47" s="95">
        <v>1775.6</v>
      </c>
      <c r="D47" s="95">
        <f>F47*1000/C47</f>
        <v>4007.3271006983555</v>
      </c>
      <c r="E47" s="95">
        <f>O46</f>
        <v>1441.5920000000001</v>
      </c>
      <c r="F47" s="95">
        <v>7115.41</v>
      </c>
      <c r="G47" s="105">
        <v>171.48</v>
      </c>
      <c r="H47" s="95">
        <f>+E47+G47+F47</f>
        <v>8728.482</v>
      </c>
      <c r="I47" s="95"/>
      <c r="J47" s="95">
        <v>3142.09855417996</v>
      </c>
      <c r="K47" s="95">
        <f>1.333*528.75</f>
        <v>704.82375000000002</v>
      </c>
      <c r="L47" s="97">
        <f>+N47-J47-K47-M47</f>
        <v>891.76869582003997</v>
      </c>
      <c r="M47" s="97">
        <v>1272.711</v>
      </c>
      <c r="N47" s="95">
        <f>+H47-O47</f>
        <v>6011.402</v>
      </c>
      <c r="O47" s="95">
        <v>2717.08</v>
      </c>
    </row>
    <row r="48" spans="1:15" ht="16.5" x14ac:dyDescent="0.2">
      <c r="A48" s="40" t="s">
        <v>168</v>
      </c>
      <c r="B48" s="98">
        <v>1426.5</v>
      </c>
      <c r="C48" s="98">
        <v>1345.5</v>
      </c>
      <c r="D48" s="98">
        <f>F48*1000/C48</f>
        <v>4066.3322185061315</v>
      </c>
      <c r="E48" s="98">
        <f>O47</f>
        <v>2717.08</v>
      </c>
      <c r="F48" s="98">
        <v>5471.25</v>
      </c>
      <c r="G48" s="101">
        <v>75</v>
      </c>
      <c r="H48" s="98">
        <f>+E48+G48+F48</f>
        <v>8263.33</v>
      </c>
      <c r="I48" s="98"/>
      <c r="J48" s="98">
        <v>3233</v>
      </c>
      <c r="K48" s="98">
        <v>766</v>
      </c>
      <c r="L48" s="101">
        <f>+N48-J48-K48-M48</f>
        <v>719.32999999999993</v>
      </c>
      <c r="M48" s="101">
        <v>1200</v>
      </c>
      <c r="N48" s="98">
        <f>+H48-O48</f>
        <v>5918.33</v>
      </c>
      <c r="O48" s="98">
        <v>2345</v>
      </c>
    </row>
    <row r="49" spans="1:15" ht="16.5" x14ac:dyDescent="0.2">
      <c r="A49" s="87" t="s">
        <v>133</v>
      </c>
      <c r="B49" s="41"/>
      <c r="C49" s="56"/>
      <c r="D49" s="56"/>
      <c r="E49" s="56"/>
      <c r="F49" s="56"/>
      <c r="G49" s="56"/>
      <c r="H49" s="56"/>
      <c r="I49" s="41"/>
      <c r="J49" s="41"/>
      <c r="K49" s="41"/>
      <c r="L49" s="41"/>
      <c r="M49" s="41"/>
      <c r="N49" s="41"/>
      <c r="O49" s="41"/>
    </row>
    <row r="50" spans="1:15" ht="14.25" x14ac:dyDescent="0.2">
      <c r="A50" s="41" t="s">
        <v>138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</row>
    <row r="51" spans="1:15" ht="14.25" x14ac:dyDescent="0.2">
      <c r="A51" s="41" t="s">
        <v>135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</row>
    <row r="52" spans="1:15" ht="14.25" x14ac:dyDescent="0.2">
      <c r="A52" s="41" t="s">
        <v>26</v>
      </c>
      <c r="B52" s="108">
        <f ca="1">NOW()</f>
        <v>43447.492243749999</v>
      </c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</row>
    <row r="53" spans="1:15" ht="15.75" x14ac:dyDescent="0.25">
      <c r="G53" s="14"/>
      <c r="H53" s="14"/>
    </row>
    <row r="54" spans="1:15" ht="15.75" x14ac:dyDescent="0.25">
      <c r="G54" s="14"/>
      <c r="H54" s="14"/>
    </row>
    <row r="55" spans="1:15" ht="15.75" x14ac:dyDescent="0.25">
      <c r="G55" s="14"/>
      <c r="H55" s="14"/>
    </row>
    <row r="56" spans="1:15" ht="15.75" x14ac:dyDescent="0.25">
      <c r="G56" s="14"/>
      <c r="H56" s="14"/>
    </row>
  </sheetData>
  <mergeCells count="14">
    <mergeCell ref="G2:J2"/>
    <mergeCell ref="G15:I15"/>
    <mergeCell ref="B15:E15"/>
    <mergeCell ref="B2:E2"/>
    <mergeCell ref="B28:E28"/>
    <mergeCell ref="G28:I28"/>
    <mergeCell ref="B5:K5"/>
    <mergeCell ref="B41:C41"/>
    <mergeCell ref="B44:C44"/>
    <mergeCell ref="B31:J31"/>
    <mergeCell ref="B18:J18"/>
    <mergeCell ref="E44:O44"/>
    <mergeCell ref="E41:H41"/>
    <mergeCell ref="J41:N41"/>
  </mergeCells>
  <phoneticPr fontId="3" type="noConversion"/>
  <pageMargins left="0.75" right="0.75" top="1" bottom="1" header="0.5" footer="0.5"/>
  <pageSetup scale="61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38"/>
  <sheetViews>
    <sheetView showGridLines="0" zoomScaleNormal="100" workbookViewId="0"/>
  </sheetViews>
  <sheetFormatPr defaultRowHeight="12.75" x14ac:dyDescent="0.2"/>
  <cols>
    <col min="1" max="3" width="11.7109375" customWidth="1"/>
    <col min="4" max="4" width="14.7109375" customWidth="1"/>
    <col min="5" max="5" width="12.5703125" customWidth="1"/>
    <col min="6" max="7" width="11.7109375" customWidth="1"/>
  </cols>
  <sheetData>
    <row r="1" spans="1:11" ht="15.6" customHeight="1" x14ac:dyDescent="0.2">
      <c r="A1" s="40" t="s">
        <v>51</v>
      </c>
      <c r="B1" s="40"/>
      <c r="C1" s="40"/>
      <c r="D1" s="40"/>
      <c r="E1" s="40"/>
      <c r="F1" s="40"/>
      <c r="G1" s="40"/>
      <c r="H1" s="1"/>
      <c r="I1" s="1"/>
      <c r="J1" s="1"/>
      <c r="K1" s="1"/>
    </row>
    <row r="2" spans="1:11" ht="15.6" customHeight="1" x14ac:dyDescent="0.2">
      <c r="A2" s="44" t="s">
        <v>15</v>
      </c>
      <c r="B2" s="88" t="s">
        <v>139</v>
      </c>
      <c r="C2" s="88" t="s">
        <v>140</v>
      </c>
      <c r="D2" s="88" t="s">
        <v>141</v>
      </c>
      <c r="E2" s="88" t="s">
        <v>142</v>
      </c>
      <c r="F2" s="88" t="s">
        <v>143</v>
      </c>
      <c r="G2" s="88" t="s">
        <v>144</v>
      </c>
      <c r="H2" s="1"/>
      <c r="I2" s="1"/>
      <c r="J2" s="1"/>
      <c r="K2" s="1"/>
    </row>
    <row r="3" spans="1:11" ht="15.6" customHeight="1" x14ac:dyDescent="0.2">
      <c r="A3" s="40" t="s">
        <v>16</v>
      </c>
      <c r="B3" s="49"/>
      <c r="C3" s="109"/>
      <c r="D3" s="109"/>
      <c r="E3" s="109"/>
      <c r="F3" s="109"/>
      <c r="G3" s="109"/>
      <c r="H3" s="1"/>
      <c r="I3" s="1"/>
      <c r="J3" s="1"/>
      <c r="K3" s="2"/>
    </row>
    <row r="4" spans="1:11" ht="14.25" x14ac:dyDescent="0.2">
      <c r="A4" s="110"/>
      <c r="B4" s="111" t="s">
        <v>77</v>
      </c>
      <c r="C4" s="111" t="s">
        <v>87</v>
      </c>
      <c r="D4" s="111" t="s">
        <v>106</v>
      </c>
      <c r="E4" s="111" t="s">
        <v>50</v>
      </c>
      <c r="F4" s="111" t="s">
        <v>76</v>
      </c>
      <c r="G4" s="111" t="s">
        <v>77</v>
      </c>
      <c r="H4" s="1"/>
      <c r="I4" s="2"/>
      <c r="J4" s="2"/>
      <c r="K4" s="2"/>
    </row>
    <row r="5" spans="1:11" ht="14.25" x14ac:dyDescent="0.2">
      <c r="A5" s="41"/>
      <c r="B5" s="41"/>
      <c r="C5" s="41"/>
      <c r="D5" s="43"/>
      <c r="E5" s="41"/>
      <c r="F5" s="41"/>
      <c r="G5" s="41"/>
      <c r="H5" s="1"/>
      <c r="I5" s="1"/>
      <c r="J5" s="1"/>
      <c r="K5" s="1"/>
    </row>
    <row r="6" spans="1:11" ht="14.25" x14ac:dyDescent="0.2">
      <c r="A6" s="41" t="s">
        <v>53</v>
      </c>
      <c r="B6" s="112">
        <v>9.9700000000000006</v>
      </c>
      <c r="C6" s="112">
        <v>223</v>
      </c>
      <c r="D6" s="112">
        <v>21.8</v>
      </c>
      <c r="E6" s="112">
        <v>18.7</v>
      </c>
      <c r="F6" s="112">
        <v>23</v>
      </c>
      <c r="G6" s="112">
        <v>12.7</v>
      </c>
      <c r="H6" s="1"/>
      <c r="I6" s="3"/>
      <c r="J6" s="3"/>
      <c r="K6" s="3"/>
    </row>
    <row r="7" spans="1:11" ht="14.25" x14ac:dyDescent="0.2">
      <c r="A7" s="41" t="s">
        <v>55</v>
      </c>
      <c r="B7" s="112">
        <v>9.59</v>
      </c>
      <c r="C7" s="112">
        <v>158</v>
      </c>
      <c r="D7" s="112">
        <v>15.1</v>
      </c>
      <c r="E7" s="112">
        <v>16.2</v>
      </c>
      <c r="F7" s="112">
        <v>21.7</v>
      </c>
      <c r="G7" s="112">
        <v>8.15</v>
      </c>
      <c r="H7" s="1"/>
      <c r="I7" s="3"/>
      <c r="J7" s="3"/>
      <c r="K7" s="3"/>
    </row>
    <row r="8" spans="1:11" ht="14.25" x14ac:dyDescent="0.2">
      <c r="A8" s="41" t="s">
        <v>56</v>
      </c>
      <c r="B8" s="112">
        <v>11.3</v>
      </c>
      <c r="C8" s="112">
        <v>161</v>
      </c>
      <c r="D8" s="112">
        <v>23.3</v>
      </c>
      <c r="E8" s="112">
        <v>19.3</v>
      </c>
      <c r="F8" s="112">
        <v>22.5</v>
      </c>
      <c r="G8" s="112">
        <v>12.2</v>
      </c>
      <c r="H8" s="1"/>
      <c r="I8" s="3"/>
      <c r="J8" s="3"/>
      <c r="K8" s="3"/>
    </row>
    <row r="9" spans="1:11" ht="14.25" x14ac:dyDescent="0.2">
      <c r="A9" s="41" t="s">
        <v>67</v>
      </c>
      <c r="B9" s="112">
        <v>12.5</v>
      </c>
      <c r="C9" s="112">
        <v>260</v>
      </c>
      <c r="D9" s="112">
        <v>29.1</v>
      </c>
      <c r="E9" s="112">
        <v>24</v>
      </c>
      <c r="F9" s="112">
        <v>31.8</v>
      </c>
      <c r="G9" s="112">
        <v>13.9</v>
      </c>
      <c r="H9" s="1"/>
      <c r="I9" s="3"/>
      <c r="J9" s="3"/>
      <c r="K9" s="3"/>
    </row>
    <row r="10" spans="1:11" ht="14.25" x14ac:dyDescent="0.2">
      <c r="A10" s="41" t="s">
        <v>91</v>
      </c>
      <c r="B10" s="112">
        <v>14.4</v>
      </c>
      <c r="C10" s="112">
        <v>252</v>
      </c>
      <c r="D10" s="112">
        <v>25.4</v>
      </c>
      <c r="E10" s="112">
        <v>26.5</v>
      </c>
      <c r="F10" s="112">
        <v>30.1</v>
      </c>
      <c r="G10" s="112">
        <v>13.8</v>
      </c>
      <c r="H10" s="1"/>
      <c r="I10" s="3"/>
      <c r="J10" s="3"/>
      <c r="K10" s="3"/>
    </row>
    <row r="11" spans="1:11" ht="14.25" x14ac:dyDescent="0.2">
      <c r="A11" s="41" t="s">
        <v>99</v>
      </c>
      <c r="B11" s="112">
        <v>13</v>
      </c>
      <c r="C11" s="112">
        <v>246</v>
      </c>
      <c r="D11" s="112">
        <v>21.4</v>
      </c>
      <c r="E11" s="112">
        <v>20.6</v>
      </c>
      <c r="F11" s="112">
        <v>24.9</v>
      </c>
      <c r="G11" s="112">
        <v>13.8</v>
      </c>
      <c r="H11" s="1"/>
      <c r="I11" s="3"/>
      <c r="J11" s="3"/>
      <c r="K11" s="3"/>
    </row>
    <row r="12" spans="1:11" ht="14.25" x14ac:dyDescent="0.2">
      <c r="A12" s="41" t="s">
        <v>102</v>
      </c>
      <c r="B12" s="112">
        <v>10.1</v>
      </c>
      <c r="C12" s="112">
        <v>194</v>
      </c>
      <c r="D12" s="112">
        <v>21.7</v>
      </c>
      <c r="E12" s="112">
        <v>16.899999999999999</v>
      </c>
      <c r="F12" s="112">
        <v>22</v>
      </c>
      <c r="G12" s="112">
        <v>11.8</v>
      </c>
      <c r="H12" s="1"/>
      <c r="I12" s="3"/>
      <c r="J12" s="3"/>
      <c r="K12" s="3"/>
    </row>
    <row r="13" spans="1:11" ht="14.25" x14ac:dyDescent="0.2">
      <c r="A13" s="41" t="s">
        <v>103</v>
      </c>
      <c r="B13" s="112">
        <v>8.9499999999999993</v>
      </c>
      <c r="C13" s="112">
        <v>227</v>
      </c>
      <c r="D13" s="112">
        <v>19.600000000000001</v>
      </c>
      <c r="E13" s="112">
        <v>15.6</v>
      </c>
      <c r="F13" s="112">
        <v>19.3</v>
      </c>
      <c r="G13" s="112">
        <v>8.9499999999999993</v>
      </c>
      <c r="H13" s="1"/>
      <c r="I13" s="3"/>
      <c r="J13" s="3"/>
      <c r="K13" s="3"/>
    </row>
    <row r="14" spans="1:11" ht="14.25" x14ac:dyDescent="0.2">
      <c r="A14" s="41" t="s">
        <v>119</v>
      </c>
      <c r="B14" s="112">
        <v>9.4700000000000006</v>
      </c>
      <c r="C14" s="112">
        <v>195</v>
      </c>
      <c r="D14" s="112">
        <v>17.399999999999999</v>
      </c>
      <c r="E14" s="112">
        <v>16.600000000000001</v>
      </c>
      <c r="F14" s="112">
        <v>19.7</v>
      </c>
      <c r="G14" s="112">
        <v>8</v>
      </c>
      <c r="H14" s="1"/>
      <c r="I14" s="3"/>
      <c r="J14" s="3"/>
      <c r="K14" s="3"/>
    </row>
    <row r="15" spans="1:11" ht="14.25" x14ac:dyDescent="0.2">
      <c r="A15" s="41" t="s">
        <v>121</v>
      </c>
      <c r="B15" s="112">
        <v>9.33</v>
      </c>
      <c r="C15" s="112">
        <v>142</v>
      </c>
      <c r="D15" s="112">
        <v>17.2</v>
      </c>
      <c r="E15" s="112">
        <v>17.5</v>
      </c>
      <c r="F15" s="112">
        <v>22.9</v>
      </c>
      <c r="G15" s="112">
        <v>9.5299999999999994</v>
      </c>
      <c r="H15" s="1"/>
      <c r="I15" s="3"/>
      <c r="J15" s="3"/>
      <c r="K15" s="3"/>
    </row>
    <row r="16" spans="1:11" ht="16.5" x14ac:dyDescent="0.2">
      <c r="A16" s="41" t="s">
        <v>167</v>
      </c>
      <c r="B16" s="113" t="s">
        <v>198</v>
      </c>
      <c r="C16" s="112" t="s">
        <v>185</v>
      </c>
      <c r="D16" s="113" t="s">
        <v>187</v>
      </c>
      <c r="E16" s="113" t="s">
        <v>188</v>
      </c>
      <c r="F16" s="113" t="s">
        <v>186</v>
      </c>
      <c r="G16" s="113" t="s">
        <v>199</v>
      </c>
      <c r="H16" s="1"/>
      <c r="I16" s="3"/>
      <c r="J16" s="3"/>
      <c r="K16" s="3"/>
    </row>
    <row r="17" spans="1:11" ht="14.25" x14ac:dyDescent="0.2">
      <c r="A17" s="44"/>
      <c r="B17" s="114"/>
      <c r="C17" s="115"/>
      <c r="D17" s="113"/>
      <c r="E17" s="113"/>
      <c r="F17" s="113"/>
      <c r="G17" s="116"/>
      <c r="H17" s="3"/>
      <c r="I17" s="3"/>
      <c r="J17" s="3"/>
      <c r="K17" s="3"/>
    </row>
    <row r="18" spans="1:11" ht="14.25" x14ac:dyDescent="0.2">
      <c r="A18" s="68" t="s">
        <v>121</v>
      </c>
      <c r="B18" s="112"/>
      <c r="C18" s="112"/>
      <c r="D18" s="112"/>
      <c r="E18" s="112"/>
      <c r="F18" s="112"/>
      <c r="G18" s="112"/>
      <c r="H18" s="1"/>
    </row>
    <row r="19" spans="1:11" ht="14.25" x14ac:dyDescent="0.2">
      <c r="A19" s="41" t="s">
        <v>71</v>
      </c>
      <c r="B19" s="112">
        <v>9.35</v>
      </c>
      <c r="C19" s="112">
        <v>127</v>
      </c>
      <c r="D19" s="112">
        <v>17.399999999999999</v>
      </c>
      <c r="E19" s="112">
        <v>17.3</v>
      </c>
      <c r="F19" s="112">
        <v>23</v>
      </c>
      <c r="G19" s="112">
        <v>9.56</v>
      </c>
      <c r="H19" s="1"/>
    </row>
    <row r="20" spans="1:11" ht="14.25" x14ac:dyDescent="0.2">
      <c r="A20" s="41" t="s">
        <v>58</v>
      </c>
      <c r="B20" s="112">
        <v>9.18</v>
      </c>
      <c r="C20" s="112">
        <v>141</v>
      </c>
      <c r="D20" s="112">
        <v>16.8</v>
      </c>
      <c r="E20" s="112">
        <v>16.600000000000001</v>
      </c>
      <c r="F20" s="112">
        <v>23.2</v>
      </c>
      <c r="G20" s="112">
        <v>9.23</v>
      </c>
      <c r="H20" s="1"/>
    </row>
    <row r="21" spans="1:11" ht="14.25" x14ac:dyDescent="0.2">
      <c r="A21" s="41" t="s">
        <v>59</v>
      </c>
      <c r="B21" s="112">
        <v>9.2200000000000006</v>
      </c>
      <c r="C21" s="112">
        <v>144</v>
      </c>
      <c r="D21" s="112">
        <v>16.600000000000001</v>
      </c>
      <c r="E21" s="112">
        <v>17.2</v>
      </c>
      <c r="F21" s="112">
        <v>22.7</v>
      </c>
      <c r="G21" s="112">
        <v>9.2100000000000009</v>
      </c>
      <c r="H21" s="1"/>
    </row>
    <row r="22" spans="1:11" ht="14.25" x14ac:dyDescent="0.2">
      <c r="A22" s="41" t="s">
        <v>60</v>
      </c>
      <c r="B22" s="112">
        <v>9.3000000000000007</v>
      </c>
      <c r="C22" s="112">
        <v>143</v>
      </c>
      <c r="D22" s="112">
        <v>17</v>
      </c>
      <c r="E22" s="112">
        <v>16.7</v>
      </c>
      <c r="F22" s="112">
        <v>23</v>
      </c>
      <c r="G22" s="112">
        <v>9.34</v>
      </c>
      <c r="H22" s="1"/>
    </row>
    <row r="23" spans="1:11" ht="14.25" x14ac:dyDescent="0.2">
      <c r="A23" s="41" t="s">
        <v>61</v>
      </c>
      <c r="B23" s="112">
        <v>9.3000000000000007</v>
      </c>
      <c r="C23" s="112">
        <v>139</v>
      </c>
      <c r="D23" s="112">
        <v>17.600000000000001</v>
      </c>
      <c r="E23" s="112">
        <v>17.7</v>
      </c>
      <c r="F23" s="112">
        <v>22.9</v>
      </c>
      <c r="G23" s="112">
        <v>9.4</v>
      </c>
      <c r="H23" s="1"/>
    </row>
    <row r="24" spans="1:11" ht="14.25" x14ac:dyDescent="0.2">
      <c r="A24" s="41" t="s">
        <v>62</v>
      </c>
      <c r="B24" s="112">
        <v>9.5</v>
      </c>
      <c r="C24" s="112">
        <v>156</v>
      </c>
      <c r="D24" s="112">
        <v>17.7</v>
      </c>
      <c r="E24" s="112">
        <v>18.3</v>
      </c>
      <c r="F24" s="112">
        <v>22.7</v>
      </c>
      <c r="G24" s="112">
        <v>10</v>
      </c>
      <c r="H24" s="1"/>
    </row>
    <row r="25" spans="1:11" ht="14.25" x14ac:dyDescent="0.2">
      <c r="A25" s="41" t="s">
        <v>63</v>
      </c>
      <c r="B25" s="112">
        <v>9.81</v>
      </c>
      <c r="C25" s="112" t="s">
        <v>10</v>
      </c>
      <c r="D25" s="112">
        <v>17.3</v>
      </c>
      <c r="E25" s="112">
        <v>18.2</v>
      </c>
      <c r="F25" s="112">
        <v>24.4</v>
      </c>
      <c r="G25" s="112">
        <v>9.76</v>
      </c>
      <c r="H25" s="1"/>
    </row>
    <row r="26" spans="1:11" ht="14.25" x14ac:dyDescent="0.2">
      <c r="A26" s="41" t="s">
        <v>64</v>
      </c>
      <c r="B26" s="112">
        <v>9.85</v>
      </c>
      <c r="C26" s="112" t="s">
        <v>10</v>
      </c>
      <c r="D26" s="112">
        <v>18</v>
      </c>
      <c r="E26" s="112">
        <v>17.5</v>
      </c>
      <c r="F26" s="112">
        <v>23.3</v>
      </c>
      <c r="G26" s="112">
        <v>9.92</v>
      </c>
      <c r="H26" s="1"/>
    </row>
    <row r="27" spans="1:11" ht="14.25" x14ac:dyDescent="0.2">
      <c r="A27" s="41" t="s">
        <v>65</v>
      </c>
      <c r="B27" s="112">
        <v>9.84</v>
      </c>
      <c r="C27" s="112" t="s">
        <v>10</v>
      </c>
      <c r="D27" s="112">
        <v>17.899999999999999</v>
      </c>
      <c r="E27" s="112">
        <v>18.5</v>
      </c>
      <c r="F27" s="112">
        <v>22.7</v>
      </c>
      <c r="G27" s="112">
        <v>10.1</v>
      </c>
      <c r="H27" s="1"/>
    </row>
    <row r="28" spans="1:11" ht="14.25" x14ac:dyDescent="0.2">
      <c r="A28" s="41" t="s">
        <v>66</v>
      </c>
      <c r="B28" s="112">
        <v>9.5500000000000007</v>
      </c>
      <c r="C28" s="112" t="s">
        <v>10</v>
      </c>
      <c r="D28" s="112">
        <v>17.7</v>
      </c>
      <c r="E28" s="112">
        <v>17.2</v>
      </c>
      <c r="F28" s="112">
        <v>22.7</v>
      </c>
      <c r="G28" s="112">
        <v>10</v>
      </c>
      <c r="H28" s="1"/>
    </row>
    <row r="29" spans="1:11" ht="14.25" x14ac:dyDescent="0.2">
      <c r="A29" s="41" t="s">
        <v>68</v>
      </c>
      <c r="B29" s="112">
        <v>9.08</v>
      </c>
      <c r="C29" s="112" t="s">
        <v>10</v>
      </c>
      <c r="D29" s="112">
        <v>17.399999999999999</v>
      </c>
      <c r="E29" s="112">
        <v>17.100000000000001</v>
      </c>
      <c r="F29" s="112">
        <v>22.4</v>
      </c>
      <c r="G29" s="112">
        <v>9.9600000000000009</v>
      </c>
      <c r="H29" s="1"/>
    </row>
    <row r="30" spans="1:11" ht="14.25" x14ac:dyDescent="0.2">
      <c r="A30" s="41" t="s">
        <v>69</v>
      </c>
      <c r="B30" s="112">
        <v>8.59</v>
      </c>
      <c r="C30" s="112">
        <v>134</v>
      </c>
      <c r="D30" s="112">
        <v>16.899999999999999</v>
      </c>
      <c r="E30" s="112">
        <v>15.3</v>
      </c>
      <c r="F30" s="112">
        <v>22</v>
      </c>
      <c r="G30" s="112">
        <v>10.199999999999999</v>
      </c>
      <c r="H30" s="1"/>
    </row>
    <row r="31" spans="1:11" ht="14.25" x14ac:dyDescent="0.2">
      <c r="A31" s="44"/>
      <c r="B31" s="112"/>
      <c r="C31" s="112"/>
      <c r="D31" s="112"/>
      <c r="E31" s="112"/>
      <c r="F31" s="112"/>
      <c r="G31" s="112"/>
    </row>
    <row r="32" spans="1:11" ht="14.25" x14ac:dyDescent="0.2">
      <c r="A32" s="68" t="s">
        <v>173</v>
      </c>
      <c r="B32" s="112"/>
      <c r="C32" s="112"/>
      <c r="D32" s="112"/>
      <c r="E32" s="112"/>
      <c r="F32" s="112"/>
      <c r="G32" s="112"/>
    </row>
    <row r="33" spans="1:8" ht="14.25" x14ac:dyDescent="0.2">
      <c r="A33" s="41" t="s">
        <v>71</v>
      </c>
      <c r="B33" s="112">
        <v>8.77</v>
      </c>
      <c r="C33" s="112">
        <v>141</v>
      </c>
      <c r="D33" s="112">
        <v>16.7</v>
      </c>
      <c r="E33" s="112">
        <v>15.2</v>
      </c>
      <c r="F33" s="112">
        <v>22.2</v>
      </c>
      <c r="G33" s="112">
        <v>9.7899999999999991</v>
      </c>
      <c r="H33" s="1"/>
    </row>
    <row r="34" spans="1:8" ht="14.25" x14ac:dyDescent="0.2">
      <c r="A34" s="40" t="s">
        <v>58</v>
      </c>
      <c r="B34" s="117">
        <v>8.58</v>
      </c>
      <c r="C34" s="117">
        <v>146</v>
      </c>
      <c r="D34" s="117">
        <v>16.7</v>
      </c>
      <c r="E34" s="117">
        <v>15.6</v>
      </c>
      <c r="F34" s="117">
        <v>22.1</v>
      </c>
      <c r="G34" s="117">
        <v>9.7899999999999991</v>
      </c>
    </row>
    <row r="35" spans="1:8" ht="16.5" x14ac:dyDescent="0.2">
      <c r="A35" s="41" t="s">
        <v>146</v>
      </c>
      <c r="B35" s="41"/>
      <c r="C35" s="41"/>
      <c r="D35" s="41"/>
      <c r="E35" s="41"/>
      <c r="F35" s="41"/>
      <c r="G35" s="41"/>
    </row>
    <row r="36" spans="1:8" ht="14.25" x14ac:dyDescent="0.2">
      <c r="A36" s="41" t="s">
        <v>57</v>
      </c>
      <c r="B36" s="118"/>
      <c r="C36" s="118" t="s">
        <v>107</v>
      </c>
      <c r="D36" s="118"/>
      <c r="E36" s="118"/>
      <c r="F36" s="118"/>
      <c r="G36" s="118"/>
    </row>
    <row r="37" spans="1:8" ht="14.25" x14ac:dyDescent="0.2">
      <c r="A37" s="41" t="s">
        <v>147</v>
      </c>
      <c r="B37" s="41"/>
      <c r="C37" s="41"/>
      <c r="D37" s="41"/>
      <c r="E37" s="41"/>
      <c r="F37" s="41"/>
      <c r="G37" s="41"/>
    </row>
    <row r="38" spans="1:8" ht="14.25" x14ac:dyDescent="0.2">
      <c r="A38" s="41" t="s">
        <v>26</v>
      </c>
      <c r="B38" s="79">
        <f ca="1">NOW()</f>
        <v>43447.492243749999</v>
      </c>
      <c r="C38" s="41"/>
      <c r="D38" s="41"/>
      <c r="E38" s="41"/>
      <c r="F38" s="41"/>
      <c r="G38" s="41"/>
    </row>
  </sheetData>
  <phoneticPr fontId="3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58"/>
  <sheetViews>
    <sheetView showGridLines="0" zoomScaleNormal="100" workbookViewId="0"/>
  </sheetViews>
  <sheetFormatPr defaultRowHeight="12.75" x14ac:dyDescent="0.2"/>
  <cols>
    <col min="1" max="2" width="11.7109375" customWidth="1"/>
    <col min="3" max="3" width="11.5703125" customWidth="1"/>
    <col min="4" max="4" width="13.7109375" customWidth="1"/>
    <col min="5" max="5" width="10.5703125" customWidth="1"/>
    <col min="6" max="7" width="10.7109375" customWidth="1"/>
    <col min="8" max="9" width="10.5703125" customWidth="1"/>
  </cols>
  <sheetData>
    <row r="1" spans="1:9" ht="14.25" x14ac:dyDescent="0.2">
      <c r="A1" s="40" t="s">
        <v>22</v>
      </c>
      <c r="B1" s="40"/>
      <c r="C1" s="40"/>
      <c r="D1" s="40"/>
      <c r="E1" s="40"/>
      <c r="F1" s="40"/>
      <c r="G1" s="40"/>
      <c r="H1" s="40"/>
      <c r="I1" s="41"/>
    </row>
    <row r="2" spans="1:9" ht="15.6" customHeight="1" x14ac:dyDescent="0.2">
      <c r="A2" s="119" t="s">
        <v>15</v>
      </c>
      <c r="B2" s="88" t="s">
        <v>44</v>
      </c>
      <c r="C2" s="88" t="s">
        <v>17</v>
      </c>
      <c r="D2" s="88" t="s">
        <v>89</v>
      </c>
      <c r="E2" s="120" t="s">
        <v>52</v>
      </c>
      <c r="F2" s="120" t="s">
        <v>45</v>
      </c>
      <c r="G2" s="88" t="s">
        <v>49</v>
      </c>
      <c r="H2" s="88" t="s">
        <v>148</v>
      </c>
      <c r="I2" s="121" t="s">
        <v>48</v>
      </c>
    </row>
    <row r="3" spans="1:9" ht="15.6" customHeight="1" x14ac:dyDescent="0.2">
      <c r="A3" s="93" t="s">
        <v>16</v>
      </c>
      <c r="B3" s="48" t="s">
        <v>149</v>
      </c>
      <c r="C3" s="48" t="s">
        <v>150</v>
      </c>
      <c r="D3" s="48" t="s">
        <v>151</v>
      </c>
      <c r="E3" s="48" t="s">
        <v>151</v>
      </c>
      <c r="F3" s="48" t="s">
        <v>152</v>
      </c>
      <c r="G3" s="48" t="s">
        <v>153</v>
      </c>
      <c r="H3" s="48"/>
      <c r="I3" s="48" t="s">
        <v>154</v>
      </c>
    </row>
    <row r="4" spans="1:9" ht="14.25" x14ac:dyDescent="0.2">
      <c r="A4" s="41"/>
      <c r="B4" s="60" t="s">
        <v>108</v>
      </c>
      <c r="C4" s="122"/>
      <c r="D4" s="122"/>
      <c r="E4" s="122"/>
      <c r="F4" s="122"/>
      <c r="G4" s="122"/>
      <c r="H4" s="122"/>
      <c r="I4" s="122"/>
    </row>
    <row r="5" spans="1:9" ht="14.25" x14ac:dyDescent="0.2">
      <c r="A5" s="41"/>
      <c r="B5" s="41"/>
      <c r="C5" s="41"/>
      <c r="D5" s="41"/>
      <c r="E5" s="41"/>
      <c r="F5" s="41"/>
      <c r="G5" s="41"/>
      <c r="H5" s="41"/>
      <c r="I5" s="41"/>
    </row>
    <row r="6" spans="1:9" ht="14.25" x14ac:dyDescent="0.2">
      <c r="A6" s="41" t="s">
        <v>53</v>
      </c>
      <c r="B6" s="112">
        <v>32.159999999999997</v>
      </c>
      <c r="C6" s="112">
        <v>37.1</v>
      </c>
      <c r="D6" s="112">
        <v>50.24</v>
      </c>
      <c r="E6" s="112">
        <v>39.54</v>
      </c>
      <c r="F6" s="112">
        <v>78.489999999999995</v>
      </c>
      <c r="G6" s="112">
        <v>32.75</v>
      </c>
      <c r="H6" s="112">
        <v>26.72</v>
      </c>
      <c r="I6" s="112">
        <v>25.47</v>
      </c>
    </row>
    <row r="7" spans="1:9" ht="14.25" x14ac:dyDescent="0.2">
      <c r="A7" s="41" t="s">
        <v>55</v>
      </c>
      <c r="B7" s="112">
        <v>35.950000000000003</v>
      </c>
      <c r="C7" s="112">
        <v>40.270000000000003</v>
      </c>
      <c r="D7" s="112">
        <v>52.8</v>
      </c>
      <c r="E7" s="112">
        <v>42.88</v>
      </c>
      <c r="F7" s="112">
        <v>59.62</v>
      </c>
      <c r="G7" s="112">
        <v>39.29</v>
      </c>
      <c r="H7" s="112">
        <v>31.99</v>
      </c>
      <c r="I7" s="112">
        <v>32.26</v>
      </c>
    </row>
    <row r="8" spans="1:9" ht="14.25" x14ac:dyDescent="0.2">
      <c r="A8" s="41" t="s">
        <v>56</v>
      </c>
      <c r="B8" s="112">
        <v>53.2</v>
      </c>
      <c r="C8" s="112">
        <v>54.5</v>
      </c>
      <c r="D8" s="112">
        <v>86.12</v>
      </c>
      <c r="E8" s="112">
        <v>58.68</v>
      </c>
      <c r="F8" s="112">
        <v>77.239999999999995</v>
      </c>
      <c r="G8" s="112">
        <v>60.76</v>
      </c>
      <c r="H8" s="112">
        <v>51.52</v>
      </c>
      <c r="I8" s="112">
        <v>51.34</v>
      </c>
    </row>
    <row r="9" spans="1:9" ht="14.25" x14ac:dyDescent="0.2">
      <c r="A9" s="41" t="s">
        <v>67</v>
      </c>
      <c r="B9" s="112">
        <v>51.9</v>
      </c>
      <c r="C9" s="112">
        <v>53.22</v>
      </c>
      <c r="D9" s="112">
        <v>83.2</v>
      </c>
      <c r="E9" s="112">
        <v>57.19</v>
      </c>
      <c r="F9" s="112">
        <v>100.15</v>
      </c>
      <c r="G9" s="112">
        <v>56.09</v>
      </c>
      <c r="H9" s="112">
        <v>48.11</v>
      </c>
      <c r="I9" s="112">
        <v>50.33</v>
      </c>
    </row>
    <row r="10" spans="1:9" ht="14.25" x14ac:dyDescent="0.2">
      <c r="A10" s="41" t="s">
        <v>91</v>
      </c>
      <c r="B10" s="112">
        <v>47.13</v>
      </c>
      <c r="C10" s="112">
        <v>48.6</v>
      </c>
      <c r="D10" s="112">
        <v>65.87</v>
      </c>
      <c r="E10" s="112">
        <v>56.17</v>
      </c>
      <c r="F10" s="112">
        <v>91.83</v>
      </c>
      <c r="G10" s="112">
        <v>46.66</v>
      </c>
      <c r="H10" s="112">
        <v>51.8</v>
      </c>
      <c r="I10" s="112">
        <v>43.24</v>
      </c>
    </row>
    <row r="11" spans="1:9" ht="14.25" x14ac:dyDescent="0.2">
      <c r="A11" s="41" t="s">
        <v>99</v>
      </c>
      <c r="B11" s="112">
        <v>38.229999999999997</v>
      </c>
      <c r="C11" s="112">
        <v>60.66</v>
      </c>
      <c r="D11" s="112">
        <v>59.12</v>
      </c>
      <c r="E11" s="112">
        <v>43.7</v>
      </c>
      <c r="F11" s="112">
        <v>68.23</v>
      </c>
      <c r="G11" s="112">
        <v>39.43</v>
      </c>
      <c r="H11" s="112">
        <v>43.93</v>
      </c>
      <c r="I11" s="112">
        <v>39.76</v>
      </c>
    </row>
    <row r="12" spans="1:9" ht="14.25" x14ac:dyDescent="0.2">
      <c r="A12" s="41" t="s">
        <v>102</v>
      </c>
      <c r="B12" s="112">
        <v>31.6</v>
      </c>
      <c r="C12" s="112">
        <v>45.74</v>
      </c>
      <c r="D12" s="112">
        <v>66.72</v>
      </c>
      <c r="E12" s="112">
        <v>37.81</v>
      </c>
      <c r="F12" s="112">
        <v>57.96</v>
      </c>
      <c r="G12" s="112">
        <v>37.479999999999997</v>
      </c>
      <c r="H12" s="112">
        <v>33.43</v>
      </c>
      <c r="I12" s="112">
        <v>31.36</v>
      </c>
    </row>
    <row r="13" spans="1:9" ht="14.25" x14ac:dyDescent="0.2">
      <c r="A13" s="41" t="s">
        <v>103</v>
      </c>
      <c r="B13" s="112">
        <v>29.86</v>
      </c>
      <c r="C13" s="112">
        <v>45.87</v>
      </c>
      <c r="D13" s="112">
        <v>57.81</v>
      </c>
      <c r="E13" s="112">
        <v>35.270000000000003</v>
      </c>
      <c r="F13" s="112">
        <v>58.26</v>
      </c>
      <c r="G13" s="112">
        <v>39.25</v>
      </c>
      <c r="H13" s="112">
        <v>32.229999999999997</v>
      </c>
      <c r="I13" s="112">
        <v>30.07</v>
      </c>
    </row>
    <row r="14" spans="1:9" ht="14.25" x14ac:dyDescent="0.2">
      <c r="A14" s="41" t="s">
        <v>119</v>
      </c>
      <c r="B14" s="112">
        <v>32.549999999999997</v>
      </c>
      <c r="C14" s="112">
        <v>40.92</v>
      </c>
      <c r="D14" s="112">
        <v>53.54</v>
      </c>
      <c r="E14" s="112">
        <v>38.729999999999997</v>
      </c>
      <c r="F14" s="112">
        <v>66.73</v>
      </c>
      <c r="G14" s="112">
        <v>37.43</v>
      </c>
      <c r="H14" s="112">
        <v>33.07</v>
      </c>
      <c r="I14" s="112">
        <v>34.75</v>
      </c>
    </row>
    <row r="15" spans="1:9" ht="16.5" x14ac:dyDescent="0.2">
      <c r="A15" s="41" t="s">
        <v>145</v>
      </c>
      <c r="B15" s="112">
        <v>30.04</v>
      </c>
      <c r="C15" s="112">
        <v>31.87</v>
      </c>
      <c r="D15" s="112">
        <v>54.57</v>
      </c>
      <c r="E15" s="112">
        <v>38.270000000000003</v>
      </c>
      <c r="F15" s="112">
        <v>66.72</v>
      </c>
      <c r="G15" s="112">
        <v>30.35</v>
      </c>
      <c r="H15" s="112">
        <v>34.159999999999997</v>
      </c>
      <c r="I15" s="112">
        <v>31.21</v>
      </c>
    </row>
    <row r="16" spans="1:9" ht="16.5" x14ac:dyDescent="0.2">
      <c r="A16" s="41" t="s">
        <v>167</v>
      </c>
      <c r="B16" s="113" t="s">
        <v>169</v>
      </c>
      <c r="C16" s="113" t="s">
        <v>170</v>
      </c>
      <c r="D16" s="113" t="s">
        <v>189</v>
      </c>
      <c r="E16" s="113" t="s">
        <v>192</v>
      </c>
      <c r="F16" s="113" t="s">
        <v>197</v>
      </c>
      <c r="G16" s="113" t="s">
        <v>194</v>
      </c>
      <c r="H16" s="113" t="s">
        <v>195</v>
      </c>
      <c r="I16" s="113" t="s">
        <v>196</v>
      </c>
    </row>
    <row r="17" spans="1:15" ht="14.25" x14ac:dyDescent="0.2">
      <c r="A17" s="41"/>
      <c r="B17" s="57"/>
      <c r="C17" s="115"/>
      <c r="D17" s="123"/>
      <c r="E17" s="123"/>
      <c r="F17" s="123"/>
      <c r="G17" s="123"/>
      <c r="H17" s="41"/>
      <c r="I17" s="41"/>
    </row>
    <row r="18" spans="1:15" ht="14.25" x14ac:dyDescent="0.2">
      <c r="A18" s="41" t="s">
        <v>121</v>
      </c>
      <c r="B18" s="112"/>
      <c r="C18" s="112"/>
      <c r="D18" s="112"/>
      <c r="E18" s="112"/>
      <c r="F18" s="112"/>
      <c r="G18" s="112"/>
      <c r="H18" s="112"/>
      <c r="I18" s="112"/>
    </row>
    <row r="19" spans="1:15" ht="14.25" x14ac:dyDescent="0.2">
      <c r="A19" s="41" t="s">
        <v>58</v>
      </c>
      <c r="B19" s="112">
        <v>32.35</v>
      </c>
      <c r="C19" s="112">
        <v>37.06</v>
      </c>
      <c r="D19" s="112">
        <v>56</v>
      </c>
      <c r="E19" s="112">
        <v>39.06</v>
      </c>
      <c r="F19" s="112">
        <v>65.44</v>
      </c>
      <c r="G19" s="112">
        <v>34.96</v>
      </c>
      <c r="H19" s="112">
        <v>36</v>
      </c>
      <c r="I19" s="112">
        <v>32.06</v>
      </c>
      <c r="K19" s="7"/>
      <c r="L19" s="7"/>
      <c r="M19" s="7"/>
      <c r="N19" s="7"/>
      <c r="O19" s="7"/>
    </row>
    <row r="20" spans="1:15" ht="14.25" x14ac:dyDescent="0.2">
      <c r="A20" s="41" t="s">
        <v>59</v>
      </c>
      <c r="B20" s="112">
        <v>33.43</v>
      </c>
      <c r="C20" s="112">
        <v>37</v>
      </c>
      <c r="D20" s="112">
        <v>55.5</v>
      </c>
      <c r="E20" s="112">
        <v>39.69</v>
      </c>
      <c r="F20" s="112">
        <v>65</v>
      </c>
      <c r="G20" s="112">
        <v>34.46</v>
      </c>
      <c r="H20" s="112">
        <v>38.17</v>
      </c>
      <c r="I20" s="112">
        <v>33.44</v>
      </c>
      <c r="K20" s="7"/>
      <c r="L20" s="7"/>
      <c r="M20" s="7"/>
      <c r="N20" s="7"/>
      <c r="O20" s="7"/>
    </row>
    <row r="21" spans="1:15" ht="14.25" x14ac:dyDescent="0.2">
      <c r="A21" s="41" t="s">
        <v>60</v>
      </c>
      <c r="B21" s="112">
        <v>32.270000000000003</v>
      </c>
      <c r="C21" s="112">
        <v>34.25</v>
      </c>
      <c r="D21" s="112">
        <v>54.8</v>
      </c>
      <c r="E21" s="112">
        <v>38.65</v>
      </c>
      <c r="F21" s="112">
        <v>65.2</v>
      </c>
      <c r="G21" s="112">
        <v>33.96</v>
      </c>
      <c r="H21" s="112">
        <v>37</v>
      </c>
      <c r="I21" s="112">
        <v>31.63</v>
      </c>
    </row>
    <row r="22" spans="1:15" ht="14.25" x14ac:dyDescent="0.2">
      <c r="A22" s="41" t="s">
        <v>61</v>
      </c>
      <c r="B22" s="112">
        <v>31.61</v>
      </c>
      <c r="C22" s="112">
        <v>32.75</v>
      </c>
      <c r="D22" s="112">
        <v>55.5</v>
      </c>
      <c r="E22" s="112">
        <v>38.31</v>
      </c>
      <c r="F22" s="112">
        <v>66.13</v>
      </c>
      <c r="G22" s="112">
        <v>30.68</v>
      </c>
      <c r="H22" s="112">
        <v>32.08</v>
      </c>
      <c r="I22" s="112" t="s">
        <v>10</v>
      </c>
    </row>
    <row r="23" spans="1:15" ht="14.25" x14ac:dyDescent="0.2">
      <c r="A23" s="41" t="s">
        <v>62</v>
      </c>
      <c r="B23" s="112">
        <v>30.63</v>
      </c>
      <c r="C23" s="112">
        <v>31.44</v>
      </c>
      <c r="D23" s="112">
        <v>55</v>
      </c>
      <c r="E23" s="112">
        <v>37.44</v>
      </c>
      <c r="F23" s="112">
        <v>66.63</v>
      </c>
      <c r="G23" s="112">
        <v>29.72</v>
      </c>
      <c r="H23" s="112">
        <v>32.200000000000003</v>
      </c>
      <c r="I23" s="112">
        <v>31</v>
      </c>
    </row>
    <row r="24" spans="1:15" ht="14.25" x14ac:dyDescent="0.2">
      <c r="A24" s="41" t="s">
        <v>63</v>
      </c>
      <c r="B24" s="112">
        <v>30.28</v>
      </c>
      <c r="C24" s="112">
        <v>31.35</v>
      </c>
      <c r="D24" s="112">
        <v>54</v>
      </c>
      <c r="E24" s="112">
        <v>37.1</v>
      </c>
      <c r="F24" s="112">
        <v>67</v>
      </c>
      <c r="G24" s="112">
        <v>29.66</v>
      </c>
      <c r="H24" s="112" t="s">
        <v>10</v>
      </c>
      <c r="I24" s="112" t="s">
        <v>10</v>
      </c>
    </row>
    <row r="25" spans="1:15" ht="14.25" x14ac:dyDescent="0.2">
      <c r="A25" s="41" t="s">
        <v>64</v>
      </c>
      <c r="B25" s="112">
        <v>29.7</v>
      </c>
      <c r="C25" s="112">
        <v>31.19</v>
      </c>
      <c r="D25" s="112">
        <v>54</v>
      </c>
      <c r="E25" s="112">
        <v>37.31</v>
      </c>
      <c r="F25" s="112">
        <v>66.88</v>
      </c>
      <c r="G25" s="112">
        <v>29.5</v>
      </c>
      <c r="H25" s="112" t="s">
        <v>10</v>
      </c>
      <c r="I25" s="112">
        <v>29.5</v>
      </c>
    </row>
    <row r="26" spans="1:15" ht="14.25" x14ac:dyDescent="0.2">
      <c r="A26" s="41" t="s">
        <v>65</v>
      </c>
      <c r="B26" s="112">
        <v>29.4</v>
      </c>
      <c r="C26" s="112">
        <v>31.25</v>
      </c>
      <c r="D26" s="112">
        <v>54</v>
      </c>
      <c r="E26" s="112">
        <v>38.25</v>
      </c>
      <c r="F26" s="112">
        <v>66.5</v>
      </c>
      <c r="G26" s="112">
        <v>29.65</v>
      </c>
      <c r="H26" s="112" t="s">
        <v>10</v>
      </c>
      <c r="I26" s="112">
        <v>29</v>
      </c>
    </row>
    <row r="27" spans="1:15" ht="14.25" x14ac:dyDescent="0.2">
      <c r="A27" s="41" t="s">
        <v>66</v>
      </c>
      <c r="B27" s="112">
        <v>28.3</v>
      </c>
      <c r="C27" s="112">
        <v>29.9</v>
      </c>
      <c r="D27" s="112">
        <v>54</v>
      </c>
      <c r="E27" s="112">
        <v>37.75</v>
      </c>
      <c r="F27" s="112">
        <v>67.7</v>
      </c>
      <c r="G27" s="112">
        <v>29.54</v>
      </c>
      <c r="H27" s="112">
        <v>32.5</v>
      </c>
      <c r="I27" s="112">
        <v>30</v>
      </c>
    </row>
    <row r="28" spans="1:15" ht="14.25" x14ac:dyDescent="0.2">
      <c r="A28" s="41" t="s">
        <v>68</v>
      </c>
      <c r="B28" s="112">
        <v>27.21</v>
      </c>
      <c r="C28" s="112">
        <v>28.75</v>
      </c>
      <c r="D28" s="112">
        <v>54</v>
      </c>
      <c r="E28" s="112">
        <v>38.69</v>
      </c>
      <c r="F28" s="112">
        <v>68</v>
      </c>
      <c r="G28" s="112">
        <v>28.76</v>
      </c>
      <c r="H28" s="112" t="s">
        <v>10</v>
      </c>
      <c r="I28" s="112">
        <v>32.47</v>
      </c>
    </row>
    <row r="29" spans="1:15" ht="14.25" x14ac:dyDescent="0.2">
      <c r="A29" s="41" t="s">
        <v>69</v>
      </c>
      <c r="B29" s="112">
        <v>27.6</v>
      </c>
      <c r="C29" s="112">
        <v>28.6</v>
      </c>
      <c r="D29" s="112">
        <v>54</v>
      </c>
      <c r="E29" s="112">
        <v>38.75</v>
      </c>
      <c r="F29" s="112">
        <v>68</v>
      </c>
      <c r="G29" s="112">
        <v>26.8</v>
      </c>
      <c r="H29" s="112">
        <v>32.380000000000003</v>
      </c>
      <c r="I29" s="112">
        <v>32</v>
      </c>
    </row>
    <row r="30" spans="1:15" ht="14.25" x14ac:dyDescent="0.2">
      <c r="A30" s="41" t="s">
        <v>71</v>
      </c>
      <c r="B30" s="112">
        <v>27.73</v>
      </c>
      <c r="C30" s="112">
        <v>28.88</v>
      </c>
      <c r="D30" s="112">
        <v>54</v>
      </c>
      <c r="E30" s="112">
        <v>38.19</v>
      </c>
      <c r="F30" s="112">
        <v>67.63</v>
      </c>
      <c r="G30" s="112">
        <v>26.46</v>
      </c>
      <c r="H30" s="112">
        <v>32.93</v>
      </c>
      <c r="I30" s="112">
        <v>31</v>
      </c>
    </row>
    <row r="31" spans="1:15" ht="14.25" x14ac:dyDescent="0.2">
      <c r="A31" s="44"/>
      <c r="B31" s="112"/>
      <c r="C31" s="112"/>
      <c r="D31" s="112"/>
      <c r="E31" s="112"/>
      <c r="F31" s="112"/>
      <c r="G31" s="112"/>
      <c r="H31" s="112"/>
      <c r="I31" s="112"/>
    </row>
    <row r="32" spans="1:15" ht="14.25" x14ac:dyDescent="0.2">
      <c r="A32" s="41" t="s">
        <v>173</v>
      </c>
      <c r="B32" s="112"/>
      <c r="C32" s="112"/>
      <c r="D32" s="112"/>
      <c r="E32" s="112"/>
      <c r="F32" s="112"/>
      <c r="G32" s="112"/>
      <c r="H32" s="112"/>
      <c r="I32" s="112"/>
    </row>
    <row r="33" spans="1:9" ht="14.25" x14ac:dyDescent="0.2">
      <c r="A33" s="41" t="s">
        <v>58</v>
      </c>
      <c r="B33" s="112">
        <v>28.89</v>
      </c>
      <c r="C33" s="112">
        <v>30.56</v>
      </c>
      <c r="D33" s="112">
        <v>54</v>
      </c>
      <c r="E33" s="112">
        <v>38.94</v>
      </c>
      <c r="F33" s="112">
        <v>66.63</v>
      </c>
      <c r="G33" s="112">
        <v>27.18</v>
      </c>
      <c r="H33" s="112">
        <v>33</v>
      </c>
      <c r="I33" s="112">
        <v>31.29</v>
      </c>
    </row>
    <row r="34" spans="1:9" ht="14.25" x14ac:dyDescent="0.2">
      <c r="A34" s="40" t="s">
        <v>59</v>
      </c>
      <c r="B34" s="117">
        <v>27.49</v>
      </c>
      <c r="C34" s="117">
        <v>31.45</v>
      </c>
      <c r="D34" s="117">
        <v>52.8</v>
      </c>
      <c r="E34" s="117">
        <v>37.450000000000003</v>
      </c>
      <c r="F34" s="117">
        <v>64.8</v>
      </c>
      <c r="G34" s="117">
        <v>26.37</v>
      </c>
      <c r="H34" s="117">
        <v>34.33</v>
      </c>
      <c r="I34" s="117">
        <v>33.56</v>
      </c>
    </row>
    <row r="35" spans="1:9" ht="16.5" x14ac:dyDescent="0.2">
      <c r="A35" s="87" t="s">
        <v>164</v>
      </c>
      <c r="B35" s="124"/>
      <c r="C35" s="124"/>
      <c r="D35" s="124"/>
      <c r="E35" s="124"/>
      <c r="F35" s="124"/>
      <c r="G35" s="124"/>
      <c r="H35" s="124"/>
      <c r="I35" s="124"/>
    </row>
    <row r="36" spans="1:9" ht="16.5" x14ac:dyDescent="0.2">
      <c r="A36" s="41" t="s">
        <v>165</v>
      </c>
      <c r="B36" s="124"/>
      <c r="C36" s="124"/>
      <c r="D36" s="124"/>
      <c r="E36" s="124"/>
      <c r="F36" s="124"/>
      <c r="G36" s="124"/>
      <c r="H36" s="124"/>
      <c r="I36" s="124"/>
    </row>
    <row r="37" spans="1:9" ht="14.25" x14ac:dyDescent="0.2">
      <c r="A37" s="41" t="s">
        <v>155</v>
      </c>
      <c r="B37" s="41"/>
      <c r="C37" s="41"/>
      <c r="D37" s="41"/>
      <c r="E37" s="41"/>
      <c r="F37" s="124"/>
      <c r="G37" s="41"/>
      <c r="H37" s="41"/>
      <c r="I37" s="41"/>
    </row>
    <row r="38" spans="1:9" ht="14.25" x14ac:dyDescent="0.2">
      <c r="A38" s="41" t="s">
        <v>26</v>
      </c>
      <c r="B38" s="79">
        <f ca="1">NOW()</f>
        <v>43447.492243749999</v>
      </c>
      <c r="C38" s="41"/>
      <c r="D38" s="41"/>
      <c r="E38" s="41"/>
      <c r="F38" s="41"/>
      <c r="G38" s="41"/>
      <c r="H38" s="41"/>
      <c r="I38" s="41"/>
    </row>
    <row r="39" spans="1:9" ht="15.75" x14ac:dyDescent="0.25">
      <c r="C39" s="14"/>
      <c r="G39" s="14"/>
      <c r="H39" s="14"/>
      <c r="I39" s="14"/>
    </row>
    <row r="40" spans="1:9" ht="15.75" x14ac:dyDescent="0.25">
      <c r="C40" s="14"/>
      <c r="G40" s="14"/>
      <c r="H40" s="14"/>
      <c r="I40" s="14"/>
    </row>
    <row r="41" spans="1:9" ht="15.75" x14ac:dyDescent="0.25">
      <c r="C41" s="14"/>
      <c r="G41" s="14"/>
      <c r="H41" s="14"/>
      <c r="I41" s="14"/>
    </row>
    <row r="42" spans="1:9" ht="15.75" x14ac:dyDescent="0.25">
      <c r="C42" s="14"/>
      <c r="G42" s="14"/>
      <c r="H42" s="14"/>
      <c r="I42" s="14"/>
    </row>
    <row r="43" spans="1:9" ht="15.75" x14ac:dyDescent="0.25">
      <c r="C43" s="14"/>
      <c r="G43" s="14"/>
      <c r="H43" s="14"/>
      <c r="I43" s="14"/>
    </row>
    <row r="44" spans="1:9" ht="15.75" x14ac:dyDescent="0.25">
      <c r="C44" s="14"/>
      <c r="G44" s="14"/>
      <c r="H44" s="14"/>
      <c r="I44" s="14"/>
    </row>
    <row r="45" spans="1:9" ht="15.75" x14ac:dyDescent="0.25">
      <c r="C45" s="14"/>
      <c r="G45" s="14"/>
      <c r="H45" s="14"/>
      <c r="I45" s="14"/>
    </row>
    <row r="46" spans="1:9" ht="15.75" x14ac:dyDescent="0.25">
      <c r="C46" s="14"/>
      <c r="G46" s="14"/>
      <c r="H46" s="14"/>
      <c r="I46" s="14"/>
    </row>
    <row r="47" spans="1:9" ht="15.75" x14ac:dyDescent="0.25">
      <c r="C47" s="14"/>
      <c r="G47" s="14"/>
      <c r="H47" s="14"/>
      <c r="I47" s="14"/>
    </row>
    <row r="48" spans="1:9" ht="15.75" x14ac:dyDescent="0.25">
      <c r="C48" s="14"/>
      <c r="G48" s="14"/>
      <c r="H48" s="14"/>
      <c r="I48" s="14"/>
    </row>
    <row r="49" spans="3:9" ht="15.75" x14ac:dyDescent="0.25">
      <c r="C49" s="14"/>
      <c r="G49" s="14"/>
      <c r="H49" s="14"/>
      <c r="I49" s="14"/>
    </row>
    <row r="50" spans="3:9" ht="15.75" x14ac:dyDescent="0.25">
      <c r="C50" s="14"/>
      <c r="G50" s="14"/>
      <c r="H50" s="14"/>
      <c r="I50" s="14"/>
    </row>
    <row r="51" spans="3:9" ht="15.75" x14ac:dyDescent="0.25">
      <c r="C51" s="14"/>
      <c r="G51" s="14"/>
      <c r="H51" s="14"/>
      <c r="I51" s="14"/>
    </row>
    <row r="52" spans="3:9" ht="15.75" x14ac:dyDescent="0.25">
      <c r="C52" s="14"/>
      <c r="G52" s="14"/>
      <c r="H52" s="14"/>
      <c r="I52" s="14"/>
    </row>
    <row r="53" spans="3:9" ht="15.75" x14ac:dyDescent="0.25">
      <c r="C53" s="14"/>
      <c r="G53" s="14"/>
      <c r="H53" s="14"/>
      <c r="I53" s="14"/>
    </row>
    <row r="54" spans="3:9" ht="15.75" x14ac:dyDescent="0.25">
      <c r="C54" s="14"/>
      <c r="G54" s="14"/>
      <c r="H54" s="14"/>
      <c r="I54" s="14"/>
    </row>
    <row r="55" spans="3:9" ht="15.75" x14ac:dyDescent="0.25">
      <c r="C55" s="14"/>
      <c r="H55" s="14"/>
      <c r="I55" s="14"/>
    </row>
    <row r="56" spans="3:9" ht="15.75" x14ac:dyDescent="0.25">
      <c r="C56" s="14"/>
      <c r="H56" s="14"/>
      <c r="I56" s="14"/>
    </row>
    <row r="57" spans="3:9" ht="15.75" x14ac:dyDescent="0.25">
      <c r="C57" s="14"/>
      <c r="F57" s="16"/>
      <c r="H57" s="14"/>
      <c r="I57" s="14"/>
    </row>
    <row r="58" spans="3:9" ht="15.75" x14ac:dyDescent="0.25">
      <c r="F58" s="16"/>
      <c r="H58" s="14"/>
      <c r="I58" s="14"/>
    </row>
  </sheetData>
  <phoneticPr fontId="3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50"/>
  <sheetViews>
    <sheetView showGridLines="0" zoomScaleNormal="100" workbookViewId="0"/>
  </sheetViews>
  <sheetFormatPr defaultRowHeight="12.75" x14ac:dyDescent="0.2"/>
  <cols>
    <col min="1" max="1" width="11.7109375" customWidth="1"/>
    <col min="2" max="7" width="13.7109375" customWidth="1"/>
  </cols>
  <sheetData>
    <row r="1" spans="1:8" ht="14.25" x14ac:dyDescent="0.2">
      <c r="A1" s="40" t="s">
        <v>43</v>
      </c>
      <c r="B1" s="40"/>
      <c r="C1" s="40"/>
      <c r="D1" s="40"/>
      <c r="E1" s="40"/>
      <c r="F1" s="40"/>
      <c r="G1" s="40"/>
    </row>
    <row r="2" spans="1:8" ht="15.6" customHeight="1" x14ac:dyDescent="0.2">
      <c r="A2" s="44" t="s">
        <v>15</v>
      </c>
      <c r="B2" s="88" t="s">
        <v>44</v>
      </c>
      <c r="C2" s="125" t="s">
        <v>17</v>
      </c>
      <c r="D2" s="125" t="s">
        <v>89</v>
      </c>
      <c r="E2" s="125" t="s">
        <v>45</v>
      </c>
      <c r="F2" s="88" t="s">
        <v>46</v>
      </c>
      <c r="G2" s="43" t="s">
        <v>47</v>
      </c>
    </row>
    <row r="3" spans="1:8" ht="15.6" customHeight="1" x14ac:dyDescent="0.2">
      <c r="A3" s="40" t="s">
        <v>16</v>
      </c>
      <c r="B3" s="48" t="s">
        <v>156</v>
      </c>
      <c r="C3" s="48" t="s">
        <v>157</v>
      </c>
      <c r="D3" s="48" t="s">
        <v>158</v>
      </c>
      <c r="E3" s="48" t="s">
        <v>159</v>
      </c>
      <c r="F3" s="48" t="s">
        <v>160</v>
      </c>
      <c r="G3" s="48" t="s">
        <v>161</v>
      </c>
    </row>
    <row r="4" spans="1:8" ht="14.25" x14ac:dyDescent="0.2">
      <c r="A4" s="41"/>
      <c r="B4" s="60" t="s">
        <v>109</v>
      </c>
      <c r="C4" s="122"/>
      <c r="D4" s="122"/>
      <c r="E4" s="122"/>
      <c r="F4" s="122"/>
      <c r="G4" s="122"/>
    </row>
    <row r="5" spans="1:8" ht="14.25" x14ac:dyDescent="0.2">
      <c r="A5" s="41"/>
      <c r="B5" s="41"/>
      <c r="C5" s="41"/>
      <c r="D5" s="41"/>
      <c r="E5" s="41"/>
      <c r="F5" s="41"/>
      <c r="G5" s="41"/>
    </row>
    <row r="6" spans="1:8" ht="14.25" x14ac:dyDescent="0.2">
      <c r="A6" s="41" t="s">
        <v>53</v>
      </c>
      <c r="B6" s="112">
        <v>331.17</v>
      </c>
      <c r="C6" s="112">
        <v>255.23</v>
      </c>
      <c r="D6" s="112">
        <v>152.46</v>
      </c>
      <c r="E6" s="126" t="s">
        <v>10</v>
      </c>
      <c r="F6" s="112">
        <v>248.82</v>
      </c>
      <c r="G6" s="112">
        <v>220.89</v>
      </c>
      <c r="H6" s="16"/>
    </row>
    <row r="7" spans="1:8" ht="14.25" x14ac:dyDescent="0.2">
      <c r="A7" s="41" t="s">
        <v>55</v>
      </c>
      <c r="B7" s="112">
        <v>311.27</v>
      </c>
      <c r="C7" s="112">
        <v>220.9</v>
      </c>
      <c r="D7" s="112">
        <v>151.04</v>
      </c>
      <c r="E7" s="126" t="s">
        <v>10</v>
      </c>
      <c r="F7" s="112">
        <v>224.92</v>
      </c>
      <c r="G7" s="112">
        <v>209.23</v>
      </c>
      <c r="H7" s="16"/>
    </row>
    <row r="8" spans="1:8" ht="14.25" x14ac:dyDescent="0.2">
      <c r="A8" s="41" t="s">
        <v>56</v>
      </c>
      <c r="B8" s="112">
        <v>345.52</v>
      </c>
      <c r="C8" s="112">
        <v>273.83999999999997</v>
      </c>
      <c r="D8" s="112">
        <v>219.72</v>
      </c>
      <c r="E8" s="126" t="s">
        <v>10</v>
      </c>
      <c r="F8" s="112">
        <v>263.63</v>
      </c>
      <c r="G8" s="112">
        <v>240.65</v>
      </c>
      <c r="H8" s="16"/>
    </row>
    <row r="9" spans="1:8" ht="14.25" x14ac:dyDescent="0.2">
      <c r="A9" s="41" t="s">
        <v>67</v>
      </c>
      <c r="B9" s="112">
        <v>393.53</v>
      </c>
      <c r="C9" s="112">
        <v>275.13</v>
      </c>
      <c r="D9" s="112">
        <v>246.75</v>
      </c>
      <c r="E9" s="126" t="s">
        <v>10</v>
      </c>
      <c r="F9" s="112">
        <v>307.58999999999997</v>
      </c>
      <c r="G9" s="112">
        <v>265.68</v>
      </c>
      <c r="H9" s="16"/>
    </row>
    <row r="10" spans="1:8" ht="14.25" x14ac:dyDescent="0.2">
      <c r="A10" s="41" t="s">
        <v>91</v>
      </c>
      <c r="B10" s="112">
        <v>468.11</v>
      </c>
      <c r="C10" s="112">
        <v>331.52</v>
      </c>
      <c r="D10" s="112">
        <v>241.57</v>
      </c>
      <c r="E10" s="126" t="s">
        <v>10</v>
      </c>
      <c r="F10" s="112">
        <v>354.22</v>
      </c>
      <c r="G10" s="112">
        <v>329.31</v>
      </c>
      <c r="H10" s="16"/>
    </row>
    <row r="11" spans="1:8" ht="14.25" x14ac:dyDescent="0.2">
      <c r="A11" s="41" t="s">
        <v>99</v>
      </c>
      <c r="B11" s="112">
        <v>489.94</v>
      </c>
      <c r="C11" s="112">
        <v>377.71</v>
      </c>
      <c r="D11" s="112">
        <v>238.87</v>
      </c>
      <c r="E11" s="126" t="s">
        <v>10</v>
      </c>
      <c r="F11" s="112">
        <v>359.7</v>
      </c>
      <c r="G11" s="112">
        <v>337.23</v>
      </c>
      <c r="H11" s="16"/>
    </row>
    <row r="12" spans="1:8" ht="14.25" x14ac:dyDescent="0.2">
      <c r="A12" s="41" t="s">
        <v>102</v>
      </c>
      <c r="B12" s="112">
        <v>368.49</v>
      </c>
      <c r="C12" s="112">
        <v>304.27</v>
      </c>
      <c r="D12" s="112">
        <v>209.97</v>
      </c>
      <c r="E12" s="126" t="s">
        <v>10</v>
      </c>
      <c r="F12" s="112">
        <v>301.2</v>
      </c>
      <c r="G12" s="112">
        <v>256.58</v>
      </c>
      <c r="H12" s="16"/>
    </row>
    <row r="13" spans="1:8" ht="14.25" x14ac:dyDescent="0.2">
      <c r="A13" s="41" t="s">
        <v>103</v>
      </c>
      <c r="B13" s="112">
        <v>324.56</v>
      </c>
      <c r="C13" s="112">
        <v>261.19</v>
      </c>
      <c r="D13" s="112">
        <v>153.16999999999999</v>
      </c>
      <c r="E13" s="126" t="s">
        <v>10</v>
      </c>
      <c r="F13" s="112">
        <v>262.2</v>
      </c>
      <c r="G13" s="112">
        <v>260.23</v>
      </c>
    </row>
    <row r="14" spans="1:8" ht="14.25" x14ac:dyDescent="0.2">
      <c r="A14" s="41" t="s">
        <v>119</v>
      </c>
      <c r="B14" s="112">
        <v>316.88</v>
      </c>
      <c r="C14" s="112">
        <v>208.61</v>
      </c>
      <c r="D14" s="112">
        <v>145.1</v>
      </c>
      <c r="E14" s="126" t="s">
        <v>10</v>
      </c>
      <c r="F14" s="112">
        <v>267.94</v>
      </c>
      <c r="G14" s="112">
        <v>282.49</v>
      </c>
    </row>
    <row r="15" spans="1:8" ht="16.5" x14ac:dyDescent="0.2">
      <c r="A15" s="41" t="s">
        <v>145</v>
      </c>
      <c r="B15" s="112">
        <v>345.02</v>
      </c>
      <c r="C15" s="112">
        <v>260.88</v>
      </c>
      <c r="D15" s="112">
        <v>173.53</v>
      </c>
      <c r="E15" s="126" t="s">
        <v>10</v>
      </c>
      <c r="F15" s="112">
        <v>291.14999999999998</v>
      </c>
      <c r="G15" s="112">
        <v>239.15</v>
      </c>
    </row>
    <row r="16" spans="1:8" ht="16.5" x14ac:dyDescent="0.2">
      <c r="A16" s="41" t="s">
        <v>167</v>
      </c>
      <c r="B16" s="112" t="s">
        <v>171</v>
      </c>
      <c r="C16" s="112" t="s">
        <v>193</v>
      </c>
      <c r="D16" s="136" t="s">
        <v>190</v>
      </c>
      <c r="E16" s="126" t="s">
        <v>10</v>
      </c>
      <c r="F16" s="112" t="s">
        <v>191</v>
      </c>
      <c r="G16" s="112" t="s">
        <v>172</v>
      </c>
    </row>
    <row r="17" spans="1:13" ht="14.25" x14ac:dyDescent="0.2">
      <c r="A17" s="127"/>
      <c r="B17" s="112"/>
      <c r="C17" s="112"/>
      <c r="D17" s="112"/>
      <c r="E17" s="126"/>
      <c r="F17" s="112"/>
      <c r="G17" s="112"/>
      <c r="H17" s="13"/>
    </row>
    <row r="18" spans="1:13" ht="14.25" x14ac:dyDescent="0.2">
      <c r="A18" s="41" t="s">
        <v>121</v>
      </c>
      <c r="B18" s="112"/>
      <c r="C18" s="112"/>
      <c r="D18" s="112"/>
      <c r="E18" s="126"/>
      <c r="F18" s="112"/>
      <c r="G18" s="112"/>
      <c r="H18" s="13"/>
    </row>
    <row r="19" spans="1:13" ht="14.25" x14ac:dyDescent="0.2">
      <c r="A19" s="41" t="s">
        <v>58</v>
      </c>
      <c r="B19" s="112">
        <v>315.23</v>
      </c>
      <c r="C19" s="112">
        <v>229</v>
      </c>
      <c r="D19" s="112">
        <v>153</v>
      </c>
      <c r="E19" s="126" t="s">
        <v>10</v>
      </c>
      <c r="F19" s="112">
        <v>257.73</v>
      </c>
      <c r="G19" s="112">
        <v>214</v>
      </c>
      <c r="H19" s="13"/>
      <c r="I19" s="7"/>
      <c r="J19" s="7"/>
      <c r="K19" s="7"/>
      <c r="L19" s="7"/>
      <c r="M19" s="7"/>
    </row>
    <row r="20" spans="1:13" ht="14.25" x14ac:dyDescent="0.2">
      <c r="A20" s="41" t="s">
        <v>59</v>
      </c>
      <c r="B20" s="112">
        <v>313.52</v>
      </c>
      <c r="C20" s="112">
        <v>228.75</v>
      </c>
      <c r="D20" s="112">
        <v>165</v>
      </c>
      <c r="E20" s="126" t="s">
        <v>10</v>
      </c>
      <c r="F20" s="112">
        <v>255.74</v>
      </c>
      <c r="G20" s="112">
        <v>205</v>
      </c>
      <c r="H20" s="13"/>
      <c r="I20" s="7"/>
      <c r="J20" s="7"/>
      <c r="K20" s="7"/>
      <c r="L20" s="7"/>
      <c r="M20" s="7"/>
    </row>
    <row r="21" spans="1:13" ht="14.25" x14ac:dyDescent="0.2">
      <c r="A21" s="41" t="s">
        <v>60</v>
      </c>
      <c r="B21" s="112">
        <v>319.22000000000003</v>
      </c>
      <c r="C21" s="112">
        <v>232.5</v>
      </c>
      <c r="D21" s="112">
        <v>185</v>
      </c>
      <c r="E21" s="126" t="s">
        <v>10</v>
      </c>
      <c r="F21" s="112">
        <v>266.52999999999997</v>
      </c>
      <c r="G21" s="112">
        <v>209.17</v>
      </c>
      <c r="H21" s="13"/>
    </row>
    <row r="22" spans="1:13" ht="14.25" x14ac:dyDescent="0.2">
      <c r="A22" s="41" t="s">
        <v>61</v>
      </c>
      <c r="B22" s="112">
        <v>322.60000000000002</v>
      </c>
      <c r="C22" s="112">
        <v>259</v>
      </c>
      <c r="D22" s="112">
        <v>178</v>
      </c>
      <c r="E22" s="126" t="s">
        <v>10</v>
      </c>
      <c r="F22" s="112">
        <v>270.2</v>
      </c>
      <c r="G22" s="112">
        <v>215.5</v>
      </c>
      <c r="H22" s="13"/>
    </row>
    <row r="23" spans="1:13" ht="14.25" x14ac:dyDescent="0.2">
      <c r="A23" s="41" t="s">
        <v>62</v>
      </c>
      <c r="B23" s="112">
        <v>362.85</v>
      </c>
      <c r="C23" s="112">
        <v>303.13</v>
      </c>
      <c r="D23" s="112">
        <v>185.63</v>
      </c>
      <c r="E23" s="126" t="s">
        <v>10</v>
      </c>
      <c r="F23" s="112">
        <v>315.95</v>
      </c>
      <c r="G23" s="112">
        <v>233.13</v>
      </c>
      <c r="H23" s="13"/>
    </row>
    <row r="24" spans="1:13" ht="14.25" x14ac:dyDescent="0.2">
      <c r="A24" s="41" t="s">
        <v>63</v>
      </c>
      <c r="B24" s="112">
        <v>379.85</v>
      </c>
      <c r="C24" s="112">
        <v>323.13</v>
      </c>
      <c r="D24" s="112">
        <v>187.5</v>
      </c>
      <c r="E24" s="126" t="s">
        <v>10</v>
      </c>
      <c r="F24" s="112">
        <v>334.58</v>
      </c>
      <c r="G24" s="112">
        <v>237.5</v>
      </c>
      <c r="H24" s="13"/>
    </row>
    <row r="25" spans="1:13" ht="14.25" x14ac:dyDescent="0.2">
      <c r="A25" s="41" t="s">
        <v>64</v>
      </c>
      <c r="B25" s="112">
        <v>385.84</v>
      </c>
      <c r="C25" s="112">
        <v>263.13</v>
      </c>
      <c r="D25" s="112">
        <v>191.88</v>
      </c>
      <c r="E25" s="126" t="s">
        <v>10</v>
      </c>
      <c r="F25" s="112">
        <v>332.16</v>
      </c>
      <c r="G25" s="112">
        <v>238.13</v>
      </c>
      <c r="H25" s="13"/>
    </row>
    <row r="26" spans="1:13" ht="14.25" x14ac:dyDescent="0.2">
      <c r="A26" s="41" t="s">
        <v>65</v>
      </c>
      <c r="B26" s="112">
        <v>393.55</v>
      </c>
      <c r="C26" s="112">
        <v>262.5</v>
      </c>
      <c r="D26" s="112">
        <v>201.5</v>
      </c>
      <c r="E26" s="126" t="s">
        <v>10</v>
      </c>
      <c r="F26" s="112">
        <v>336.93</v>
      </c>
      <c r="G26" s="112">
        <v>267.5</v>
      </c>
      <c r="H26" s="13"/>
    </row>
    <row r="27" spans="1:13" ht="14.25" x14ac:dyDescent="0.2">
      <c r="A27" s="41" t="s">
        <v>66</v>
      </c>
      <c r="B27" s="112">
        <v>355.71</v>
      </c>
      <c r="C27" s="112">
        <v>257.5</v>
      </c>
      <c r="D27" s="112">
        <v>175.63</v>
      </c>
      <c r="E27" s="126" t="s">
        <v>10</v>
      </c>
      <c r="F27" s="112">
        <v>302.75</v>
      </c>
      <c r="G27" s="112">
        <v>271.25</v>
      </c>
      <c r="H27" s="13"/>
    </row>
    <row r="28" spans="1:13" ht="14.25" x14ac:dyDescent="0.2">
      <c r="A28" s="41" t="s">
        <v>68</v>
      </c>
      <c r="B28" s="112">
        <v>341.08</v>
      </c>
      <c r="C28" s="112">
        <v>253.13</v>
      </c>
      <c r="D28" s="112">
        <v>155.5</v>
      </c>
      <c r="E28" s="126" t="s">
        <v>10</v>
      </c>
      <c r="F28" s="112">
        <v>279.83999999999997</v>
      </c>
      <c r="G28" s="112">
        <v>278</v>
      </c>
      <c r="H28" s="13"/>
    </row>
    <row r="29" spans="1:13" ht="14.25" x14ac:dyDescent="0.2">
      <c r="A29" s="41" t="s">
        <v>69</v>
      </c>
      <c r="B29" s="112">
        <v>332.5</v>
      </c>
      <c r="C29" s="112">
        <v>260</v>
      </c>
      <c r="D29" s="112">
        <v>153.13</v>
      </c>
      <c r="E29" s="126" t="s">
        <v>10</v>
      </c>
      <c r="F29" s="112">
        <v>274.55</v>
      </c>
      <c r="G29" s="112">
        <v>265.63</v>
      </c>
      <c r="H29" s="13"/>
    </row>
    <row r="30" spans="1:13" ht="14.25" x14ac:dyDescent="0.2">
      <c r="A30" s="41" t="s">
        <v>71</v>
      </c>
      <c r="B30" s="112">
        <v>318.32</v>
      </c>
      <c r="C30" s="112">
        <v>258.75</v>
      </c>
      <c r="D30" s="112">
        <v>150.63</v>
      </c>
      <c r="E30" s="126" t="s">
        <v>10</v>
      </c>
      <c r="F30" s="112">
        <v>266.86</v>
      </c>
      <c r="G30" s="112">
        <v>235</v>
      </c>
      <c r="H30" s="13"/>
    </row>
    <row r="31" spans="1:13" ht="14.25" x14ac:dyDescent="0.2">
      <c r="A31" s="127"/>
      <c r="B31" s="112"/>
      <c r="C31" s="112"/>
      <c r="D31" s="112"/>
      <c r="E31" s="126"/>
      <c r="F31" s="112"/>
      <c r="G31" s="112"/>
      <c r="I31" s="6"/>
      <c r="J31" s="6"/>
      <c r="K31" s="6"/>
      <c r="L31" s="6"/>
      <c r="M31" s="6"/>
    </row>
    <row r="32" spans="1:13" ht="14.25" x14ac:dyDescent="0.2">
      <c r="A32" s="41" t="s">
        <v>173</v>
      </c>
      <c r="B32" s="112"/>
      <c r="C32" s="112"/>
      <c r="D32" s="112"/>
      <c r="E32" s="126"/>
      <c r="F32" s="112"/>
      <c r="G32" s="112"/>
      <c r="I32" s="6"/>
      <c r="J32" s="6"/>
      <c r="K32" s="6"/>
      <c r="L32" s="6"/>
      <c r="M32" s="6"/>
    </row>
    <row r="33" spans="1:13" ht="14.25" x14ac:dyDescent="0.2">
      <c r="A33" s="41" t="s">
        <v>58</v>
      </c>
      <c r="B33" s="112">
        <v>319.14999999999998</v>
      </c>
      <c r="C33" s="112">
        <v>249</v>
      </c>
      <c r="D33" s="112">
        <v>164</v>
      </c>
      <c r="E33" s="126" t="s">
        <v>10</v>
      </c>
      <c r="F33" s="112">
        <v>279.39999999999998</v>
      </c>
      <c r="G33" s="112">
        <v>196.5</v>
      </c>
      <c r="H33" s="13"/>
    </row>
    <row r="34" spans="1:13" ht="14.25" x14ac:dyDescent="0.2">
      <c r="A34" s="128" t="s">
        <v>59</v>
      </c>
      <c r="B34" s="117">
        <v>310.62</v>
      </c>
      <c r="C34" s="117">
        <v>240</v>
      </c>
      <c r="D34" s="117">
        <v>171.25</v>
      </c>
      <c r="E34" s="129" t="s">
        <v>10</v>
      </c>
      <c r="F34" s="117">
        <v>279.05</v>
      </c>
      <c r="G34" s="117">
        <v>209.38</v>
      </c>
      <c r="I34" s="6"/>
      <c r="J34" s="6"/>
      <c r="K34" s="6"/>
      <c r="L34" s="6"/>
      <c r="M34" s="6"/>
    </row>
    <row r="35" spans="1:13" ht="16.5" x14ac:dyDescent="0.2">
      <c r="A35" s="87" t="s">
        <v>166</v>
      </c>
      <c r="B35" s="130"/>
      <c r="C35" s="130"/>
      <c r="D35" s="130"/>
      <c r="E35" s="130"/>
      <c r="F35" s="130"/>
      <c r="G35" s="130"/>
      <c r="I35" s="11"/>
      <c r="J35" s="6"/>
      <c r="K35" s="6"/>
      <c r="L35" s="6"/>
      <c r="M35" s="6"/>
    </row>
    <row r="36" spans="1:13" ht="16.5" x14ac:dyDescent="0.2">
      <c r="A36" s="87" t="s">
        <v>162</v>
      </c>
      <c r="B36" s="131"/>
      <c r="C36" s="131"/>
      <c r="D36" s="131"/>
      <c r="E36" s="131"/>
      <c r="F36" s="131"/>
      <c r="G36" s="131"/>
      <c r="I36" s="11"/>
      <c r="J36" s="6"/>
      <c r="K36" s="6"/>
      <c r="L36" s="6"/>
      <c r="M36" s="6"/>
    </row>
    <row r="37" spans="1:13" ht="14.25" x14ac:dyDescent="0.2">
      <c r="A37" s="41" t="s">
        <v>90</v>
      </c>
      <c r="B37" s="131"/>
      <c r="C37" s="131"/>
      <c r="D37" s="131"/>
      <c r="E37" s="131"/>
      <c r="F37" s="131"/>
      <c r="G37" s="131"/>
      <c r="H37" s="1"/>
      <c r="I37" s="11"/>
      <c r="J37" s="6"/>
      <c r="K37" s="6"/>
      <c r="L37" s="6"/>
      <c r="M37" s="6"/>
    </row>
    <row r="38" spans="1:13" ht="14.25" x14ac:dyDescent="0.2">
      <c r="A38" s="41" t="s">
        <v>163</v>
      </c>
      <c r="B38" s="41"/>
      <c r="C38" s="41"/>
      <c r="D38" s="41"/>
      <c r="E38" s="41"/>
      <c r="F38" s="41"/>
      <c r="G38" s="41"/>
      <c r="I38" s="11"/>
      <c r="J38" s="6"/>
      <c r="K38" s="6"/>
      <c r="L38" s="6"/>
      <c r="M38" s="6"/>
    </row>
    <row r="39" spans="1:13" ht="14.25" x14ac:dyDescent="0.2">
      <c r="A39" s="41" t="s">
        <v>26</v>
      </c>
      <c r="B39" s="79">
        <f ca="1">NOW()</f>
        <v>43447.492243749999</v>
      </c>
      <c r="C39" s="41"/>
      <c r="D39" s="41"/>
      <c r="E39" s="41"/>
      <c r="F39" s="41"/>
      <c r="G39" s="41"/>
      <c r="I39" s="12"/>
      <c r="J39" s="8"/>
      <c r="K39" s="8"/>
      <c r="L39" s="8"/>
      <c r="M39" s="8"/>
    </row>
    <row r="40" spans="1:13" ht="15.75" x14ac:dyDescent="0.25">
      <c r="F40" s="14"/>
      <c r="I40" s="12"/>
      <c r="J40" s="8"/>
      <c r="K40" s="8"/>
      <c r="L40" s="8"/>
      <c r="M40" s="8"/>
    </row>
    <row r="41" spans="1:13" x14ac:dyDescent="0.2">
      <c r="I41" s="11"/>
      <c r="J41" s="11"/>
      <c r="K41" s="6"/>
      <c r="L41" s="6"/>
      <c r="M41" s="6"/>
    </row>
    <row r="42" spans="1:13" x14ac:dyDescent="0.2">
      <c r="I42" s="11"/>
      <c r="J42" s="11"/>
      <c r="K42" s="6"/>
      <c r="L42" s="6"/>
      <c r="M42" s="6"/>
    </row>
    <row r="43" spans="1:13" x14ac:dyDescent="0.2">
      <c r="I43" s="11"/>
      <c r="J43" s="11"/>
      <c r="K43" s="6"/>
      <c r="L43" s="6"/>
      <c r="M43" s="6"/>
    </row>
    <row r="44" spans="1:13" x14ac:dyDescent="0.2">
      <c r="I44" s="11"/>
      <c r="J44" s="11"/>
      <c r="K44" s="6"/>
      <c r="L44" s="6"/>
      <c r="M44" s="6"/>
    </row>
    <row r="45" spans="1:13" x14ac:dyDescent="0.2">
      <c r="I45" s="11"/>
      <c r="J45" s="11"/>
      <c r="K45" s="6"/>
      <c r="L45" s="6"/>
      <c r="M45" s="6"/>
    </row>
    <row r="46" spans="1:13" x14ac:dyDescent="0.2">
      <c r="I46" s="11"/>
      <c r="J46" s="11"/>
      <c r="K46" s="6"/>
      <c r="L46" s="6"/>
      <c r="M46" s="6"/>
    </row>
    <row r="48" spans="1:13" x14ac:dyDescent="0.2">
      <c r="I48" s="9"/>
      <c r="J48" s="9"/>
      <c r="K48" s="9"/>
      <c r="L48" s="9"/>
      <c r="M48" s="9"/>
    </row>
    <row r="49" spans="9:13" x14ac:dyDescent="0.2">
      <c r="I49" s="9"/>
      <c r="J49" s="9"/>
      <c r="K49" s="9"/>
      <c r="L49" s="9"/>
      <c r="M49" s="9"/>
    </row>
    <row r="50" spans="9:13" x14ac:dyDescent="0.2">
      <c r="J50" s="9"/>
    </row>
  </sheetData>
  <phoneticPr fontId="3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49"/>
  <sheetViews>
    <sheetView zoomScale="110" zoomScaleNormal="110" workbookViewId="0">
      <selection activeCell="G28" sqref="G28"/>
    </sheetView>
  </sheetViews>
  <sheetFormatPr defaultRowHeight="12.75" x14ac:dyDescent="0.2"/>
  <cols>
    <col min="1" max="1" width="10.5703125" customWidth="1"/>
    <col min="2" max="3" width="9.7109375" customWidth="1"/>
    <col min="4" max="5" width="8.7109375" customWidth="1"/>
    <col min="6" max="11" width="10.5703125" customWidth="1"/>
  </cols>
  <sheetData>
    <row r="1" spans="1:9" x14ac:dyDescent="0.2">
      <c r="A1" s="151" t="s">
        <v>183</v>
      </c>
      <c r="B1" s="137"/>
      <c r="C1" s="137"/>
      <c r="D1" s="137"/>
      <c r="F1" s="10"/>
      <c r="G1" s="21"/>
    </row>
    <row r="2" spans="1:9" ht="14.25" x14ac:dyDescent="0.2">
      <c r="A2" t="s">
        <v>184</v>
      </c>
      <c r="B2" s="41" t="s">
        <v>180</v>
      </c>
      <c r="C2" s="41" t="s">
        <v>181</v>
      </c>
      <c r="D2" s="149"/>
    </row>
    <row r="3" spans="1:9" x14ac:dyDescent="0.2">
      <c r="B3" s="150" t="s">
        <v>182</v>
      </c>
      <c r="D3" s="10"/>
    </row>
    <row r="4" spans="1:9" x14ac:dyDescent="0.2">
      <c r="A4" s="155">
        <v>42644</v>
      </c>
      <c r="B4" s="20">
        <v>11.313574300000001</v>
      </c>
      <c r="C4" s="20">
        <v>0.99819153500000002</v>
      </c>
      <c r="D4" s="154"/>
      <c r="F4" s="22"/>
      <c r="G4" s="24"/>
    </row>
    <row r="5" spans="1:9" x14ac:dyDescent="0.2">
      <c r="A5" s="155">
        <v>42675</v>
      </c>
      <c r="B5" s="20">
        <v>10.298568</v>
      </c>
      <c r="C5" s="20">
        <v>0.31609430500000002</v>
      </c>
      <c r="D5" s="154"/>
      <c r="F5" s="22"/>
      <c r="G5" s="24"/>
    </row>
    <row r="6" spans="1:9" x14ac:dyDescent="0.2">
      <c r="A6" s="155">
        <v>42705</v>
      </c>
      <c r="B6" s="20">
        <v>7.9201182000000001</v>
      </c>
      <c r="C6" s="20">
        <v>0.65309839299999994</v>
      </c>
      <c r="D6" s="154"/>
      <c r="F6" s="22"/>
      <c r="G6" s="24"/>
    </row>
    <row r="7" spans="1:9" x14ac:dyDescent="0.2">
      <c r="A7" s="155">
        <v>42736</v>
      </c>
      <c r="B7" s="20">
        <v>7.4229987999999993</v>
      </c>
      <c r="C7" s="20">
        <v>0.91182694900000005</v>
      </c>
      <c r="D7" s="154"/>
      <c r="F7" s="22"/>
      <c r="G7" s="24"/>
    </row>
    <row r="8" spans="1:9" x14ac:dyDescent="0.2">
      <c r="A8" s="155">
        <v>42767</v>
      </c>
      <c r="B8" s="20">
        <v>4.4160457000000006</v>
      </c>
      <c r="C8" s="20">
        <v>3.5094472720000001</v>
      </c>
      <c r="D8" s="154"/>
      <c r="F8" s="22"/>
      <c r="G8" s="24"/>
    </row>
    <row r="9" spans="1:9" x14ac:dyDescent="0.2">
      <c r="A9" s="155">
        <v>42795</v>
      </c>
      <c r="B9" s="20">
        <v>3.1206011000000005</v>
      </c>
      <c r="C9" s="20">
        <v>8.9791274420000011</v>
      </c>
      <c r="D9" s="154"/>
      <c r="E9" s="24"/>
      <c r="F9" s="22"/>
      <c r="G9" s="24"/>
    </row>
    <row r="10" spans="1:9" x14ac:dyDescent="0.2">
      <c r="A10" s="155">
        <v>42826</v>
      </c>
      <c r="B10" s="20">
        <v>2.4325142</v>
      </c>
      <c r="C10" s="20">
        <v>10.432129072</v>
      </c>
      <c r="D10" s="154"/>
      <c r="E10" s="24"/>
      <c r="F10" s="22"/>
      <c r="G10" s="24"/>
    </row>
    <row r="11" spans="1:9" x14ac:dyDescent="0.2">
      <c r="A11" s="155">
        <v>42856</v>
      </c>
      <c r="B11" s="20">
        <v>1.4499701</v>
      </c>
      <c r="C11" s="20">
        <v>10.959858431000001</v>
      </c>
      <c r="D11" s="154"/>
      <c r="E11" s="24"/>
      <c r="F11" s="22"/>
    </row>
    <row r="12" spans="1:9" x14ac:dyDescent="0.2">
      <c r="A12" s="155">
        <v>42887</v>
      </c>
      <c r="B12" s="20">
        <v>1.7954512999999999</v>
      </c>
      <c r="C12" s="24">
        <v>9.1970208000000007</v>
      </c>
      <c r="D12" s="154"/>
      <c r="E12" s="24"/>
      <c r="F12" s="22"/>
    </row>
    <row r="13" spans="1:9" x14ac:dyDescent="0.2">
      <c r="A13" s="155">
        <v>42917</v>
      </c>
      <c r="B13" s="24">
        <v>2.2629627000000001</v>
      </c>
      <c r="C13" s="24">
        <v>6.9552204370000004</v>
      </c>
      <c r="D13" s="154"/>
      <c r="E13" s="24"/>
      <c r="F13" s="22"/>
    </row>
    <row r="14" spans="1:9" x14ac:dyDescent="0.2">
      <c r="A14" s="155">
        <v>42948</v>
      </c>
      <c r="B14" s="24">
        <v>3.0762605999999999</v>
      </c>
      <c r="C14" s="24">
        <v>5.9524113060000001</v>
      </c>
      <c r="D14" s="154"/>
      <c r="E14" s="24"/>
      <c r="F14" s="22"/>
    </row>
    <row r="15" spans="1:9" x14ac:dyDescent="0.2">
      <c r="A15" s="155">
        <v>42979</v>
      </c>
      <c r="B15" s="24">
        <v>4.4654433999999998</v>
      </c>
      <c r="C15" s="24">
        <v>4.2724629279999995</v>
      </c>
      <c r="D15" s="154"/>
      <c r="E15" s="24"/>
    </row>
    <row r="16" spans="1:9" x14ac:dyDescent="0.2">
      <c r="A16" s="155">
        <v>43009</v>
      </c>
      <c r="B16" s="24">
        <v>9.6454791000000011</v>
      </c>
      <c r="C16" s="24">
        <v>2.4869381260000001</v>
      </c>
      <c r="D16" s="154"/>
      <c r="G16" s="20"/>
      <c r="H16" s="20"/>
      <c r="I16" s="20"/>
    </row>
    <row r="17" spans="1:8" x14ac:dyDescent="0.2">
      <c r="A17" s="155">
        <v>43040</v>
      </c>
      <c r="B17" s="24">
        <v>9.1891700000000007</v>
      </c>
      <c r="C17" s="24">
        <v>2.1427293779999999</v>
      </c>
      <c r="D17" s="154"/>
      <c r="G17" s="13"/>
      <c r="H17" s="13"/>
    </row>
    <row r="18" spans="1:8" x14ac:dyDescent="0.2">
      <c r="A18" s="155">
        <v>43070</v>
      </c>
      <c r="B18" s="24">
        <v>6.2222410999999989</v>
      </c>
      <c r="C18" s="24">
        <v>2.3556365709999998</v>
      </c>
      <c r="D18" s="154"/>
      <c r="E18" s="22"/>
      <c r="F18" s="22"/>
      <c r="G18" s="13"/>
      <c r="H18" s="13"/>
    </row>
    <row r="19" spans="1:8" x14ac:dyDescent="0.2">
      <c r="A19" s="155">
        <v>43101</v>
      </c>
      <c r="B19" s="24">
        <v>5.7628567999999998</v>
      </c>
      <c r="C19" s="24">
        <v>1.563589001</v>
      </c>
      <c r="D19" s="154"/>
      <c r="E19" s="9"/>
      <c r="F19" s="22"/>
      <c r="G19" s="13"/>
      <c r="H19" s="13"/>
    </row>
    <row r="20" spans="1:8" x14ac:dyDescent="0.2">
      <c r="A20" s="155">
        <v>43132</v>
      </c>
      <c r="B20" s="24">
        <v>4.2128249999999996</v>
      </c>
      <c r="C20" s="24">
        <v>2.8642527229999999</v>
      </c>
      <c r="D20" s="154"/>
      <c r="E20" s="9"/>
      <c r="F20" s="22"/>
      <c r="G20" s="13"/>
      <c r="H20" s="13"/>
    </row>
    <row r="21" spans="1:8" x14ac:dyDescent="0.2">
      <c r="A21" s="155">
        <v>43160</v>
      </c>
      <c r="B21" s="24">
        <v>3.2385679000000001</v>
      </c>
      <c r="C21" s="24">
        <v>8.8137597729999992</v>
      </c>
      <c r="D21" s="154"/>
      <c r="E21" s="9"/>
      <c r="F21" s="22"/>
      <c r="G21" s="13"/>
      <c r="H21" s="13"/>
    </row>
    <row r="22" spans="1:8" x14ac:dyDescent="0.2">
      <c r="A22" s="155">
        <v>43191</v>
      </c>
      <c r="B22" s="24">
        <v>2.1673659999999999</v>
      </c>
      <c r="C22" s="24">
        <v>10.258699613999999</v>
      </c>
      <c r="D22" s="154"/>
      <c r="E22" s="9"/>
      <c r="F22" s="22"/>
      <c r="G22" s="13"/>
      <c r="H22" s="13"/>
    </row>
    <row r="23" spans="1:8" x14ac:dyDescent="0.2">
      <c r="A23" s="155">
        <v>43221</v>
      </c>
      <c r="B23" s="9">
        <v>2.9907947999999998</v>
      </c>
      <c r="C23" s="9">
        <v>12.353479438000001</v>
      </c>
      <c r="D23" s="154"/>
      <c r="E23" s="9"/>
      <c r="F23" s="22"/>
      <c r="G23" s="13"/>
      <c r="H23" s="13"/>
    </row>
    <row r="24" spans="1:8" x14ac:dyDescent="0.2">
      <c r="A24" s="155">
        <v>43252</v>
      </c>
      <c r="B24" s="9">
        <v>3.2557830999999999</v>
      </c>
      <c r="C24" s="9">
        <v>10.420130276</v>
      </c>
      <c r="D24" s="154"/>
      <c r="E24" s="9"/>
      <c r="F24" s="22"/>
      <c r="G24" s="13"/>
      <c r="H24" s="13"/>
    </row>
    <row r="25" spans="1:8" x14ac:dyDescent="0.2">
      <c r="A25" s="155">
        <v>43282</v>
      </c>
      <c r="B25" s="9">
        <v>3.4266052</v>
      </c>
      <c r="C25" s="9">
        <v>10.198036004</v>
      </c>
      <c r="D25" s="154"/>
      <c r="E25" s="9"/>
      <c r="F25" s="22"/>
      <c r="G25" s="13"/>
      <c r="H25" s="13"/>
    </row>
    <row r="26" spans="1:8" x14ac:dyDescent="0.2">
      <c r="A26" s="155">
        <v>43313</v>
      </c>
      <c r="B26" s="9">
        <v>3.3675098999999999</v>
      </c>
      <c r="C26" s="9">
        <v>8.1252288230000005</v>
      </c>
      <c r="D26" s="154"/>
      <c r="E26" s="9"/>
      <c r="F26" s="22"/>
      <c r="G26" s="13"/>
      <c r="H26" s="13"/>
    </row>
    <row r="27" spans="1:8" x14ac:dyDescent="0.2">
      <c r="A27" s="155">
        <v>43344</v>
      </c>
      <c r="B27" s="9">
        <v>3.2373094</v>
      </c>
      <c r="C27" s="9">
        <v>4.6108046680000001</v>
      </c>
      <c r="D27" s="154"/>
      <c r="E27" s="9"/>
      <c r="F27" s="22"/>
      <c r="G27" s="13"/>
      <c r="H27" s="13"/>
    </row>
    <row r="28" spans="1:8" x14ac:dyDescent="0.2">
      <c r="A28" s="155">
        <v>43374</v>
      </c>
      <c r="B28" s="9">
        <v>5.5801458820000001</v>
      </c>
      <c r="C28" s="9">
        <v>5.3533869709999999</v>
      </c>
      <c r="D28" s="154"/>
      <c r="E28" s="9"/>
      <c r="F28" s="22"/>
      <c r="G28" s="13"/>
      <c r="H28" s="13"/>
    </row>
    <row r="29" spans="1:8" x14ac:dyDescent="0.2">
      <c r="A29" s="155">
        <v>43405</v>
      </c>
      <c r="B29" s="9">
        <v>4.5283600000000002</v>
      </c>
      <c r="C29" s="9">
        <v>5.0715680329999993</v>
      </c>
      <c r="D29" s="154"/>
      <c r="E29" s="9"/>
      <c r="F29" s="22"/>
    </row>
    <row r="30" spans="1:8" x14ac:dyDescent="0.2">
      <c r="A30" s="19"/>
      <c r="B30" s="9"/>
      <c r="C30" s="9"/>
      <c r="D30" s="9"/>
      <c r="E30" s="9"/>
      <c r="F30" s="22"/>
    </row>
    <row r="31" spans="1:8" x14ac:dyDescent="0.2">
      <c r="A31" s="19"/>
      <c r="B31" s="9"/>
      <c r="C31" s="22"/>
      <c r="D31" s="22"/>
      <c r="E31" s="22"/>
      <c r="F31" s="22"/>
    </row>
    <row r="32" spans="1:8" x14ac:dyDescent="0.2">
      <c r="A32" s="19"/>
      <c r="B32" s="22"/>
      <c r="C32" s="22"/>
      <c r="D32" s="22"/>
      <c r="E32" s="22"/>
      <c r="F32" s="22"/>
    </row>
    <row r="33" spans="1:6" x14ac:dyDescent="0.2">
      <c r="A33" s="19"/>
      <c r="B33" s="22"/>
      <c r="C33" s="22"/>
      <c r="D33" s="22"/>
      <c r="E33" s="22"/>
      <c r="F33" s="22"/>
    </row>
    <row r="34" spans="1:6" x14ac:dyDescent="0.2">
      <c r="A34" s="19"/>
      <c r="B34" s="19"/>
      <c r="C34" s="13"/>
      <c r="D34" s="13"/>
      <c r="E34" s="13"/>
    </row>
    <row r="35" spans="1:6" x14ac:dyDescent="0.2">
      <c r="A35" s="19"/>
      <c r="B35" s="19"/>
      <c r="C35" s="13"/>
      <c r="D35" s="13"/>
      <c r="E35" s="13"/>
    </row>
    <row r="36" spans="1:6" x14ac:dyDescent="0.2">
      <c r="A36" s="19"/>
      <c r="B36" s="19"/>
      <c r="C36" s="13"/>
      <c r="D36" s="13"/>
      <c r="E36" s="13"/>
    </row>
    <row r="37" spans="1:6" x14ac:dyDescent="0.2">
      <c r="A37" s="19"/>
      <c r="B37" s="19"/>
      <c r="C37" s="13"/>
      <c r="D37" s="13"/>
      <c r="E37" s="13"/>
    </row>
    <row r="38" spans="1:6" x14ac:dyDescent="0.2">
      <c r="A38" s="19"/>
      <c r="B38" s="19"/>
      <c r="C38" s="13"/>
      <c r="D38" s="13"/>
      <c r="E38" s="13"/>
    </row>
    <row r="39" spans="1:6" x14ac:dyDescent="0.2">
      <c r="A39" s="19"/>
      <c r="B39" s="19"/>
      <c r="C39" s="13"/>
      <c r="D39" s="13"/>
      <c r="E39" s="13"/>
    </row>
    <row r="40" spans="1:6" x14ac:dyDescent="0.2">
      <c r="A40" s="19"/>
      <c r="B40" s="19"/>
      <c r="C40" s="13"/>
      <c r="D40" s="13"/>
      <c r="E40" s="13"/>
    </row>
    <row r="41" spans="1:6" x14ac:dyDescent="0.2">
      <c r="A41" s="19"/>
      <c r="B41" s="19"/>
      <c r="C41" s="13"/>
      <c r="D41" s="13"/>
      <c r="E41" s="13"/>
    </row>
    <row r="42" spans="1:6" x14ac:dyDescent="0.2">
      <c r="A42" s="19"/>
      <c r="B42" s="19"/>
      <c r="C42" s="13"/>
      <c r="D42" s="13"/>
      <c r="E42" s="13"/>
    </row>
    <row r="43" spans="1:6" x14ac:dyDescent="0.2">
      <c r="A43" s="19"/>
      <c r="B43" s="19"/>
      <c r="C43" s="13"/>
      <c r="D43" s="13"/>
      <c r="E43" s="13"/>
    </row>
    <row r="44" spans="1:6" x14ac:dyDescent="0.2">
      <c r="A44" s="19"/>
      <c r="B44" s="19"/>
      <c r="C44" s="13"/>
      <c r="D44" s="13"/>
      <c r="E44" s="13"/>
    </row>
    <row r="45" spans="1:6" x14ac:dyDescent="0.2">
      <c r="A45" s="19"/>
      <c r="B45" s="19"/>
      <c r="C45" s="18"/>
      <c r="D45" s="18"/>
      <c r="E45" s="18"/>
    </row>
    <row r="46" spans="1:6" x14ac:dyDescent="0.2">
      <c r="A46" s="19"/>
      <c r="B46" s="19"/>
      <c r="C46" s="18"/>
      <c r="D46" s="18"/>
      <c r="E46" s="18"/>
    </row>
    <row r="47" spans="1:6" x14ac:dyDescent="0.2">
      <c r="A47" s="19"/>
      <c r="B47" s="19"/>
      <c r="C47" s="18"/>
      <c r="D47" s="18"/>
      <c r="E47" s="18"/>
    </row>
    <row r="48" spans="1:6" x14ac:dyDescent="0.2">
      <c r="A48" s="19"/>
      <c r="B48" s="19"/>
      <c r="C48" s="18"/>
      <c r="D48" s="18"/>
      <c r="E48" s="18"/>
    </row>
    <row r="49" spans="1:5" x14ac:dyDescent="0.2">
      <c r="A49" s="19"/>
      <c r="B49" s="19"/>
      <c r="C49" s="18"/>
      <c r="D49" s="18"/>
      <c r="E49" s="18"/>
    </row>
  </sheetData>
  <phoneticPr fontId="3" type="noConversion"/>
  <pageMargins left="0.7" right="0.7" top="1" bottom="6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Cover</vt:lpstr>
      <vt:lpstr>Oil Crops Chart Gallery Fig 1</vt:lpstr>
      <vt:lpstr>Oil Crops Chart Gallery Fig 2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USDA-Economic Research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Mark S. Ash</dc:creator>
  <cp:keywords>soybeans, cottonseed, sunflower, peanuts, canola, supply, disappearance, price, OCS-18l, December 2018</cp:keywords>
  <dc:description>mash@ers.usda.gov</dc:description>
  <cp:lastModifiedBy>Meade, Birgit - ERS</cp:lastModifiedBy>
  <cp:lastPrinted>2014-11-10T20:35:48Z</cp:lastPrinted>
  <dcterms:created xsi:type="dcterms:W3CDTF">2001-11-13T16:22:15Z</dcterms:created>
  <dcterms:modified xsi:type="dcterms:W3CDTF">2018-12-13T16:48:49Z</dcterms:modified>
  <cp:category>Oilseeds</cp:category>
</cp:coreProperties>
</file>