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usdagcc.sharepoint.com/sites/REE-ERS-OilCropsOutlook/Shared Documents/General/2025/OCS-25I September 2025/"/>
    </mc:Choice>
  </mc:AlternateContent>
  <xr:revisionPtr revIDLastSave="0" documentId="14_{5CA3C844-B2FC-48C7-9893-86BE63ABFA97}" xr6:coauthVersionLast="47" xr6:coauthVersionMax="47" xr10:uidLastSave="{00000000-0000-0000-0000-000000000000}"/>
  <bookViews>
    <workbookView xWindow="57480" yWindow="-120" windowWidth="29040" windowHeight="15720" tabRatio="855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Figure 1" sheetId="251" r:id="rId9"/>
    <sheet name="Figure 2" sheetId="252" r:id="rId10"/>
    <sheet name="Figure 3" sheetId="253" r:id="rId11"/>
    <sheet name="Figure 4" sheetId="254" r:id="rId12"/>
  </sheets>
  <definedNames>
    <definedName name="_xlnm.Print_Area" localSheetId="1">'Table 1'!$A$1:$N$45</definedName>
    <definedName name="_xlnm.Print_Area" localSheetId="7">'Table 10'!$A$1:$G$50</definedName>
    <definedName name="_xlnm.Print_Area" localSheetId="2">'Table 2'!$A$1:$J$37</definedName>
    <definedName name="_xlnm.Print_Area" localSheetId="3">'Table 3'!$A$1:$L$50</definedName>
    <definedName name="_xlnm.Print_Area" localSheetId="5">'Table 8'!$A$1:$G$49</definedName>
    <definedName name="_xlnm.Print_Area" localSheetId="6">'Table 9'!$A$1:$I$51</definedName>
    <definedName name="_xlnm.Print_Area" localSheetId="4">'Tables 4-7'!$A$1:$O$52</definedName>
    <definedName name="WASDE_Updated" localSheetId="0">Contents!#REF!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3" l="1"/>
  <c r="J6" i="3"/>
  <c r="I6" i="3"/>
  <c r="N6" i="1"/>
  <c r="N7" i="1"/>
  <c r="N8" i="1"/>
  <c r="B8" i="252" l="1"/>
  <c r="G8" i="252" s="1"/>
  <c r="C8" i="252"/>
  <c r="D8" i="252"/>
  <c r="E8" i="252"/>
  <c r="F8" i="252"/>
  <c r="H8" i="252"/>
  <c r="I8" i="252"/>
  <c r="J8" i="252"/>
  <c r="G9" i="252"/>
  <c r="I21" i="5"/>
  <c r="D44" i="3"/>
  <c r="D46" i="3"/>
  <c r="G8" i="9"/>
  <c r="H35" i="2" l="1"/>
  <c r="J35" i="9" l="1"/>
  <c r="L43" i="1"/>
  <c r="D35" i="9"/>
  <c r="D35" i="2" l="1"/>
  <c r="J43" i="1"/>
  <c r="G43" i="1"/>
  <c r="B35" i="9"/>
  <c r="E35" i="9" s="1"/>
  <c r="K35" i="9" s="1"/>
  <c r="G35" i="9" s="1"/>
  <c r="E35" i="2"/>
  <c r="I35" i="2" s="1"/>
  <c r="G35" i="2" s="1"/>
  <c r="B35" i="2"/>
  <c r="J42" i="1"/>
  <c r="G20" i="6" l="1"/>
  <c r="D8" i="1" l="1"/>
  <c r="L36" i="1"/>
  <c r="J34" i="9" l="1"/>
  <c r="D34" i="9"/>
  <c r="D33" i="9"/>
  <c r="H34" i="2"/>
  <c r="H33" i="2"/>
  <c r="D34" i="2"/>
  <c r="L42" i="1"/>
  <c r="G42" i="1"/>
  <c r="B34" i="9" l="1"/>
  <c r="E34" i="9" s="1"/>
  <c r="K34" i="9" s="1"/>
  <c r="G34" i="9" s="1"/>
  <c r="I34" i="9" s="1"/>
  <c r="B34" i="2" l="1"/>
  <c r="E34" i="2" s="1"/>
  <c r="I34" i="2" s="1"/>
  <c r="G34" i="2" s="1"/>
  <c r="H15" i="2"/>
  <c r="L27" i="1" l="1"/>
  <c r="L11" i="1" l="1"/>
  <c r="J40" i="1" l="1"/>
  <c r="D33" i="2"/>
  <c r="G40" i="1"/>
  <c r="J33" i="9"/>
  <c r="L40" i="1"/>
  <c r="B33" i="9"/>
  <c r="E33" i="9" s="1"/>
  <c r="K33" i="9" s="1"/>
  <c r="H11" i="2"/>
  <c r="L6" i="1"/>
  <c r="G33" i="9" l="1"/>
  <c r="I33" i="9" s="1"/>
  <c r="G27" i="1"/>
  <c r="G6" i="1" s="1"/>
  <c r="D23" i="9"/>
  <c r="D23" i="2"/>
  <c r="D6" i="2" s="1"/>
  <c r="H23" i="2"/>
  <c r="H6" i="2" s="1"/>
  <c r="J23" i="9"/>
  <c r="J6" i="9" s="1"/>
  <c r="L34" i="1"/>
  <c r="L32" i="1"/>
  <c r="L31" i="1"/>
  <c r="L30" i="1"/>
  <c r="L33" i="1" s="1"/>
  <c r="L25" i="1"/>
  <c r="L24" i="1"/>
  <c r="L23" i="1"/>
  <c r="L21" i="1"/>
  <c r="L20" i="1"/>
  <c r="L19" i="1"/>
  <c r="L17" i="1"/>
  <c r="L16" i="1"/>
  <c r="L15" i="1"/>
  <c r="L13" i="1"/>
  <c r="L12" i="1"/>
  <c r="H28" i="2"/>
  <c r="H27" i="2"/>
  <c r="H26" i="2"/>
  <c r="H22" i="2"/>
  <c r="H21" i="2"/>
  <c r="H20" i="2"/>
  <c r="H19" i="2"/>
  <c r="H18" i="2"/>
  <c r="H17" i="2"/>
  <c r="H16" i="2"/>
  <c r="H14" i="2"/>
  <c r="H13" i="2"/>
  <c r="H12" i="2"/>
  <c r="J28" i="9"/>
  <c r="J27" i="9"/>
  <c r="J26" i="9"/>
  <c r="J21" i="9"/>
  <c r="J20" i="9"/>
  <c r="J19" i="9"/>
  <c r="J18" i="9"/>
  <c r="J17" i="9"/>
  <c r="J16" i="9"/>
  <c r="J15" i="9"/>
  <c r="J14" i="9"/>
  <c r="J13" i="9"/>
  <c r="D28" i="9"/>
  <c r="D27" i="9"/>
  <c r="D26" i="9"/>
  <c r="D22" i="9"/>
  <c r="D21" i="9"/>
  <c r="D20" i="9"/>
  <c r="D19" i="9"/>
  <c r="D18" i="9"/>
  <c r="D16" i="9"/>
  <c r="D15" i="9"/>
  <c r="D14" i="9"/>
  <c r="D29" i="2"/>
  <c r="D28" i="2"/>
  <c r="D27" i="2"/>
  <c r="D26" i="2"/>
  <c r="D22" i="2"/>
  <c r="D21" i="2"/>
  <c r="D20" i="2"/>
  <c r="D19" i="2"/>
  <c r="D18" i="2"/>
  <c r="D17" i="2"/>
  <c r="D15" i="2"/>
  <c r="D16" i="2"/>
  <c r="D14" i="2"/>
  <c r="D13" i="2"/>
  <c r="D12" i="2"/>
  <c r="G34" i="1"/>
  <c r="G32" i="1"/>
  <c r="G31" i="1"/>
  <c r="G30" i="1"/>
  <c r="G25" i="1"/>
  <c r="G24" i="1"/>
  <c r="G23" i="1"/>
  <c r="G21" i="1"/>
  <c r="G20" i="1"/>
  <c r="G19" i="1"/>
  <c r="G17" i="1"/>
  <c r="G16" i="1"/>
  <c r="G15" i="1"/>
  <c r="G13" i="1"/>
  <c r="B33" i="2"/>
  <c r="E33" i="2"/>
  <c r="I33" i="2" s="1"/>
  <c r="G33" i="2" s="1"/>
  <c r="E41" i="1"/>
  <c r="J32" i="9" l="1"/>
  <c r="D32" i="9"/>
  <c r="H32" i="2"/>
  <c r="D32" i="2"/>
  <c r="D31" i="2"/>
  <c r="L39" i="1"/>
  <c r="G39" i="1"/>
  <c r="B32" i="9" l="1"/>
  <c r="B32" i="2"/>
  <c r="E32" i="2" s="1"/>
  <c r="I32" i="2" s="1"/>
  <c r="G32" i="2" s="1"/>
  <c r="J38" i="1"/>
  <c r="J39" i="1"/>
  <c r="N46" i="3"/>
  <c r="I32" i="3"/>
  <c r="E31" i="3"/>
  <c r="E19" i="3"/>
  <c r="E20" i="3"/>
  <c r="J41" i="1" l="1"/>
  <c r="E32" i="9"/>
  <c r="K32" i="9" s="1"/>
  <c r="G32" i="9" s="1"/>
  <c r="I32" i="9" s="1"/>
  <c r="J31" i="9"/>
  <c r="D31" i="9"/>
  <c r="B31" i="9"/>
  <c r="H31" i="2"/>
  <c r="L38" i="1"/>
  <c r="L41" i="1" s="1"/>
  <c r="J36" i="1"/>
  <c r="G38" i="1"/>
  <c r="G41" i="1" s="1"/>
  <c r="H41" i="1" s="1"/>
  <c r="M41" i="1" s="1"/>
  <c r="K41" i="1" s="1"/>
  <c r="E31" i="9" l="1"/>
  <c r="K31" i="9" s="1"/>
  <c r="G31" i="9" s="1"/>
  <c r="I31" i="9" s="1"/>
  <c r="D45" i="3"/>
  <c r="H45" i="3"/>
  <c r="N45" i="3" s="1"/>
  <c r="L44" i="3"/>
  <c r="N44" i="3"/>
  <c r="E45" i="3"/>
  <c r="E32" i="3"/>
  <c r="I31" i="3"/>
  <c r="G31" i="3" s="1"/>
  <c r="B32" i="3"/>
  <c r="B20" i="3"/>
  <c r="G19" i="3"/>
  <c r="I19" i="3"/>
  <c r="I20" i="3"/>
  <c r="J20" i="3" s="1"/>
  <c r="B21" i="3" s="1"/>
  <c r="E6" i="3"/>
  <c r="G7" i="9"/>
  <c r="K7" i="9" s="1"/>
  <c r="L6" i="9"/>
  <c r="B7" i="9" s="1"/>
  <c r="E7" i="9" s="1"/>
  <c r="I7" i="2"/>
  <c r="J6" i="2"/>
  <c r="B7" i="2" s="1"/>
  <c r="E7" i="2" s="1"/>
  <c r="B31" i="2"/>
  <c r="E31" i="2" s="1"/>
  <c r="I31" i="2" s="1"/>
  <c r="G31" i="2" s="1"/>
  <c r="M8" i="1"/>
  <c r="J7" i="2" l="1"/>
  <c r="B8" i="2" s="1"/>
  <c r="E46" i="3"/>
  <c r="L7" i="9"/>
  <c r="J32" i="3"/>
  <c r="D6" i="1" l="1"/>
  <c r="E7" i="1"/>
  <c r="H30" i="2"/>
  <c r="D30" i="2"/>
  <c r="J30" i="9" l="1"/>
  <c r="D30" i="9"/>
  <c r="G36" i="1"/>
  <c r="B30" i="2" l="1"/>
  <c r="B30" i="9" l="1"/>
  <c r="E30" i="9" s="1"/>
  <c r="K30" i="9" s="1"/>
  <c r="G30" i="9" s="1"/>
  <c r="I30" i="9" s="1"/>
  <c r="E30" i="2"/>
  <c r="I30" i="2" s="1"/>
  <c r="G30" i="2" s="1"/>
  <c r="I37" i="1"/>
  <c r="E37" i="1"/>
  <c r="J25" i="1"/>
  <c r="J24" i="1"/>
  <c r="J23" i="1"/>
  <c r="J21" i="1"/>
  <c r="J20" i="1"/>
  <c r="J19" i="1"/>
  <c r="J17" i="1"/>
  <c r="J16" i="1"/>
  <c r="J15" i="1"/>
  <c r="J13" i="1"/>
  <c r="J12" i="1"/>
  <c r="J11" i="1"/>
  <c r="H29" i="2" l="1"/>
  <c r="J29" i="9"/>
  <c r="D29" i="9"/>
  <c r="L35" i="1" l="1"/>
  <c r="L37" i="1" s="1"/>
  <c r="G35" i="1"/>
  <c r="B29" i="9" l="1"/>
  <c r="E29" i="9" s="1"/>
  <c r="K29" i="9" s="1"/>
  <c r="G29" i="9" s="1"/>
  <c r="I29" i="9" s="1"/>
  <c r="B29" i="2"/>
  <c r="E29" i="2" s="1"/>
  <c r="J35" i="1"/>
  <c r="B13" i="9"/>
  <c r="B14" i="9"/>
  <c r="B15" i="9"/>
  <c r="B16" i="9"/>
  <c r="B17" i="9"/>
  <c r="B18" i="9"/>
  <c r="B19" i="9"/>
  <c r="B20" i="9"/>
  <c r="B21" i="9"/>
  <c r="B12" i="9"/>
  <c r="I29" i="2" l="1"/>
  <c r="G29" i="2" s="1"/>
  <c r="J34" i="1"/>
  <c r="J37" i="1" s="1"/>
  <c r="J32" i="1"/>
  <c r="J31" i="1"/>
  <c r="J30" i="1"/>
  <c r="G37" i="1" l="1"/>
  <c r="H37" i="1" s="1"/>
  <c r="M37" i="1" s="1"/>
  <c r="K37" i="1" s="1"/>
  <c r="B28" i="9" l="1"/>
  <c r="E28" i="9" l="1"/>
  <c r="K28" i="9" s="1"/>
  <c r="G28" i="9" s="1"/>
  <c r="I28" i="9" s="1"/>
  <c r="B28" i="2"/>
  <c r="E28" i="2" s="1"/>
  <c r="I28" i="2" s="1"/>
  <c r="G28" i="2" s="1"/>
  <c r="B26" i="2" l="1"/>
  <c r="E33" i="1" l="1"/>
  <c r="B27" i="2"/>
  <c r="E27" i="2" s="1"/>
  <c r="I27" i="2" s="1"/>
  <c r="G27" i="2" s="1"/>
  <c r="B27" i="9"/>
  <c r="E27" i="9" s="1"/>
  <c r="K27" i="9" s="1"/>
  <c r="G27" i="9" s="1"/>
  <c r="I27" i="9" s="1"/>
  <c r="J22" i="9" l="1"/>
  <c r="J12" i="9"/>
  <c r="J11" i="9"/>
  <c r="D17" i="9"/>
  <c r="D13" i="9"/>
  <c r="D12" i="9"/>
  <c r="D11" i="9"/>
  <c r="E26" i="2" l="1"/>
  <c r="I26" i="2" s="1"/>
  <c r="G26" i="2" s="1"/>
  <c r="B26" i="9"/>
  <c r="E26" i="9" s="1"/>
  <c r="K26" i="9" s="1"/>
  <c r="G26" i="9" s="1"/>
  <c r="I26" i="9" s="1"/>
  <c r="H23" i="9"/>
  <c r="H6" i="9" s="1"/>
  <c r="D6" i="9" l="1"/>
  <c r="C23" i="9"/>
  <c r="C6" i="9" s="1"/>
  <c r="E22" i="9"/>
  <c r="K22" i="9" s="1"/>
  <c r="G22" i="9" s="1"/>
  <c r="I22" i="9" s="1"/>
  <c r="E21" i="9"/>
  <c r="E20" i="9"/>
  <c r="E19" i="9"/>
  <c r="E18" i="9"/>
  <c r="E17" i="9"/>
  <c r="E16" i="9"/>
  <c r="E15" i="9"/>
  <c r="E14" i="9"/>
  <c r="E13" i="9"/>
  <c r="E12" i="9"/>
  <c r="E11" i="9"/>
  <c r="K11" i="9" s="1"/>
  <c r="G11" i="9" s="1"/>
  <c r="I11" i="9" s="1"/>
  <c r="C23" i="2"/>
  <c r="C6" i="2" s="1"/>
  <c r="B22" i="2"/>
  <c r="B21" i="2"/>
  <c r="B20" i="2"/>
  <c r="E20" i="2" s="1"/>
  <c r="I20" i="2" s="1"/>
  <c r="B19" i="2"/>
  <c r="B18" i="2"/>
  <c r="B17" i="2"/>
  <c r="B16" i="2"/>
  <c r="E16" i="2" s="1"/>
  <c r="I16" i="2" s="1"/>
  <c r="G16" i="2" s="1"/>
  <c r="B15" i="2"/>
  <c r="B14" i="2"/>
  <c r="B13" i="2"/>
  <c r="B12" i="2"/>
  <c r="E12" i="2" s="1"/>
  <c r="I12" i="2" s="1"/>
  <c r="D11" i="2"/>
  <c r="G12" i="2" l="1"/>
  <c r="G20" i="2"/>
  <c r="K20" i="9"/>
  <c r="K14" i="9"/>
  <c r="K15" i="9"/>
  <c r="K16" i="9"/>
  <c r="K17" i="9"/>
  <c r="K18" i="9"/>
  <c r="K19" i="9"/>
  <c r="K21" i="9"/>
  <c r="K13" i="9"/>
  <c r="K12" i="9"/>
  <c r="E14" i="2"/>
  <c r="I14" i="2" s="1"/>
  <c r="G14" i="2" s="1"/>
  <c r="E23" i="9"/>
  <c r="E23" i="2"/>
  <c r="E18" i="2"/>
  <c r="I18" i="2" s="1"/>
  <c r="G18" i="2" s="1"/>
  <c r="E13" i="2"/>
  <c r="I13" i="2" s="1"/>
  <c r="G13" i="2" s="1"/>
  <c r="E17" i="2"/>
  <c r="I17" i="2" s="1"/>
  <c r="G17" i="2" s="1"/>
  <c r="E21" i="2"/>
  <c r="I21" i="2" s="1"/>
  <c r="G21" i="2" s="1"/>
  <c r="E22" i="2"/>
  <c r="I22" i="2" s="1"/>
  <c r="G22" i="2" s="1"/>
  <c r="E15" i="2"/>
  <c r="I15" i="2" s="1"/>
  <c r="G15" i="2" s="1"/>
  <c r="E19" i="2"/>
  <c r="I19" i="2" s="1"/>
  <c r="G19" i="2" s="1"/>
  <c r="E8" i="2"/>
  <c r="E6" i="9"/>
  <c r="K6" i="9" s="1"/>
  <c r="G6" i="9" s="1"/>
  <c r="I6" i="9" s="1"/>
  <c r="E18" i="1"/>
  <c r="G19" i="9" l="1"/>
  <c r="G20" i="9"/>
  <c r="G18" i="9"/>
  <c r="G17" i="9"/>
  <c r="G16" i="9"/>
  <c r="G13" i="9"/>
  <c r="G15" i="9"/>
  <c r="G21" i="9"/>
  <c r="G14" i="9"/>
  <c r="G12" i="9"/>
  <c r="K23" i="9"/>
  <c r="G23" i="9" s="1"/>
  <c r="I23" i="9" s="1"/>
  <c r="E11" i="2"/>
  <c r="I11" i="2" s="1"/>
  <c r="I23" i="2" s="1"/>
  <c r="J33" i="1"/>
  <c r="I14" i="9" l="1"/>
  <c r="I13" i="9"/>
  <c r="I16" i="9"/>
  <c r="I17" i="9"/>
  <c r="I18" i="9"/>
  <c r="I21" i="9"/>
  <c r="I20" i="9"/>
  <c r="I15" i="9"/>
  <c r="I19" i="9"/>
  <c r="I12" i="9"/>
  <c r="G11" i="2"/>
  <c r="G23" i="2" s="1"/>
  <c r="G33" i="1"/>
  <c r="H33" i="1" s="1"/>
  <c r="M33" i="1" s="1"/>
  <c r="K33" i="1" s="1"/>
  <c r="H6" i="1" l="1"/>
  <c r="M6" i="1" s="1"/>
  <c r="E26" i="1"/>
  <c r="E22" i="1"/>
  <c r="G12" i="1"/>
  <c r="G11" i="1"/>
  <c r="G26" i="1" l="1"/>
  <c r="H26" i="1" s="1"/>
  <c r="M26" i="1" s="1"/>
  <c r="L18" i="1"/>
  <c r="J14" i="1"/>
  <c r="J22" i="1"/>
  <c r="G14" i="1"/>
  <c r="H14" i="1" s="1"/>
  <c r="G18" i="1"/>
  <c r="H18" i="1" s="1"/>
  <c r="M18" i="1" s="1"/>
  <c r="L14" i="1"/>
  <c r="J18" i="1"/>
  <c r="G22" i="1"/>
  <c r="H22" i="1" s="1"/>
  <c r="M22" i="1" s="1"/>
  <c r="J26" i="1"/>
  <c r="L26" i="1"/>
  <c r="L22" i="1"/>
  <c r="J27" i="1" l="1"/>
  <c r="J6" i="1" s="1"/>
  <c r="K6" i="1" s="1"/>
  <c r="M14" i="1"/>
  <c r="K14" i="1" s="1"/>
  <c r="K26" i="1"/>
  <c r="K18" i="1"/>
  <c r="K22" i="1"/>
  <c r="D7" i="1" l="1"/>
  <c r="I33" i="3" l="1"/>
  <c r="I8" i="2" l="1"/>
  <c r="J8" i="3"/>
  <c r="K8" i="9" l="1"/>
  <c r="B8" i="9" l="1"/>
  <c r="E6" i="2" l="1"/>
  <c r="B46" i="1"/>
  <c r="G6" i="2" l="1"/>
  <c r="I6" i="2"/>
  <c r="M7" i="1"/>
  <c r="I21" i="3" l="1"/>
  <c r="B52" i="6" l="1"/>
  <c r="B52" i="5"/>
  <c r="B51" i="4"/>
  <c r="B50" i="3"/>
  <c r="B38" i="9"/>
  <c r="B38" i="2"/>
  <c r="E21" i="3" l="1"/>
  <c r="J21" i="3" s="1"/>
  <c r="H7" i="1" l="1"/>
  <c r="E8" i="1" s="1"/>
  <c r="H8" i="1" s="1"/>
  <c r="B33" i="3" l="1"/>
  <c r="E33" i="3" s="1"/>
  <c r="J33" i="3" s="1"/>
  <c r="E8" i="9" l="1"/>
  <c r="L8" i="9" s="1"/>
  <c r="H46" i="3" l="1"/>
  <c r="O46" i="3" s="1"/>
  <c r="J8" i="2" l="1"/>
  <c r="B7" i="3" l="1"/>
  <c r="E7" i="3" s="1"/>
  <c r="J7" i="3" s="1"/>
  <c r="I7" i="3" s="1"/>
  <c r="B8" i="3" l="1"/>
  <c r="E8" i="3" s="1"/>
  <c r="K8" i="3" s="1"/>
  <c r="L45" i="3"/>
</calcChain>
</file>

<file path=xl/sharedStrings.xml><?xml version="1.0" encoding="utf-8"?>
<sst xmlns="http://schemas.openxmlformats.org/spreadsheetml/2006/main" count="609" uniqueCount="181">
  <si>
    <t>Oil Crops Outlook Tables</t>
  </si>
  <si>
    <t>Table 1—Soybeans: U.S. supply and disappearance</t>
  </si>
  <si>
    <t>Table 2—Soybean meal: U.S. supply and disappearance</t>
  </si>
  <si>
    <t>Table 3—Soybean oil: U.S. supply and disappearance</t>
  </si>
  <si>
    <t>Table 4—Cottonseed: U.S. supply and disappearance</t>
  </si>
  <si>
    <t>Table 5—Cottonseed meal: U.S. supply and disappearance</t>
  </si>
  <si>
    <t>Table 6—Cottonseed oil: U.S. supply and disappearance</t>
  </si>
  <si>
    <t>Table 7—Peanuts: U.S. supply and disappearance</t>
  </si>
  <si>
    <t>Table 8—Oilseed prices received by U.S. farmers</t>
  </si>
  <si>
    <t>Table 9—U.S. vegetable oil and fats prices</t>
  </si>
  <si>
    <t xml:space="preserve">Table 10—U.S. oilseed meal prices </t>
  </si>
  <si>
    <t>Data for figures are located after the 10 data tables.</t>
  </si>
  <si>
    <t>Contact: Maria Bukowski; Bryn Swearingen</t>
  </si>
  <si>
    <t>Last update</t>
  </si>
  <si>
    <t>Area</t>
  </si>
  <si>
    <t>Yield</t>
  </si>
  <si>
    <t>Supply</t>
  </si>
  <si>
    <t>Use</t>
  </si>
  <si>
    <t>Year beginning</t>
  </si>
  <si>
    <t>Planted</t>
  </si>
  <si>
    <t>Harvested</t>
  </si>
  <si>
    <t>Beginning</t>
  </si>
  <si>
    <t>Crush</t>
  </si>
  <si>
    <t>Seed &amp;</t>
  </si>
  <si>
    <t>Ending</t>
  </si>
  <si>
    <t>September 1</t>
  </si>
  <si>
    <t>stocks</t>
  </si>
  <si>
    <t>Production</t>
  </si>
  <si>
    <t>Imports</t>
  </si>
  <si>
    <t>Total</t>
  </si>
  <si>
    <t>residual</t>
  </si>
  <si>
    <t>Exports</t>
  </si>
  <si>
    <t>Million acres</t>
  </si>
  <si>
    <t>Bushels per acre</t>
  </si>
  <si>
    <t>---------------------------------------------Million bushels----------------------------------------------------------</t>
  </si>
  <si>
    <t>2023/24</t>
  </si>
  <si>
    <r>
      <t>2024/25</t>
    </r>
    <r>
      <rPr>
        <vertAlign val="superscript"/>
        <sz val="11"/>
        <rFont val="Arial"/>
        <family val="2"/>
      </rPr>
      <t>1</t>
    </r>
  </si>
  <si>
    <r>
      <t>2025/26</t>
    </r>
    <r>
      <rPr>
        <vertAlign val="superscript"/>
        <sz val="11"/>
        <rFont val="Arial"/>
        <family val="2"/>
      </rPr>
      <t>2</t>
    </r>
  </si>
  <si>
    <t>September</t>
  </si>
  <si>
    <t>October</t>
  </si>
  <si>
    <t>November</t>
  </si>
  <si>
    <t xml:space="preserve">  September–November</t>
  </si>
  <si>
    <t>December</t>
  </si>
  <si>
    <t>January</t>
  </si>
  <si>
    <t>February</t>
  </si>
  <si>
    <t xml:space="preserve">  December–February</t>
  </si>
  <si>
    <t>March</t>
  </si>
  <si>
    <t>April</t>
  </si>
  <si>
    <t>May</t>
  </si>
  <si>
    <t xml:space="preserve"> March-May</t>
  </si>
  <si>
    <t>June</t>
  </si>
  <si>
    <t>July</t>
  </si>
  <si>
    <t>August</t>
  </si>
  <si>
    <t xml:space="preserve">  June–August</t>
  </si>
  <si>
    <t>2024/25</t>
  </si>
  <si>
    <r>
      <rPr>
        <sz val="11"/>
        <rFont val="Arial"/>
        <family val="2"/>
      </rPr>
      <t>NA = Not available.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Note: 1 metric ton equals 36.74371 bushels and 1 hectare equals 2.471 acres.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</si>
  <si>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 xml:space="preserve">Source: USDA, Economic Research Service using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>, and</t>
    </r>
    <r>
      <rPr>
        <i/>
        <sz val="11"/>
        <rFont val="Arial"/>
        <family val="2"/>
      </rPr>
      <t xml:space="preserve"> Grain Stocks</t>
    </r>
    <r>
      <rPr>
        <sz val="11"/>
        <rFont val="Arial"/>
        <family val="2"/>
      </rPr>
      <t xml:space="preserve">; and U.S. Department of Commerce, Bureau of the Census, </t>
    </r>
    <r>
      <rPr>
        <i/>
        <sz val="11"/>
        <rFont val="Arial"/>
        <family val="2"/>
      </rPr>
      <t>Foreign Trade Statistics</t>
    </r>
    <r>
      <rPr>
        <sz val="11"/>
        <rFont val="Arial"/>
        <family val="2"/>
      </rPr>
      <t>.</t>
    </r>
  </si>
  <si>
    <t>Last update:</t>
  </si>
  <si>
    <t xml:space="preserve">          Supply</t>
  </si>
  <si>
    <t>Disappearance</t>
  </si>
  <si>
    <t xml:space="preserve">Ending </t>
  </si>
  <si>
    <t>October 1</t>
  </si>
  <si>
    <t xml:space="preserve">stocks </t>
  </si>
  <si>
    <t xml:space="preserve">Total  </t>
  </si>
  <si>
    <t xml:space="preserve">Domestic </t>
  </si>
  <si>
    <t xml:space="preserve">Exports  </t>
  </si>
  <si>
    <t xml:space="preserve"> stocks </t>
  </si>
  <si>
    <t xml:space="preserve">     -------------------------------------------- 1,000 short tons--------------------------------------------</t>
  </si>
  <si>
    <r>
      <t xml:space="preserve">Source: USDA, Economic Research Service using USDA, World Agricultural Outlook Board, </t>
    </r>
    <r>
      <rPr>
        <i/>
        <sz val="11"/>
        <rFont val="Arial"/>
        <family val="2"/>
      </rPr>
      <t>World Agricultural Supply and Demand Estimates.</t>
    </r>
  </si>
  <si>
    <t xml:space="preserve">Beginning </t>
  </si>
  <si>
    <t xml:space="preserve">Imports </t>
  </si>
  <si>
    <t xml:space="preserve">Exports </t>
  </si>
  <si>
    <r>
      <t>Biofuel</t>
    </r>
    <r>
      <rPr>
        <vertAlign val="superscript"/>
        <sz val="11"/>
        <rFont val="Arial"/>
        <family val="2"/>
      </rPr>
      <t>3</t>
    </r>
  </si>
  <si>
    <t>Food &amp; other</t>
  </si>
  <si>
    <t>Million pounds</t>
  </si>
  <si>
    <r>
      <t>2023/24</t>
    </r>
    <r>
      <rPr>
        <vertAlign val="superscript"/>
        <sz val="11"/>
        <rFont val="Arial"/>
        <family val="2"/>
      </rPr>
      <t>1</t>
    </r>
  </si>
  <si>
    <r>
      <t>2024/25</t>
    </r>
    <r>
      <rPr>
        <vertAlign val="superscript"/>
        <sz val="11"/>
        <rFont val="Arial"/>
        <family val="2"/>
      </rPr>
      <t>2</t>
    </r>
  </si>
  <si>
    <t>NA</t>
  </si>
  <si>
    <t>August 1</t>
  </si>
  <si>
    <t xml:space="preserve">stocks  </t>
  </si>
  <si>
    <t xml:space="preserve">  Total  </t>
  </si>
  <si>
    <t xml:space="preserve">Crush </t>
  </si>
  <si>
    <t xml:space="preserve">Other </t>
  </si>
  <si>
    <t xml:space="preserve">Total </t>
  </si>
  <si>
    <t xml:space="preserve">     1,000 short tons</t>
  </si>
  <si>
    <r>
      <t>Source: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Economic Research Service using USDA, National Agricultural Statistics Service,</t>
    </r>
    <r>
      <rPr>
        <i/>
        <sz val="11"/>
        <rFont val="Arial"/>
        <family val="2"/>
      </rPr>
      <t xml:space="preserve"> Crop Production; </t>
    </r>
    <r>
      <rPr>
        <sz val="11"/>
        <rFont val="Arial"/>
        <family val="2"/>
      </rPr>
      <t>and U.S. Department of Commerce,</t>
    </r>
  </si>
  <si>
    <r>
      <t xml:space="preserve">Bureau of the Census, </t>
    </r>
    <r>
      <rPr>
        <i/>
        <sz val="11"/>
        <rFont val="Arial"/>
        <family val="2"/>
      </rPr>
      <t>Foreign Trade Statistics.</t>
    </r>
  </si>
  <si>
    <t>Domestic</t>
  </si>
  <si>
    <t xml:space="preserve">  1,000 short tons</t>
  </si>
  <si>
    <r>
      <t xml:space="preserve">Source: USDA, Economic Research Service using USDA, Foreign Agricultural Service, </t>
    </r>
    <r>
      <rPr>
        <i/>
        <sz val="11"/>
        <rFont val="Arial"/>
        <family val="2"/>
      </rPr>
      <t xml:space="preserve">Production, Supply and Distribution </t>
    </r>
    <r>
      <rPr>
        <sz val="11"/>
        <rFont val="Arial"/>
        <family val="2"/>
      </rPr>
      <t>database</t>
    </r>
    <r>
      <rPr>
        <i/>
        <sz val="11"/>
        <rFont val="Arial"/>
        <family val="2"/>
      </rPr>
      <t>.</t>
    </r>
  </si>
  <si>
    <t xml:space="preserve">food </t>
  </si>
  <si>
    <t>1,000 acres</t>
  </si>
  <si>
    <t>Pounds per acre</t>
  </si>
  <si>
    <t xml:space="preserve">      Million pounds</t>
  </si>
  <si>
    <r>
      <t xml:space="preserve">Source: USDA, Economic Research Service using USDA, National Agricultural Statistics Service, </t>
    </r>
    <r>
      <rPr>
        <i/>
        <sz val="11"/>
        <rFont val="Arial"/>
        <family val="2"/>
      </rPr>
      <t>Crop Production,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Peanut Stocks and Processing; </t>
    </r>
    <r>
      <rPr>
        <sz val="11"/>
        <rFont val="Arial"/>
        <family val="2"/>
      </rPr>
      <t>and U.S. Department of Commerce,</t>
    </r>
  </si>
  <si>
    <t>Marketing</t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</si>
  <si>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</si>
  <si>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</si>
  <si>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</si>
  <si>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</si>
  <si>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</si>
  <si>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</si>
  <si>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t>year</t>
  </si>
  <si>
    <t xml:space="preserve">Dollars per bushel </t>
  </si>
  <si>
    <t xml:space="preserve">Dollars per short ton  </t>
  </si>
  <si>
    <t>Dollars per hundredweight</t>
  </si>
  <si>
    <t>Cents per pound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</si>
  <si>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</si>
  <si>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</si>
  <si>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</si>
  <si>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</si>
  <si>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</si>
  <si>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</si>
  <si>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</si>
  <si>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</si>
  <si>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</si>
  <si>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</si>
  <si>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</si>
  <si>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</si>
  <si>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</si>
  <si>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r>
      <t>2024/25</t>
    </r>
    <r>
      <rPr>
        <vertAlign val="superscript"/>
        <sz val="11"/>
        <rFont val="Arial"/>
        <family val="2"/>
      </rPr>
      <t>4</t>
    </r>
  </si>
  <si>
    <r>
      <t>2025/26</t>
    </r>
    <r>
      <rPr>
        <vertAlign val="superscript"/>
        <sz val="11"/>
        <rFont val="Arial"/>
        <family val="2"/>
      </rPr>
      <t>4</t>
    </r>
  </si>
  <si>
    <r>
      <t xml:space="preserve">Source: USDA, Economic Research Service using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</si>
  <si>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t xml:space="preserve">Soybean </t>
  </si>
  <si>
    <t>Cottonseed</t>
  </si>
  <si>
    <t>Sunflower</t>
  </si>
  <si>
    <t>Canola</t>
  </si>
  <si>
    <t xml:space="preserve">Peanut </t>
  </si>
  <si>
    <t xml:space="preserve">Corn  </t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</si>
  <si>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</si>
  <si>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t xml:space="preserve">Edible  </t>
  </si>
  <si>
    <r>
      <t xml:space="preserve">oil </t>
    </r>
    <r>
      <rPr>
        <vertAlign val="superscript"/>
        <sz val="11"/>
        <rFont val="Arial"/>
        <family val="2"/>
      </rPr>
      <t xml:space="preserve">1 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</si>
  <si>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</si>
  <si>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</si>
  <si>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</si>
  <si>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</si>
  <si>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</si>
  <si>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t>------------------------------------------------------- Cents per pound----------------------------------------------</t>
  </si>
  <si>
    <r>
      <t>2024/25</t>
    </r>
    <r>
      <rPr>
        <vertAlign val="superscript"/>
        <sz val="11"/>
        <rFont val="Arial"/>
        <family val="2"/>
      </rPr>
      <t>7</t>
    </r>
  </si>
  <si>
    <r>
      <t>2025/26</t>
    </r>
    <r>
      <rPr>
        <vertAlign val="superscript"/>
        <sz val="11"/>
        <rFont val="Arial"/>
        <family val="2"/>
      </rPr>
      <t>7</t>
    </r>
  </si>
  <si>
    <t xml:space="preserve">January </t>
  </si>
  <si>
    <r>
      <t xml:space="preserve">Source: USDA, Economic Research Service using USDA, Agricultural Marketing Service, </t>
    </r>
    <r>
      <rPr>
        <i/>
        <sz val="11"/>
        <rFont val="Arial"/>
        <family val="2"/>
      </rPr>
      <t>National Grain and Oilseed Processor Feedstuff Report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Tallow and Protein Report</t>
    </r>
    <r>
      <rPr>
        <sz val="11"/>
        <rFont val="Arial"/>
        <family val="2"/>
      </rPr>
      <t xml:space="preserve">; and Sosland Publishing, </t>
    </r>
    <r>
      <rPr>
        <i/>
        <sz val="11"/>
        <rFont val="Arial"/>
        <family val="2"/>
      </rPr>
      <t>Milling and Baking News</t>
    </r>
    <r>
      <rPr>
        <sz val="11"/>
        <rFont val="Arial"/>
        <family val="2"/>
      </rPr>
      <t>.</t>
    </r>
  </si>
  <si>
    <t xml:space="preserve">Canola  </t>
  </si>
  <si>
    <t xml:space="preserve">Linseed </t>
  </si>
  <si>
    <r>
      <t xml:space="preserve">meal </t>
    </r>
    <r>
      <rPr>
        <vertAlign val="superscript"/>
        <sz val="11"/>
        <rFont val="Arial"/>
        <family val="2"/>
      </rPr>
      <t xml:space="preserve">1 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</si>
  <si>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</si>
  <si>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</si>
  <si>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</si>
  <si>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</si>
  <si>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</si>
  <si>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t>--------------------------------------------------- Dollars per short ton------------------------------------------</t>
  </si>
  <si>
    <r>
      <rPr>
        <sz val="11"/>
        <rFont val="Arial"/>
        <family val="2"/>
      </rPr>
      <t>NA = Not available.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High-protein, Decatur, IL.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41-percent Memphis, TN.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34-percent North Dakota-Minnesota.</t>
    </r>
  </si>
  <si>
    <r>
      <rPr>
        <vertAlign val="super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</rPr>
      <t xml:space="preserve"> 50-percent Southeast mills.  </t>
    </r>
    <r>
      <rPr>
        <vertAlign val="superscript"/>
        <sz val="11"/>
        <color rgb="FF000000"/>
        <rFont val="Arial"/>
        <family val="2"/>
      </rPr>
      <t>5</t>
    </r>
    <r>
      <rPr>
        <sz val="11"/>
        <color rgb="FF000000"/>
        <rFont val="Arial"/>
        <family val="2"/>
      </rPr>
      <t xml:space="preserve"> 36-percent Pacific Northwest. 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 xml:space="preserve"> 34-percent Minneapolis, MN. </t>
    </r>
    <r>
      <rPr>
        <vertAlign val="superscript"/>
        <sz val="11"/>
        <color rgb="FF000000"/>
        <rFont val="Arial"/>
        <family val="2"/>
      </rPr>
      <t>7</t>
    </r>
    <r>
      <rPr>
        <sz val="11"/>
        <color rgb="FF000000"/>
        <rFont val="Arial"/>
        <family val="2"/>
      </rPr>
      <t xml:space="preserve"> Preliminary. </t>
    </r>
  </si>
  <si>
    <r>
      <t xml:space="preserve">Source: USDA, Economic Research Service using USDA, Agricultural Marketing Service, </t>
    </r>
    <r>
      <rPr>
        <i/>
        <sz val="11"/>
        <rFont val="Arial"/>
        <family val="2"/>
      </rPr>
      <t>National Grain and Oilseed Processor Feedstuff Report.</t>
    </r>
  </si>
  <si>
    <t>Marketing year</t>
  </si>
  <si>
    <t>2025/26*</t>
  </si>
  <si>
    <t>2024/25*</t>
  </si>
  <si>
    <r>
      <rPr>
        <sz val="11"/>
        <color rgb="FF000000"/>
        <rFont val="Arial"/>
        <family val="2"/>
      </rPr>
      <t>Note: 1 metric ton equals 1.10231 short tons.</t>
    </r>
    <r>
      <rPr>
        <vertAlign val="superscript"/>
        <sz val="11"/>
        <color rgb="FF000000"/>
        <rFont val="Arial"/>
        <family val="2"/>
      </rPr>
      <t xml:space="preserve"> 1</t>
    </r>
    <r>
      <rPr>
        <sz val="11"/>
        <color rgb="FF000000"/>
        <rFont val="Arial"/>
        <family val="2"/>
      </rPr>
      <t xml:space="preserve"> Estimated. 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Forecast.</t>
    </r>
  </si>
  <si>
    <r>
      <rPr>
        <sz val="11"/>
        <color rgb="FF000000"/>
        <rFont val="Arial"/>
        <family val="2"/>
      </rPr>
      <t>NA = Not available. Note: 1 metric ton equals 2,204.622 pounds.</t>
    </r>
    <r>
      <rPr>
        <vertAlign val="superscript"/>
        <sz val="11"/>
        <color rgb="FF000000"/>
        <rFont val="Arial"/>
        <family val="2"/>
      </rPr>
      <t xml:space="preserve"> 1</t>
    </r>
    <r>
      <rPr>
        <sz val="11"/>
        <color rgb="FF000000"/>
        <rFont val="Arial"/>
        <family val="2"/>
      </rPr>
      <t xml:space="preserve"> Estimated. 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Forecast. 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Prior year’s monthly biofuel data are estimated on yearly data.</t>
    </r>
  </si>
  <si>
    <r>
      <t>1</t>
    </r>
    <r>
      <rPr>
        <sz val="11"/>
        <color rgb="FF000000"/>
        <rFont val="Arial"/>
        <family val="2"/>
      </rPr>
      <t xml:space="preserve"> Estimated. 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Forecast.</t>
    </r>
  </si>
  <si>
    <r>
      <t>NA = Not available.</t>
    </r>
    <r>
      <rPr>
        <vertAlign val="superscript"/>
        <sz val="11"/>
        <color rgb="FF000000"/>
        <rFont val="Arial"/>
        <family val="2"/>
      </rPr>
      <t xml:space="preserve"> 1</t>
    </r>
    <r>
      <rPr>
        <sz val="11"/>
        <color rgb="FF000000"/>
        <rFont val="Arial"/>
        <family val="2"/>
      </rPr>
      <t xml:space="preserve"> September–August. 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August–July. 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July–June. </t>
    </r>
    <r>
      <rPr>
        <vertAlign val="super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</rPr>
      <t xml:space="preserve"> Preliminary. </t>
    </r>
  </si>
  <si>
    <r>
      <rPr>
        <sz val="11"/>
        <color rgb="FF000000"/>
        <rFont val="Arial"/>
        <family val="2"/>
      </rPr>
      <t xml:space="preserve">NA = Not available. 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Decatur, IL. 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Prime bleached summer yellow, Greenwood, MS. 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Midwest. 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</si>
  <si>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Central United States.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Chicago, IL.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Preliminary. </t>
    </r>
  </si>
  <si>
    <t xml:space="preserve">NA </t>
  </si>
  <si>
    <t>Country</t>
  </si>
  <si>
    <t>Philippines</t>
  </si>
  <si>
    <t>Mexico</t>
  </si>
  <si>
    <t>Colombia</t>
  </si>
  <si>
    <t>Canada</t>
  </si>
  <si>
    <t>Vietnam</t>
  </si>
  <si>
    <t>Remaining</t>
  </si>
  <si>
    <t>Forecast</t>
  </si>
  <si>
    <t>Rest of world</t>
  </si>
  <si>
    <t>Average (2018/19–2022/23)</t>
  </si>
  <si>
    <t>Food use</t>
  </si>
  <si>
    <t>Peanut candy</t>
  </si>
  <si>
    <t>Peanut snacks</t>
  </si>
  <si>
    <t>Peanut butter</t>
  </si>
  <si>
    <t>Peanut other use</t>
  </si>
  <si>
    <t>Peanut usage in pounds</t>
  </si>
  <si>
    <t>10-year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</si>
</sst>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  <numFmt numFmtId="168" formatCode="#,##0.0"/>
    <numFmt numFmtId="169" formatCode="_(* #,##0.00000_);_(* \(#,##0.00000\);_(* &quot;-&quot;??_);_(@_)"/>
    <numFmt numFmtId="170" formatCode="0.0%"/>
    <numFmt numFmtId="171" formatCode="#,##0.0000"/>
    <numFmt numFmtId="172" formatCode="#,##0.00000"/>
    <numFmt numFmtId="173" formatCode="0.000000"/>
    <numFmt numFmtId="174" formatCode="0.0000000"/>
    <numFmt numFmtId="175" formatCode="0.000"/>
    <numFmt numFmtId="176" formatCode="#,##0.000"/>
    <numFmt numFmtId="177" formatCode="#,##0___)"/>
    <numFmt numFmtId="178" formatCode="#,##0.000000000000"/>
    <numFmt numFmtId="179" formatCode="_(* #,##0.0_);_(* \(#,##0.0\);_(* &quot;-&quot;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name val="Helv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Helvetica"/>
    </font>
    <font>
      <sz val="8"/>
      <name val="Helvetica"/>
      <family val="2"/>
    </font>
    <font>
      <u/>
      <sz val="10.45"/>
      <color indexed="12"/>
      <name val="Arial"/>
      <family val="2"/>
    </font>
    <font>
      <sz val="10"/>
      <name val="Courier"/>
    </font>
    <font>
      <u/>
      <sz val="10"/>
      <color indexed="12"/>
      <name val="Courier"/>
      <family val="3"/>
    </font>
    <font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7">
    <xf numFmtId="0" fontId="0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60" fillId="0" borderId="0"/>
    <xf numFmtId="0" fontId="60" fillId="0" borderId="0"/>
    <xf numFmtId="0" fontId="60" fillId="0" borderId="0"/>
    <xf numFmtId="0" fontId="71" fillId="0" borderId="0"/>
    <xf numFmtId="9" fontId="59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0" fontId="59" fillId="0" borderId="0"/>
    <xf numFmtId="0" fontId="73" fillId="0" borderId="0"/>
    <xf numFmtId="0" fontId="58" fillId="0" borderId="0"/>
    <xf numFmtId="0" fontId="57" fillId="0" borderId="0"/>
    <xf numFmtId="43" fontId="59" fillId="0" borderId="0" applyFont="0" applyFill="0" applyBorder="0" applyAlignment="0" applyProtection="0"/>
    <xf numFmtId="0" fontId="59" fillId="0" borderId="0"/>
    <xf numFmtId="0" fontId="59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44" fontId="59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47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7" fillId="0" borderId="0"/>
    <xf numFmtId="0" fontId="26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3" fillId="0" borderId="0"/>
    <xf numFmtId="0" fontId="22" fillId="0" borderId="0"/>
    <xf numFmtId="0" fontId="8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81" fillId="0" borderId="8" applyNumberFormat="0" applyFont="0" applyProtection="0">
      <alignment wrapText="1"/>
    </xf>
    <xf numFmtId="43" fontId="18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/>
    <xf numFmtId="0" fontId="81" fillId="0" borderId="0" applyNumberFormat="0" applyProtection="0">
      <alignment vertical="top" wrapText="1"/>
    </xf>
    <xf numFmtId="0" fontId="81" fillId="0" borderId="9" applyNumberFormat="0" applyProtection="0">
      <alignment vertical="top" wrapText="1"/>
    </xf>
    <xf numFmtId="0" fontId="83" fillId="0" borderId="7" applyNumberFormat="0" applyProtection="0">
      <alignment wrapText="1"/>
    </xf>
    <xf numFmtId="0" fontId="83" fillId="0" borderId="10" applyNumberFormat="0" applyProtection="0">
      <alignment horizontal="left" wrapText="1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11" applyNumberFormat="0" applyProtection="0">
      <alignment wrapText="1"/>
    </xf>
    <xf numFmtId="0" fontId="81" fillId="0" borderId="12" applyNumberFormat="0" applyFont="0" applyFill="0" applyProtection="0">
      <alignment wrapText="1"/>
    </xf>
    <xf numFmtId="0" fontId="83" fillId="0" borderId="13" applyNumberFormat="0" applyFill="0" applyProtection="0">
      <alignment wrapText="1"/>
    </xf>
    <xf numFmtId="0" fontId="85" fillId="0" borderId="0" applyNumberFormat="0" applyProtection="0">
      <alignment horizontal="left"/>
    </xf>
    <xf numFmtId="0" fontId="86" fillId="0" borderId="0" applyNumberFormat="0" applyFill="0" applyBorder="0" applyAlignment="0" applyProtection="0"/>
    <xf numFmtId="0" fontId="87" fillId="0" borderId="7" applyNumberFormat="0" applyFill="0" applyAlignment="0" applyProtection="0"/>
    <xf numFmtId="0" fontId="88" fillId="0" borderId="14" applyNumberFormat="0" applyFill="0" applyAlignment="0" applyProtection="0"/>
    <xf numFmtId="0" fontId="89" fillId="0" borderId="15" applyNumberFormat="0" applyFill="0" applyAlignment="0" applyProtection="0"/>
    <xf numFmtId="0" fontId="89" fillId="0" borderId="0" applyNumberFormat="0" applyFill="0" applyBorder="0" applyAlignment="0" applyProtection="0"/>
    <xf numFmtId="0" fontId="90" fillId="3" borderId="0" applyNumberFormat="0" applyBorder="0" applyAlignment="0" applyProtection="0"/>
    <xf numFmtId="0" fontId="91" fillId="4" borderId="0" applyNumberFormat="0" applyBorder="0" applyAlignment="0" applyProtection="0"/>
    <xf numFmtId="0" fontId="92" fillId="5" borderId="0" applyNumberFormat="0" applyBorder="0" applyAlignment="0" applyProtection="0"/>
    <xf numFmtId="0" fontId="93" fillId="6" borderId="16" applyNumberFormat="0" applyAlignment="0" applyProtection="0"/>
    <xf numFmtId="0" fontId="94" fillId="7" borderId="17" applyNumberFormat="0" applyAlignment="0" applyProtection="0"/>
    <xf numFmtId="0" fontId="95" fillId="7" borderId="16" applyNumberFormat="0" applyAlignment="0" applyProtection="0"/>
    <xf numFmtId="0" fontId="96" fillId="0" borderId="18" applyNumberFormat="0" applyFill="0" applyAlignment="0" applyProtection="0"/>
    <xf numFmtId="0" fontId="97" fillId="8" borderId="19" applyNumberFormat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1" applyNumberFormat="0" applyFill="0" applyAlignment="0" applyProtection="0"/>
    <xf numFmtId="0" fontId="10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0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01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01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0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01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9" fillId="55" borderId="32" applyNumberFormat="0" applyFont="0" applyAlignment="0" applyProtection="0"/>
    <xf numFmtId="0" fontId="59" fillId="55" borderId="40" applyNumberFormat="0" applyFont="0" applyAlignment="0" applyProtection="0"/>
    <xf numFmtId="0" fontId="111" fillId="52" borderId="39" applyNumberFormat="0" applyAlignment="0" applyProtection="0"/>
    <xf numFmtId="0" fontId="17" fillId="9" borderId="20" applyNumberFormat="0" applyFont="0" applyAlignment="0" applyProtection="0"/>
    <xf numFmtId="0" fontId="111" fillId="52" borderId="31" applyNumberFormat="0" applyAlignment="0" applyProtection="0"/>
    <xf numFmtId="0" fontId="102" fillId="0" borderId="0"/>
    <xf numFmtId="0" fontId="17" fillId="23" borderId="0" applyNumberFormat="0" applyBorder="0" applyAlignment="0" applyProtection="0"/>
    <xf numFmtId="0" fontId="17" fillId="11" borderId="0" applyNumberFormat="0" applyBorder="0" applyAlignment="0" applyProtection="0"/>
    <xf numFmtId="0" fontId="17" fillId="19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01" fillId="33" borderId="0" applyNumberFormat="0" applyBorder="0" applyAlignment="0" applyProtection="0"/>
    <xf numFmtId="43" fontId="104" fillId="0" borderId="0" applyFont="0" applyFill="0" applyBorder="0" applyAlignment="0" applyProtection="0"/>
    <xf numFmtId="0" fontId="101" fillId="29" borderId="0" applyNumberFormat="0" applyBorder="0" applyAlignment="0" applyProtection="0"/>
    <xf numFmtId="43" fontId="17" fillId="0" borderId="0" applyFont="0" applyFill="0" applyBorder="0" applyAlignment="0" applyProtection="0"/>
    <xf numFmtId="0" fontId="101" fillId="25" borderId="0" applyNumberFormat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1" fillId="21" borderId="0" applyNumberFormat="0" applyBorder="0" applyAlignment="0" applyProtection="0"/>
    <xf numFmtId="43" fontId="104" fillId="0" borderId="0" applyFont="0" applyFill="0" applyBorder="0" applyAlignment="0" applyProtection="0"/>
    <xf numFmtId="0" fontId="101" fillId="17" borderId="0" applyNumberFormat="0" applyBorder="0" applyAlignment="0" applyProtection="0"/>
    <xf numFmtId="43" fontId="104" fillId="0" borderId="0" applyFont="0" applyFill="0" applyBorder="0" applyAlignment="0" applyProtection="0"/>
    <xf numFmtId="0" fontId="101" fillId="13" borderId="0" applyNumberFormat="0" applyBorder="0" applyAlignment="0" applyProtection="0"/>
    <xf numFmtId="43" fontId="104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5" fillId="5" borderId="0" applyNumberFormat="0" applyBorder="0" applyAlignment="0" applyProtection="0"/>
    <xf numFmtId="0" fontId="102" fillId="0" borderId="0"/>
    <xf numFmtId="0" fontId="102" fillId="0" borderId="0"/>
    <xf numFmtId="0" fontId="59" fillId="0" borderId="0">
      <alignment vertical="center"/>
    </xf>
    <xf numFmtId="0" fontId="17" fillId="0" borderId="0"/>
    <xf numFmtId="0" fontId="17" fillId="9" borderId="20" applyNumberFormat="0" applyFont="0" applyAlignment="0" applyProtection="0"/>
    <xf numFmtId="0" fontId="106" fillId="0" borderId="0" applyNumberFormat="0" applyFill="0" applyBorder="0" applyAlignment="0" applyProtection="0"/>
    <xf numFmtId="9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7" fillId="0" borderId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01" fillId="21" borderId="0" applyNumberFormat="0" applyBorder="0" applyAlignment="0" applyProtection="0"/>
    <xf numFmtId="0" fontId="101" fillId="25" borderId="0" applyNumberFormat="0" applyBorder="0" applyAlignment="0" applyProtection="0"/>
    <xf numFmtId="0" fontId="101" fillId="33" borderId="0" applyNumberFormat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7" fillId="0" borderId="0"/>
    <xf numFmtId="0" fontId="102" fillId="0" borderId="0"/>
    <xf numFmtId="0" fontId="107" fillId="0" borderId="0"/>
    <xf numFmtId="0" fontId="17" fillId="0" borderId="0"/>
    <xf numFmtId="0" fontId="17" fillId="9" borderId="20" applyNumberFormat="0" applyFont="0" applyAlignment="0" applyProtection="0"/>
    <xf numFmtId="0" fontId="17" fillId="9" borderId="20" applyNumberFormat="0" applyFont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01" fillId="21" borderId="0" applyNumberFormat="0" applyBorder="0" applyAlignment="0" applyProtection="0"/>
    <xf numFmtId="0" fontId="101" fillId="25" borderId="0" applyNumberFormat="0" applyBorder="0" applyAlignment="0" applyProtection="0"/>
    <xf numFmtId="0" fontId="101" fillId="33" borderId="0" applyNumberFormat="0" applyBorder="0" applyAlignment="0" applyProtection="0"/>
    <xf numFmtId="0" fontId="17" fillId="0" borderId="0"/>
    <xf numFmtId="0" fontId="17" fillId="9" borderId="20" applyNumberFormat="0" applyFont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0" borderId="0" applyNumberFormat="0" applyBorder="0" applyAlignment="0" applyProtection="0"/>
    <xf numFmtId="43" fontId="17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9" borderId="20" applyNumberFormat="0" applyFont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2" borderId="0" applyNumberFormat="0" applyBorder="0" applyAlignment="0" applyProtection="0"/>
    <xf numFmtId="0" fontId="104" fillId="37" borderId="0" applyNumberFormat="0" applyBorder="0" applyAlignment="0" applyProtection="0"/>
    <xf numFmtId="0" fontId="104" fillId="40" borderId="0" applyNumberFormat="0" applyBorder="0" applyAlignment="0" applyProtection="0"/>
    <xf numFmtId="0" fontId="104" fillId="43" borderId="0" applyNumberFormat="0" applyBorder="0" applyAlignment="0" applyProtection="0"/>
    <xf numFmtId="0" fontId="109" fillId="44" borderId="0" applyNumberFormat="0" applyBorder="0" applyAlignment="0" applyProtection="0"/>
    <xf numFmtId="0" fontId="109" fillId="41" borderId="0" applyNumberFormat="0" applyBorder="0" applyAlignment="0" applyProtection="0"/>
    <xf numFmtId="0" fontId="109" fillId="42" borderId="0" applyNumberFormat="0" applyBorder="0" applyAlignment="0" applyProtection="0"/>
    <xf numFmtId="0" fontId="109" fillId="45" borderId="0" applyNumberFormat="0" applyBorder="0" applyAlignment="0" applyProtection="0"/>
    <xf numFmtId="0" fontId="109" fillId="46" borderId="0" applyNumberFormat="0" applyBorder="0" applyAlignment="0" applyProtection="0"/>
    <xf numFmtId="0" fontId="109" fillId="47" borderId="0" applyNumberFormat="0" applyBorder="0" applyAlignment="0" applyProtection="0"/>
    <xf numFmtId="0" fontId="109" fillId="48" borderId="0" applyNumberFormat="0" applyBorder="0" applyAlignment="0" applyProtection="0"/>
    <xf numFmtId="0" fontId="109" fillId="49" borderId="0" applyNumberFormat="0" applyBorder="0" applyAlignment="0" applyProtection="0"/>
    <xf numFmtId="0" fontId="109" fillId="50" borderId="0" applyNumberFormat="0" applyBorder="0" applyAlignment="0" applyProtection="0"/>
    <xf numFmtId="0" fontId="109" fillId="45" borderId="0" applyNumberFormat="0" applyBorder="0" applyAlignment="0" applyProtection="0"/>
    <xf numFmtId="0" fontId="109" fillId="46" borderId="0" applyNumberFormat="0" applyBorder="0" applyAlignment="0" applyProtection="0"/>
    <xf numFmtId="0" fontId="109" fillId="51" borderId="0" applyNumberFormat="0" applyBorder="0" applyAlignment="0" applyProtection="0"/>
    <xf numFmtId="0" fontId="110" fillId="35" borderId="0" applyNumberFormat="0" applyBorder="0" applyAlignment="0" applyProtection="0"/>
    <xf numFmtId="0" fontId="111" fillId="52" borderId="22" applyNumberFormat="0" applyAlignment="0" applyProtection="0"/>
    <xf numFmtId="0" fontId="112" fillId="53" borderId="23" applyNumberFormat="0" applyAlignment="0" applyProtection="0"/>
    <xf numFmtId="43" fontId="59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4" fillId="36" borderId="0" applyNumberFormat="0" applyBorder="0" applyAlignment="0" applyProtection="0"/>
    <xf numFmtId="0" fontId="115" fillId="0" borderId="24" applyNumberFormat="0" applyFill="0" applyAlignment="0" applyProtection="0"/>
    <xf numFmtId="0" fontId="116" fillId="0" borderId="25" applyNumberFormat="0" applyFill="0" applyAlignment="0" applyProtection="0"/>
    <xf numFmtId="0" fontId="117" fillId="0" borderId="26" applyNumberFormat="0" applyFill="0" applyAlignment="0" applyProtection="0"/>
    <xf numFmtId="0" fontId="117" fillId="0" borderId="0" applyNumberFormat="0" applyFill="0" applyBorder="0" applyAlignment="0" applyProtection="0"/>
    <xf numFmtId="0" fontId="118" fillId="39" borderId="22" applyNumberFormat="0" applyAlignment="0" applyProtection="0"/>
    <xf numFmtId="0" fontId="119" fillId="0" borderId="27" applyNumberFormat="0" applyFill="0" applyAlignment="0" applyProtection="0"/>
    <xf numFmtId="0" fontId="120" fillId="54" borderId="0" applyNumberFormat="0" applyBorder="0" applyAlignment="0" applyProtection="0"/>
    <xf numFmtId="0" fontId="59" fillId="0" borderId="0"/>
    <xf numFmtId="0" fontId="59" fillId="55" borderId="28" applyNumberFormat="0" applyFont="0" applyAlignment="0" applyProtection="0"/>
    <xf numFmtId="0" fontId="59" fillId="55" borderId="28" applyNumberFormat="0" applyFont="0" applyAlignment="0" applyProtection="0"/>
    <xf numFmtId="0" fontId="121" fillId="52" borderId="29" applyNumberFormat="0" applyAlignment="0" applyProtection="0"/>
    <xf numFmtId="9" fontId="5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30" applyNumberFormat="0" applyFill="0" applyAlignment="0" applyProtection="0"/>
    <xf numFmtId="0" fontId="124" fillId="0" borderId="0" applyNumberFormat="0" applyFill="0" applyBorder="0" applyAlignment="0" applyProtection="0"/>
    <xf numFmtId="0" fontId="17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02" fillId="0" borderId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0" borderId="0" applyNumberFormat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9" borderId="20" applyNumberFormat="0" applyFont="0" applyAlignment="0" applyProtection="0"/>
    <xf numFmtId="0" fontId="106" fillId="0" borderId="0" applyNumberFormat="0" applyFill="0" applyBorder="0" applyAlignment="0" applyProtection="0"/>
    <xf numFmtId="9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9" borderId="20" applyNumberFormat="0" applyFont="0" applyAlignment="0" applyProtection="0"/>
    <xf numFmtId="0" fontId="17" fillId="9" borderId="20" applyNumberFormat="0" applyFont="0" applyAlignment="0" applyProtection="0"/>
    <xf numFmtId="0" fontId="17" fillId="0" borderId="0"/>
    <xf numFmtId="0" fontId="17" fillId="9" borderId="20" applyNumberFormat="0" applyFont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0" borderId="0" applyNumberFormat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9" borderId="20" applyNumberFormat="0" applyFont="0" applyAlignment="0" applyProtection="0"/>
    <xf numFmtId="0" fontId="118" fillId="39" borderId="39" applyNumberFormat="0" applyAlignment="0" applyProtection="0"/>
    <xf numFmtId="0" fontId="59" fillId="55" borderId="36" applyNumberFormat="0" applyFont="0" applyAlignment="0" applyProtection="0"/>
    <xf numFmtId="0" fontId="121" fillId="52" borderId="37" applyNumberFormat="0" applyAlignment="0" applyProtection="0"/>
    <xf numFmtId="0" fontId="121" fillId="52" borderId="41" applyNumberFormat="0" applyAlignment="0" applyProtection="0"/>
    <xf numFmtId="0" fontId="123" fillId="0" borderId="42" applyNumberFormat="0" applyFill="0" applyAlignment="0" applyProtection="0"/>
    <xf numFmtId="0" fontId="123" fillId="0" borderId="34" applyNumberFormat="0" applyFill="0" applyAlignment="0" applyProtection="0"/>
    <xf numFmtId="0" fontId="59" fillId="55" borderId="40" applyNumberFormat="0" applyFont="0" applyAlignment="0" applyProtection="0"/>
    <xf numFmtId="0" fontId="111" fillId="52" borderId="35" applyNumberFormat="0" applyAlignment="0" applyProtection="0"/>
    <xf numFmtId="0" fontId="59" fillId="55" borderId="32" applyNumberFormat="0" applyFont="0" applyAlignment="0" applyProtection="0"/>
    <xf numFmtId="0" fontId="123" fillId="0" borderId="38" applyNumberFormat="0" applyFill="0" applyAlignment="0" applyProtection="0"/>
    <xf numFmtId="0" fontId="118" fillId="39" borderId="31" applyNumberFormat="0" applyAlignment="0" applyProtection="0"/>
    <xf numFmtId="0" fontId="59" fillId="55" borderId="36" applyNumberFormat="0" applyFont="0" applyAlignment="0" applyProtection="0"/>
    <xf numFmtId="0" fontId="121" fillId="52" borderId="33" applyNumberFormat="0" applyAlignment="0" applyProtection="0"/>
    <xf numFmtId="0" fontId="118" fillId="39" borderId="35" applyNumberFormat="0" applyAlignment="0" applyProtection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9" borderId="20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9" borderId="20" applyNumberFormat="0" applyFont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9" borderId="20" applyNumberFormat="0" applyFont="0" applyAlignment="0" applyProtection="0"/>
    <xf numFmtId="0" fontId="7" fillId="9" borderId="20" applyNumberFormat="0" applyFont="0" applyAlignment="0" applyProtection="0"/>
    <xf numFmtId="0" fontId="7" fillId="0" borderId="0"/>
    <xf numFmtId="0" fontId="7" fillId="9" borderId="20" applyNumberFormat="0" applyFont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9" borderId="20" applyNumberFormat="0" applyFont="0" applyAlignment="0" applyProtection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9" borderId="20" applyNumberFormat="0" applyFont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9" borderId="20" applyNumberFormat="0" applyFont="0" applyAlignment="0" applyProtection="0"/>
    <xf numFmtId="0" fontId="7" fillId="9" borderId="20" applyNumberFormat="0" applyFont="0" applyAlignment="0" applyProtection="0"/>
    <xf numFmtId="0" fontId="7" fillId="0" borderId="0"/>
    <xf numFmtId="0" fontId="7" fillId="9" borderId="20" applyNumberFormat="0" applyFont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9" borderId="20" applyNumberFormat="0" applyFont="0" applyAlignment="0" applyProtection="0"/>
    <xf numFmtId="0" fontId="111" fillId="52" borderId="43" applyNumberFormat="0" applyAlignment="0" applyProtection="0"/>
    <xf numFmtId="0" fontId="118" fillId="39" borderId="43" applyNumberFormat="0" applyAlignment="0" applyProtection="0"/>
    <xf numFmtId="0" fontId="59" fillId="55" borderId="44" applyNumberFormat="0" applyFont="0" applyAlignment="0" applyProtection="0"/>
    <xf numFmtId="0" fontId="59" fillId="55" borderId="44" applyNumberFormat="0" applyFont="0" applyAlignment="0" applyProtection="0"/>
    <xf numFmtId="0" fontId="121" fillId="52" borderId="45" applyNumberFormat="0" applyAlignment="0" applyProtection="0"/>
    <xf numFmtId="0" fontId="123" fillId="0" borderId="46" applyNumberFormat="0" applyFill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9" borderId="20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9" borderId="20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1" fillId="52" borderId="51" applyNumberFormat="0" applyAlignment="0" applyProtection="0"/>
    <xf numFmtId="0" fontId="4" fillId="0" borderId="0"/>
    <xf numFmtId="0" fontId="4" fillId="0" borderId="0"/>
    <xf numFmtId="0" fontId="4" fillId="9" borderId="20" applyNumberFormat="0" applyFont="0" applyAlignment="0" applyProtection="0"/>
    <xf numFmtId="0" fontId="4" fillId="9" borderId="20" applyNumberFormat="0" applyFont="0" applyAlignment="0" applyProtection="0"/>
    <xf numFmtId="0" fontId="4" fillId="0" borderId="0"/>
    <xf numFmtId="0" fontId="4" fillId="9" borderId="20" applyNumberFormat="0" applyFont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9" borderId="20" applyNumberFormat="0" applyFont="0" applyAlignment="0" applyProtection="0"/>
    <xf numFmtId="0" fontId="118" fillId="39" borderId="51" applyNumberForma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23" fillId="0" borderId="54" applyNumberFormat="0" applyFill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9" borderId="20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9" borderId="20" applyNumberFormat="0" applyFont="0" applyAlignment="0" applyProtection="0"/>
    <xf numFmtId="0" fontId="4" fillId="9" borderId="20" applyNumberFormat="0" applyFont="0" applyAlignment="0" applyProtection="0"/>
    <xf numFmtId="0" fontId="4" fillId="0" borderId="0"/>
    <xf numFmtId="0" fontId="4" fillId="9" borderId="20" applyNumberFormat="0" applyFont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9" borderId="20" applyNumberFormat="0" applyFont="0" applyAlignment="0" applyProtection="0"/>
    <xf numFmtId="0" fontId="4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121" fillId="52" borderId="53" applyNumberFormat="0" applyAlignment="0" applyProtection="0"/>
    <xf numFmtId="0" fontId="59" fillId="55" borderId="52" applyNumberFormat="0" applyFont="0" applyAlignment="0" applyProtection="0"/>
    <xf numFmtId="0" fontId="111" fillId="52" borderId="47" applyNumberFormat="0" applyAlignment="0" applyProtection="0"/>
    <xf numFmtId="0" fontId="118" fillId="39" borderId="47" applyNumberFormat="0" applyAlignment="0" applyProtection="0"/>
    <xf numFmtId="0" fontId="59" fillId="55" borderId="48" applyNumberFormat="0" applyFont="0" applyAlignment="0" applyProtection="0"/>
    <xf numFmtId="0" fontId="59" fillId="55" borderId="48" applyNumberFormat="0" applyFont="0" applyAlignment="0" applyProtection="0"/>
    <xf numFmtId="0" fontId="121" fillId="52" borderId="49" applyNumberFormat="0" applyAlignment="0" applyProtection="0"/>
    <xf numFmtId="0" fontId="123" fillId="0" borderId="50" applyNumberFormat="0" applyFill="0" applyAlignment="0" applyProtection="0"/>
    <xf numFmtId="0" fontId="59" fillId="55" borderId="52" applyNumberFormat="0" applyFont="0" applyAlignment="0" applyProtection="0"/>
    <xf numFmtId="0" fontId="128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7" fontId="102" fillId="0" borderId="0"/>
    <xf numFmtId="0" fontId="129" fillId="0" borderId="0" applyNumberFormat="0" applyFill="0" applyBorder="0" applyAlignment="0" applyProtection="0">
      <alignment vertical="top"/>
      <protection locked="0"/>
    </xf>
    <xf numFmtId="37" fontId="130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9" borderId="20" applyNumberFormat="0" applyFont="0" applyAlignment="0" applyProtection="0"/>
    <xf numFmtId="0" fontId="59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3" fillId="0" borderId="0"/>
    <xf numFmtId="43" fontId="6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14">
    <xf numFmtId="0" fontId="0" fillId="0" borderId="0" xfId="0"/>
    <xf numFmtId="0" fontId="60" fillId="0" borderId="0" xfId="8"/>
    <xf numFmtId="0" fontId="61" fillId="0" borderId="0" xfId="8" applyFont="1"/>
    <xf numFmtId="0" fontId="66" fillId="0" borderId="0" xfId="8" applyFont="1"/>
    <xf numFmtId="0" fontId="67" fillId="0" borderId="0" xfId="8" applyFont="1"/>
    <xf numFmtId="168" fontId="68" fillId="0" borderId="0" xfId="1" applyNumberFormat="1" applyFont="1" applyFill="1" applyBorder="1" applyAlignment="1">
      <alignment horizontal="center"/>
    </xf>
    <xf numFmtId="168" fontId="68" fillId="0" borderId="0" xfId="1" applyNumberFormat="1" applyFont="1" applyFill="1" applyBorder="1" applyAlignment="1">
      <alignment horizontal="right" indent="1"/>
    </xf>
    <xf numFmtId="0" fontId="74" fillId="0" borderId="0" xfId="7" applyFont="1" applyAlignment="1">
      <alignment horizontal="left"/>
    </xf>
    <xf numFmtId="0" fontId="75" fillId="0" borderId="0" xfId="5" applyFont="1" applyAlignment="1" applyProtection="1"/>
    <xf numFmtId="14" fontId="74" fillId="0" borderId="0" xfId="7" applyNumberFormat="1" applyFont="1" applyAlignment="1">
      <alignment horizontal="left"/>
    </xf>
    <xf numFmtId="0" fontId="75" fillId="0" borderId="0" xfId="4" applyFont="1" applyAlignment="1" applyProtection="1"/>
    <xf numFmtId="0" fontId="68" fillId="0" borderId="0" xfId="7" quotePrefix="1" applyFont="1" applyAlignment="1">
      <alignment horizontal="left"/>
    </xf>
    <xf numFmtId="0" fontId="68" fillId="0" borderId="0" xfId="8" applyFont="1" applyAlignment="1">
      <alignment wrapText="1"/>
    </xf>
    <xf numFmtId="168" fontId="68" fillId="0" borderId="0" xfId="1" applyNumberFormat="1" applyFont="1" applyFill="1" applyBorder="1" applyAlignment="1">
      <alignment horizontal="right"/>
    </xf>
    <xf numFmtId="0" fontId="68" fillId="0" borderId="1" xfId="0" applyFont="1" applyBorder="1"/>
    <xf numFmtId="0" fontId="68" fillId="0" borderId="0" xfId="0" applyFont="1"/>
    <xf numFmtId="0" fontId="68" fillId="0" borderId="2" xfId="0" applyFont="1" applyBorder="1" applyAlignment="1">
      <alignment horizontal="right"/>
    </xf>
    <xf numFmtId="0" fontId="68" fillId="0" borderId="0" xfId="0" applyFont="1" applyAlignment="1">
      <alignment horizontal="center"/>
    </xf>
    <xf numFmtId="0" fontId="0" fillId="0" borderId="2" xfId="0" applyBorder="1"/>
    <xf numFmtId="0" fontId="68" fillId="0" borderId="2" xfId="0" applyFont="1" applyBorder="1" applyAlignment="1">
      <alignment horizontal="left"/>
    </xf>
    <xf numFmtId="0" fontId="68" fillId="0" borderId="0" xfId="0" applyFont="1" applyAlignment="1">
      <alignment horizontal="right"/>
    </xf>
    <xf numFmtId="16" fontId="68" fillId="0" borderId="1" xfId="0" quotePrefix="1" applyNumberFormat="1" applyFont="1" applyBorder="1"/>
    <xf numFmtId="16" fontId="68" fillId="0" borderId="1" xfId="0" applyNumberFormat="1" applyFont="1" applyBorder="1"/>
    <xf numFmtId="0" fontId="68" fillId="0" borderId="1" xfId="0" applyFont="1" applyBorder="1" applyAlignment="1">
      <alignment horizontal="center"/>
    </xf>
    <xf numFmtId="0" fontId="68" fillId="0" borderId="1" xfId="0" applyFont="1" applyBorder="1" applyAlignment="1">
      <alignment horizontal="right"/>
    </xf>
    <xf numFmtId="0" fontId="68" fillId="0" borderId="1" xfId="0" applyFont="1" applyBorder="1" applyAlignment="1">
      <alignment horizontal="right" indent="1"/>
    </xf>
    <xf numFmtId="0" fontId="0" fillId="0" borderId="0" xfId="0" applyAlignment="1">
      <alignment horizontal="left" indent="1"/>
    </xf>
    <xf numFmtId="0" fontId="69" fillId="0" borderId="0" xfId="0" quotePrefix="1" applyFont="1" applyAlignment="1">
      <alignment horizontal="right"/>
    </xf>
    <xf numFmtId="164" fontId="68" fillId="0" borderId="0" xfId="1" applyNumberFormat="1" applyFont="1" applyFill="1" applyBorder="1"/>
    <xf numFmtId="164" fontId="68" fillId="0" borderId="0" xfId="1" applyNumberFormat="1" applyFont="1" applyFill="1" applyBorder="1" applyAlignment="1">
      <alignment horizontal="right"/>
    </xf>
    <xf numFmtId="0" fontId="74" fillId="0" borderId="0" xfId="0" applyFont="1"/>
    <xf numFmtId="168" fontId="68" fillId="0" borderId="0" xfId="1" quotePrefix="1" applyNumberFormat="1" applyFont="1" applyFill="1" applyBorder="1" applyAlignment="1">
      <alignment horizontal="right"/>
    </xf>
    <xf numFmtId="164" fontId="68" fillId="0" borderId="0" xfId="1" applyNumberFormat="1" applyFont="1" applyFill="1" applyBorder="1" applyAlignment="1">
      <alignment horizontal="center"/>
    </xf>
    <xf numFmtId="164" fontId="68" fillId="0" borderId="0" xfId="1" quotePrefix="1" applyNumberFormat="1" applyFont="1" applyFill="1" applyBorder="1" applyAlignment="1">
      <alignment horizontal="center"/>
    </xf>
    <xf numFmtId="168" fontId="0" fillId="0" borderId="0" xfId="0" applyNumberFormat="1"/>
    <xf numFmtId="164" fontId="68" fillId="0" borderId="0" xfId="1" applyNumberFormat="1" applyFont="1" applyFill="1"/>
    <xf numFmtId="14" fontId="68" fillId="0" borderId="0" xfId="0" applyNumberFormat="1" applyFont="1" applyAlignment="1">
      <alignment horizontal="left"/>
    </xf>
    <xf numFmtId="3" fontId="68" fillId="0" borderId="0" xfId="1" applyNumberFormat="1" applyFont="1" applyFill="1" applyAlignment="1">
      <alignment horizontal="right" indent="1"/>
    </xf>
    <xf numFmtId="3" fontId="68" fillId="0" borderId="0" xfId="1" applyNumberFormat="1" applyFont="1" applyFill="1" applyAlignment="1">
      <alignment horizontal="center"/>
    </xf>
    <xf numFmtId="168" fontId="68" fillId="0" borderId="0" xfId="1" applyNumberFormat="1" applyFont="1" applyFill="1" applyBorder="1" applyAlignment="1">
      <alignment horizontal="right" indent="2"/>
    </xf>
    <xf numFmtId="164" fontId="0" fillId="0" borderId="0" xfId="1" applyNumberFormat="1" applyFont="1" applyFill="1" applyBorder="1"/>
    <xf numFmtId="164" fontId="0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/>
    <xf numFmtId="165" fontId="68" fillId="0" borderId="1" xfId="1" applyNumberFormat="1" applyFont="1" applyFill="1" applyBorder="1" applyAlignment="1">
      <alignment horizontal="right"/>
    </xf>
    <xf numFmtId="16" fontId="68" fillId="0" borderId="0" xfId="0" applyNumberFormat="1" applyFont="1"/>
    <xf numFmtId="0" fontId="69" fillId="0" borderId="0" xfId="0" applyFont="1" applyAlignment="1">
      <alignment horizontal="center"/>
    </xf>
    <xf numFmtId="2" fontId="68" fillId="0" borderId="0" xfId="0" applyNumberFormat="1" applyFont="1" applyAlignment="1">
      <alignment horizontal="right" indent="2"/>
    </xf>
    <xf numFmtId="43" fontId="68" fillId="0" borderId="0" xfId="1" applyFont="1" applyFill="1" applyBorder="1" applyAlignment="1">
      <alignment horizontal="center"/>
    </xf>
    <xf numFmtId="0" fontId="74" fillId="0" borderId="0" xfId="0" quotePrefix="1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left" indent="1"/>
    </xf>
    <xf numFmtId="0" fontId="68" fillId="0" borderId="3" xfId="0" applyFont="1" applyBorder="1" applyAlignment="1">
      <alignment horizontal="center"/>
    </xf>
    <xf numFmtId="0" fontId="68" fillId="0" borderId="1" xfId="0" applyFont="1" applyBorder="1" applyAlignment="1">
      <alignment horizontal="left"/>
    </xf>
    <xf numFmtId="0" fontId="69" fillId="0" borderId="3" xfId="0" quotePrefix="1" applyFont="1" applyBorder="1"/>
    <xf numFmtId="0" fontId="69" fillId="0" borderId="3" xfId="0" applyFont="1" applyBorder="1"/>
    <xf numFmtId="2" fontId="68" fillId="0" borderId="0" xfId="0" applyNumberFormat="1" applyFont="1" applyAlignment="1">
      <alignment horizontal="center"/>
    </xf>
    <xf numFmtId="43" fontId="68" fillId="0" borderId="0" xfId="0" applyNumberFormat="1" applyFont="1"/>
    <xf numFmtId="0" fontId="63" fillId="0" borderId="0" xfId="0" applyFont="1"/>
    <xf numFmtId="2" fontId="0" fillId="0" borderId="0" xfId="0" applyNumberFormat="1"/>
    <xf numFmtId="165" fontId="68" fillId="0" borderId="0" xfId="1" applyNumberFormat="1" applyFont="1" applyFill="1" applyBorder="1" applyAlignment="1">
      <alignment horizontal="center"/>
    </xf>
    <xf numFmtId="47" fontId="0" fillId="0" borderId="0" xfId="0" applyNumberFormat="1"/>
    <xf numFmtId="43" fontId="0" fillId="0" borderId="0" xfId="1" applyFont="1" applyFill="1"/>
    <xf numFmtId="0" fontId="72" fillId="0" borderId="0" xfId="0" applyFont="1" applyAlignment="1">
      <alignment vertical="center"/>
    </xf>
    <xf numFmtId="2" fontId="68" fillId="0" borderId="0" xfId="0" applyNumberFormat="1" applyFont="1"/>
    <xf numFmtId="43" fontId="0" fillId="0" borderId="0" xfId="1" applyFont="1" applyFill="1" applyBorder="1"/>
    <xf numFmtId="43" fontId="0" fillId="0" borderId="0" xfId="0" applyNumberFormat="1"/>
    <xf numFmtId="0" fontId="68" fillId="0" borderId="3" xfId="0" applyFont="1" applyBorder="1"/>
    <xf numFmtId="165" fontId="68" fillId="0" borderId="0" xfId="1" applyNumberFormat="1" applyFont="1" applyFill="1"/>
    <xf numFmtId="37" fontId="68" fillId="0" borderId="0" xfId="1" applyNumberFormat="1" applyFont="1" applyFill="1" applyBorder="1" applyAlignment="1">
      <alignment horizontal="center"/>
    </xf>
    <xf numFmtId="165" fontId="68" fillId="0" borderId="0" xfId="1" applyNumberFormat="1" applyFont="1" applyFill="1" applyBorder="1"/>
    <xf numFmtId="9" fontId="68" fillId="0" borderId="0" xfId="12" applyFont="1" applyFill="1"/>
    <xf numFmtId="0" fontId="69" fillId="0" borderId="4" xfId="0" applyFont="1" applyBorder="1" applyAlignment="1">
      <alignment horizontal="center"/>
    </xf>
    <xf numFmtId="14" fontId="68" fillId="0" borderId="0" xfId="0" applyNumberFormat="1" applyFont="1" applyAlignment="1">
      <alignment horizontal="right" indent="1"/>
    </xf>
    <xf numFmtId="0" fontId="68" fillId="0" borderId="0" xfId="0" applyFont="1" applyAlignment="1">
      <alignment vertical="center"/>
    </xf>
    <xf numFmtId="0" fontId="68" fillId="0" borderId="0" xfId="0" applyFont="1" applyAlignment="1">
      <alignment vertical="center" wrapText="1"/>
    </xf>
    <xf numFmtId="168" fontId="68" fillId="0" borderId="0" xfId="1" applyNumberFormat="1" applyFont="1" applyFill="1" applyAlignment="1">
      <alignment horizontal="center"/>
    </xf>
    <xf numFmtId="0" fontId="70" fillId="0" borderId="3" xfId="0" applyFont="1" applyBorder="1"/>
    <xf numFmtId="164" fontId="68" fillId="0" borderId="3" xfId="0" applyNumberFormat="1" applyFont="1" applyBorder="1"/>
    <xf numFmtId="169" fontId="0" fillId="0" borderId="0" xfId="1" applyNumberFormat="1" applyFont="1" applyFill="1" applyBorder="1"/>
    <xf numFmtId="0" fontId="59" fillId="0" borderId="0" xfId="8" applyFont="1"/>
    <xf numFmtId="0" fontId="59" fillId="0" borderId="0" xfId="0" applyFont="1"/>
    <xf numFmtId="4" fontId="77" fillId="0" borderId="0" xfId="0" applyNumberFormat="1" applyFont="1"/>
    <xf numFmtId="170" fontId="63" fillId="0" borderId="0" xfId="12" applyNumberFormat="1" applyFont="1" applyFill="1"/>
    <xf numFmtId="4" fontId="0" fillId="0" borderId="0" xfId="0" applyNumberFormat="1"/>
    <xf numFmtId="171" fontId="77" fillId="0" borderId="0" xfId="0" applyNumberFormat="1" applyFont="1"/>
    <xf numFmtId="2" fontId="76" fillId="0" borderId="0" xfId="0" applyNumberFormat="1" applyFont="1" applyAlignment="1">
      <alignment horizontal="center"/>
    </xf>
    <xf numFmtId="37" fontId="68" fillId="0" borderId="0" xfId="0" applyNumberFormat="1" applyFont="1" applyAlignment="1">
      <alignment vertical="center" wrapText="1"/>
    </xf>
    <xf numFmtId="170" fontId="0" fillId="0" borderId="0" xfId="12" applyNumberFormat="1" applyFont="1"/>
    <xf numFmtId="2" fontId="76" fillId="0" borderId="0" xfId="0" applyNumberFormat="1" applyFont="1" applyAlignment="1">
      <alignment horizontal="right" indent="2"/>
    </xf>
    <xf numFmtId="9" fontId="0" fillId="0" borderId="0" xfId="12" applyFont="1"/>
    <xf numFmtId="3" fontId="76" fillId="0" borderId="0" xfId="1" applyNumberFormat="1" applyFont="1" applyFill="1" applyBorder="1" applyAlignment="1">
      <alignment horizontal="right"/>
    </xf>
    <xf numFmtId="3" fontId="59" fillId="0" borderId="0" xfId="0" applyNumberFormat="1" applyFon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68" fontId="68" fillId="0" borderId="0" xfId="1" applyNumberFormat="1" applyFont="1" applyAlignment="1">
      <alignment horizontal="right" indent="1"/>
    </xf>
    <xf numFmtId="166" fontId="68" fillId="0" borderId="0" xfId="0" applyNumberFormat="1" applyFont="1"/>
    <xf numFmtId="168" fontId="76" fillId="0" borderId="0" xfId="1" applyNumberFormat="1" applyFont="1" applyFill="1" applyBorder="1" applyAlignment="1">
      <alignment horizontal="right" indent="1"/>
    </xf>
    <xf numFmtId="0" fontId="78" fillId="0" borderId="0" xfId="0" applyFont="1"/>
    <xf numFmtId="168" fontId="68" fillId="0" borderId="0" xfId="1" applyNumberFormat="1" applyFont="1" applyFill="1" applyAlignment="1">
      <alignment horizontal="right" indent="1"/>
    </xf>
    <xf numFmtId="168" fontId="68" fillId="2" borderId="0" xfId="1" applyNumberFormat="1" applyFont="1" applyFill="1" applyBorder="1" applyAlignment="1">
      <alignment horizontal="right" indent="2"/>
    </xf>
    <xf numFmtId="168" fontId="68" fillId="2" borderId="0" xfId="1" applyNumberFormat="1" applyFont="1" applyFill="1" applyBorder="1" applyAlignment="1">
      <alignment horizontal="right" indent="1"/>
    </xf>
    <xf numFmtId="168" fontId="79" fillId="0" borderId="0" xfId="1" applyNumberFormat="1" applyFont="1" applyFill="1" applyBorder="1" applyAlignment="1">
      <alignment horizontal="right"/>
    </xf>
    <xf numFmtId="168" fontId="76" fillId="0" borderId="0" xfId="1" applyNumberFormat="1" applyFont="1" applyFill="1" applyBorder="1" applyAlignment="1">
      <alignment horizontal="right"/>
    </xf>
    <xf numFmtId="37" fontId="0" fillId="0" borderId="0" xfId="0" applyNumberFormat="1"/>
    <xf numFmtId="43" fontId="68" fillId="0" borderId="3" xfId="0" applyNumberFormat="1" applyFont="1" applyBorder="1"/>
    <xf numFmtId="0" fontId="0" fillId="0" borderId="3" xfId="0" applyBorder="1"/>
    <xf numFmtId="167" fontId="68" fillId="0" borderId="3" xfId="0" applyNumberFormat="1" applyFont="1" applyBorder="1"/>
    <xf numFmtId="0" fontId="69" fillId="0" borderId="3" xfId="0" quotePrefix="1" applyFont="1" applyBorder="1" applyAlignment="1">
      <alignment horizontal="center"/>
    </xf>
    <xf numFmtId="175" fontId="0" fillId="0" borderId="0" xfId="0" applyNumberFormat="1"/>
    <xf numFmtId="176" fontId="0" fillId="0" borderId="0" xfId="0" applyNumberFormat="1"/>
    <xf numFmtId="3" fontId="68" fillId="0" borderId="0" xfId="1" applyNumberFormat="1" applyFont="1" applyFill="1" applyBorder="1" applyAlignment="1">
      <alignment horizontal="right" indent="1"/>
    </xf>
    <xf numFmtId="3" fontId="77" fillId="0" borderId="0" xfId="0" applyNumberFormat="1" applyFont="1"/>
    <xf numFmtId="171" fontId="0" fillId="0" borderId="0" xfId="0" applyNumberFormat="1"/>
    <xf numFmtId="37" fontId="68" fillId="0" borderId="0" xfId="0" applyNumberFormat="1" applyFont="1"/>
    <xf numFmtId="165" fontId="0" fillId="0" borderId="0" xfId="1" applyNumberFormat="1" applyFont="1" applyAlignment="1">
      <alignment horizontal="left" indent="1"/>
    </xf>
    <xf numFmtId="2" fontId="68" fillId="2" borderId="0" xfId="0" applyNumberFormat="1" applyFont="1" applyFill="1" applyAlignment="1">
      <alignment horizontal="right" indent="2"/>
    </xf>
    <xf numFmtId="0" fontId="68" fillId="2" borderId="0" xfId="0" applyFont="1" applyFill="1"/>
    <xf numFmtId="164" fontId="76" fillId="0" borderId="0" xfId="1" applyNumberFormat="1" applyFont="1" applyFill="1"/>
    <xf numFmtId="166" fontId="125" fillId="0" borderId="0" xfId="0" applyNumberFormat="1" applyFont="1"/>
    <xf numFmtId="2" fontId="78" fillId="0" borderId="0" xfId="0" applyNumberFormat="1" applyFont="1"/>
    <xf numFmtId="3" fontId="0" fillId="0" borderId="0" xfId="0" applyNumberFormat="1"/>
    <xf numFmtId="0" fontId="0" fillId="2" borderId="0" xfId="0" applyFill="1"/>
    <xf numFmtId="0" fontId="59" fillId="2" borderId="0" xfId="0" applyFont="1" applyFill="1"/>
    <xf numFmtId="164" fontId="68" fillId="2" borderId="0" xfId="1" applyNumberFormat="1" applyFont="1" applyFill="1" applyBorder="1" applyAlignment="1">
      <alignment horizontal="center"/>
    </xf>
    <xf numFmtId="168" fontId="68" fillId="2" borderId="0" xfId="1" applyNumberFormat="1" applyFont="1" applyFill="1" applyBorder="1" applyAlignment="1">
      <alignment horizontal="right"/>
    </xf>
    <xf numFmtId="168" fontId="68" fillId="2" borderId="0" xfId="1" quotePrefix="1" applyNumberFormat="1" applyFont="1" applyFill="1" applyBorder="1" applyAlignment="1">
      <alignment horizontal="right"/>
    </xf>
    <xf numFmtId="172" fontId="0" fillId="2" borderId="0" xfId="0" applyNumberFormat="1" applyFill="1"/>
    <xf numFmtId="2" fontId="126" fillId="0" borderId="0" xfId="12" applyNumberFormat="1" applyFont="1" applyFill="1" applyBorder="1" applyAlignment="1">
      <alignment horizontal="center"/>
    </xf>
    <xf numFmtId="0" fontId="126" fillId="0" borderId="0" xfId="0" applyFont="1"/>
    <xf numFmtId="10" fontId="0" fillId="0" borderId="0" xfId="12" applyNumberFormat="1" applyFont="1"/>
    <xf numFmtId="177" fontId="127" fillId="0" borderId="0" xfId="0" applyNumberFormat="1" applyFont="1"/>
    <xf numFmtId="177" fontId="127" fillId="0" borderId="0" xfId="0" applyNumberFormat="1" applyFont="1" applyAlignment="1">
      <alignment horizontal="right" indent="1"/>
    </xf>
    <xf numFmtId="177" fontId="0" fillId="0" borderId="0" xfId="0" applyNumberFormat="1"/>
    <xf numFmtId="165" fontId="0" fillId="0" borderId="0" xfId="1" applyNumberFormat="1" applyFont="1" applyFill="1" applyAlignment="1">
      <alignment horizontal="left" indent="1"/>
    </xf>
    <xf numFmtId="178" fontId="0" fillId="0" borderId="0" xfId="0" applyNumberFormat="1"/>
    <xf numFmtId="168" fontId="68" fillId="2" borderId="0" xfId="1" applyNumberFormat="1" applyFont="1" applyFill="1" applyAlignment="1">
      <alignment horizontal="right" indent="1"/>
    </xf>
    <xf numFmtId="165" fontId="68" fillId="2" borderId="0" xfId="1" applyNumberFormat="1" applyFont="1" applyFill="1" applyBorder="1" applyAlignment="1">
      <alignment horizontal="center"/>
    </xf>
    <xf numFmtId="168" fontId="76" fillId="2" borderId="0" xfId="1" applyNumberFormat="1" applyFont="1" applyFill="1" applyBorder="1" applyAlignment="1">
      <alignment horizontal="right"/>
    </xf>
    <xf numFmtId="168" fontId="0" fillId="2" borderId="0" xfId="0" applyNumberFormat="1" applyFill="1"/>
    <xf numFmtId="170" fontId="0" fillId="2" borderId="0" xfId="12" applyNumberFormat="1" applyFont="1" applyFill="1"/>
    <xf numFmtId="175" fontId="0" fillId="2" borderId="0" xfId="0" applyNumberFormat="1" applyFill="1"/>
    <xf numFmtId="4" fontId="77" fillId="2" borderId="0" xfId="0" applyNumberFormat="1" applyFont="1" applyFill="1"/>
    <xf numFmtId="168" fontId="68" fillId="2" borderId="0" xfId="1" applyNumberFormat="1" applyFont="1" applyFill="1" applyBorder="1" applyAlignment="1">
      <alignment horizontal="center"/>
    </xf>
    <xf numFmtId="168" fontId="68" fillId="2" borderId="0" xfId="1" applyNumberFormat="1" applyFont="1" applyFill="1" applyAlignment="1">
      <alignment horizontal="center"/>
    </xf>
    <xf numFmtId="2" fontId="0" fillId="2" borderId="0" xfId="0" applyNumberFormat="1" applyFill="1"/>
    <xf numFmtId="165" fontId="125" fillId="0" borderId="0" xfId="660" applyNumberFormat="1" applyFont="1"/>
    <xf numFmtId="165" fontId="68" fillId="0" borderId="3" xfId="1" applyNumberFormat="1" applyFont="1" applyFill="1" applyBorder="1"/>
    <xf numFmtId="170" fontId="0" fillId="0" borderId="0" xfId="12" applyNumberFormat="1" applyFont="1" applyFill="1"/>
    <xf numFmtId="37" fontId="68" fillId="0" borderId="0" xfId="1" applyNumberFormat="1" applyFont="1" applyFill="1" applyBorder="1" applyAlignment="1">
      <alignment horizontal="right" indent="2"/>
    </xf>
    <xf numFmtId="37" fontId="68" fillId="0" borderId="0" xfId="1" applyNumberFormat="1" applyFont="1" applyFill="1" applyBorder="1" applyAlignment="1">
      <alignment horizontal="right" indent="1"/>
    </xf>
    <xf numFmtId="1" fontId="68" fillId="0" borderId="0" xfId="0" applyNumberFormat="1" applyFont="1" applyAlignment="1">
      <alignment horizontal="center"/>
    </xf>
    <xf numFmtId="170" fontId="68" fillId="0" borderId="0" xfId="12" applyNumberFormat="1" applyFont="1"/>
    <xf numFmtId="0" fontId="74" fillId="0" borderId="1" xfId="20" applyFont="1" applyBorder="1"/>
    <xf numFmtId="0" fontId="68" fillId="0" borderId="0" xfId="20" applyFont="1"/>
    <xf numFmtId="0" fontId="66" fillId="0" borderId="1" xfId="0" applyFont="1" applyBorder="1"/>
    <xf numFmtId="171" fontId="74" fillId="2" borderId="0" xfId="1" applyNumberFormat="1" applyFont="1" applyFill="1" applyBorder="1" applyAlignment="1">
      <alignment horizontal="right" indent="1"/>
    </xf>
    <xf numFmtId="168" fontId="76" fillId="2" borderId="0" xfId="1" applyNumberFormat="1" applyFont="1" applyFill="1" applyAlignment="1">
      <alignment horizontal="right" indent="1"/>
    </xf>
    <xf numFmtId="166" fontId="68" fillId="2" borderId="0" xfId="0" applyNumberFormat="1" applyFont="1" applyFill="1" applyAlignment="1">
      <alignment horizontal="center"/>
    </xf>
    <xf numFmtId="165" fontId="68" fillId="2" borderId="0" xfId="1" applyNumberFormat="1" applyFont="1" applyFill="1" applyAlignment="1">
      <alignment horizontal="left"/>
    </xf>
    <xf numFmtId="165" fontId="68" fillId="2" borderId="0" xfId="1" applyNumberFormat="1" applyFont="1" applyFill="1" applyAlignment="1">
      <alignment horizontal="center"/>
    </xf>
    <xf numFmtId="3" fontId="68" fillId="2" borderId="0" xfId="1" applyNumberFormat="1" applyFont="1" applyFill="1" applyBorder="1" applyAlignment="1">
      <alignment horizontal="right" indent="1"/>
    </xf>
    <xf numFmtId="168" fontId="68" fillId="0" borderId="0" xfId="1" applyNumberFormat="1" applyFont="1" applyAlignment="1">
      <alignment horizontal="right"/>
    </xf>
    <xf numFmtId="168" fontId="68" fillId="0" borderId="0" xfId="1" applyNumberFormat="1" applyFont="1" applyFill="1" applyAlignment="1">
      <alignment horizontal="right"/>
    </xf>
    <xf numFmtId="3" fontId="68" fillId="0" borderId="0" xfId="1" applyNumberFormat="1" applyFont="1" applyFill="1" applyAlignment="1">
      <alignment horizontal="right" indent="2"/>
    </xf>
    <xf numFmtId="3" fontId="76" fillId="0" borderId="0" xfId="1" applyNumberFormat="1" applyFont="1" applyFill="1" applyAlignment="1">
      <alignment horizontal="right" indent="1"/>
    </xf>
    <xf numFmtId="3" fontId="68" fillId="0" borderId="0" xfId="1" applyNumberFormat="1" applyFont="1" applyFill="1" applyAlignment="1">
      <alignment horizontal="right"/>
    </xf>
    <xf numFmtId="0" fontId="68" fillId="0" borderId="2" xfId="0" applyFont="1" applyBorder="1" applyAlignment="1">
      <alignment horizontal="center"/>
    </xf>
    <xf numFmtId="0" fontId="69" fillId="0" borderId="3" xfId="0" applyFont="1" applyBorder="1" applyAlignment="1">
      <alignment horizontal="center"/>
    </xf>
    <xf numFmtId="0" fontId="132" fillId="0" borderId="0" xfId="0" applyFont="1"/>
    <xf numFmtId="0" fontId="132" fillId="0" borderId="3" xfId="0" applyFont="1" applyBorder="1"/>
    <xf numFmtId="0" fontId="133" fillId="0" borderId="3" xfId="0" applyFont="1" applyBorder="1"/>
    <xf numFmtId="165" fontId="0" fillId="0" borderId="0" xfId="1" applyNumberFormat="1" applyFont="1"/>
    <xf numFmtId="17" fontId="68" fillId="0" borderId="0" xfId="20" applyNumberFormat="1" applyFont="1" applyAlignment="1">
      <alignment horizontal="left"/>
    </xf>
    <xf numFmtId="41" fontId="76" fillId="0" borderId="0" xfId="20" applyNumberFormat="1" applyFont="1"/>
    <xf numFmtId="0" fontId="68" fillId="0" borderId="0" xfId="20" applyFont="1" applyAlignment="1">
      <alignment vertical="center"/>
    </xf>
    <xf numFmtId="165" fontId="76" fillId="0" borderId="0" xfId="1" applyNumberFormat="1" applyFont="1" applyFill="1"/>
    <xf numFmtId="3" fontId="76" fillId="0" borderId="0" xfId="20" applyNumberFormat="1" applyFont="1"/>
    <xf numFmtId="165" fontId="68" fillId="0" borderId="0" xfId="1" applyNumberFormat="1" applyFont="1"/>
    <xf numFmtId="0" fontId="74" fillId="0" borderId="0" xfId="20" applyFont="1"/>
    <xf numFmtId="0" fontId="74" fillId="0" borderId="1" xfId="20" applyFont="1" applyBorder="1" applyAlignment="1">
      <alignment wrapText="1"/>
    </xf>
    <xf numFmtId="3" fontId="68" fillId="0" borderId="0" xfId="20" applyNumberFormat="1" applyFont="1"/>
    <xf numFmtId="165" fontId="0" fillId="0" borderId="0" xfId="0" applyNumberFormat="1"/>
    <xf numFmtId="0" fontId="134" fillId="0" borderId="0" xfId="0" applyFont="1"/>
    <xf numFmtId="0" fontId="78" fillId="2" borderId="0" xfId="0" applyFont="1" applyFill="1"/>
    <xf numFmtId="4" fontId="135" fillId="0" borderId="0" xfId="0" applyNumberFormat="1" applyFont="1"/>
    <xf numFmtId="4" fontId="135" fillId="2" borderId="0" xfId="0" applyNumberFormat="1" applyFont="1" applyFill="1"/>
    <xf numFmtId="168" fontId="76" fillId="0" borderId="0" xfId="0" applyNumberFormat="1" applyFont="1" applyAlignment="1">
      <alignment horizontal="right" indent="1"/>
    </xf>
    <xf numFmtId="165" fontId="0" fillId="0" borderId="0" xfId="1" applyNumberFormat="1" applyFont="1" applyFill="1"/>
    <xf numFmtId="179" fontId="0" fillId="0" borderId="0" xfId="0" applyNumberFormat="1"/>
    <xf numFmtId="43" fontId="0" fillId="0" borderId="0" xfId="1" applyFont="1"/>
    <xf numFmtId="164" fontId="76" fillId="0" borderId="0" xfId="1" applyNumberFormat="1" applyFont="1" applyFill="1" applyAlignment="1">
      <alignment horizontal="right"/>
    </xf>
    <xf numFmtId="0" fontId="66" fillId="0" borderId="0" xfId="0" applyFont="1"/>
    <xf numFmtId="165" fontId="68" fillId="0" borderId="0" xfId="1" applyNumberFormat="1" applyFont="1" applyFill="1" applyAlignment="1">
      <alignment horizontal="center"/>
    </xf>
    <xf numFmtId="166" fontId="68" fillId="0" borderId="0" xfId="0" applyNumberFormat="1" applyFont="1" applyAlignment="1">
      <alignment horizontal="center"/>
    </xf>
    <xf numFmtId="165" fontId="68" fillId="0" borderId="0" xfId="1" applyNumberFormat="1" applyFont="1" applyFill="1" applyAlignment="1">
      <alignment horizontal="left"/>
    </xf>
    <xf numFmtId="165" fontId="76" fillId="0" borderId="0" xfId="1" applyNumberFormat="1" applyFont="1" applyFill="1" applyAlignment="1">
      <alignment horizontal="center"/>
    </xf>
    <xf numFmtId="165" fontId="76" fillId="0" borderId="0" xfId="1" applyNumberFormat="1" applyFont="1"/>
    <xf numFmtId="37" fontId="68" fillId="0" borderId="1" xfId="1" applyNumberFormat="1" applyFont="1" applyFill="1" applyBorder="1" applyAlignment="1">
      <alignment horizontal="center"/>
    </xf>
    <xf numFmtId="37" fontId="68" fillId="0" borderId="1" xfId="1" applyNumberFormat="1" applyFont="1" applyFill="1" applyBorder="1" applyAlignment="1">
      <alignment horizontal="right" indent="2"/>
    </xf>
    <xf numFmtId="165" fontId="68" fillId="0" borderId="1" xfId="1" applyNumberFormat="1" applyFont="1" applyFill="1" applyBorder="1"/>
    <xf numFmtId="37" fontId="68" fillId="0" borderId="1" xfId="1" applyNumberFormat="1" applyFont="1" applyFill="1" applyBorder="1" applyAlignment="1">
      <alignment horizontal="right" indent="1"/>
    </xf>
    <xf numFmtId="1" fontId="68" fillId="0" borderId="1" xfId="0" applyNumberFormat="1" applyFont="1" applyBorder="1" applyAlignment="1">
      <alignment horizontal="center"/>
    </xf>
    <xf numFmtId="37" fontId="59" fillId="0" borderId="0" xfId="0" applyNumberFormat="1" applyFont="1"/>
    <xf numFmtId="2" fontId="59" fillId="0" borderId="0" xfId="0" applyNumberFormat="1" applyFont="1"/>
    <xf numFmtId="0" fontId="74" fillId="0" borderId="1" xfId="0" applyFont="1" applyBorder="1"/>
    <xf numFmtId="0" fontId="74" fillId="0" borderId="1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9" fillId="0" borderId="3" xfId="0" applyFont="1" applyBorder="1" applyAlignment="1">
      <alignment horizontal="center"/>
    </xf>
    <xf numFmtId="0" fontId="69" fillId="0" borderId="2" xfId="0" quotePrefix="1" applyFont="1" applyBorder="1" applyAlignment="1">
      <alignment horizontal="center"/>
    </xf>
    <xf numFmtId="0" fontId="69" fillId="0" borderId="5" xfId="0" quotePrefix="1" applyFont="1" applyBorder="1" applyAlignment="1">
      <alignment horizontal="center"/>
    </xf>
    <xf numFmtId="0" fontId="69" fillId="0" borderId="6" xfId="0" applyFont="1" applyBorder="1" applyAlignment="1">
      <alignment horizontal="center"/>
    </xf>
    <xf numFmtId="0" fontId="69" fillId="0" borderId="2" xfId="0" applyFont="1" applyBorder="1" applyAlignment="1">
      <alignment horizontal="center"/>
    </xf>
    <xf numFmtId="0" fontId="69" fillId="0" borderId="5" xfId="0" applyFont="1" applyBorder="1" applyAlignment="1">
      <alignment horizontal="center"/>
    </xf>
  </cellXfs>
  <cellStyles count="717">
    <cellStyle name="20% - Accent1" xfId="114" builtinId="30" customBuiltin="1"/>
    <cellStyle name="20% - Accent1 2" xfId="147" xr:uid="{94824244-2101-4E75-A751-7E1198CB157D}"/>
    <cellStyle name="20% - Accent1 2 2" xfId="175" xr:uid="{808E7508-1BBA-4B9C-A53F-432B8933B411}"/>
    <cellStyle name="20% - Accent1 2 2 2" xfId="322" xr:uid="{CBBD6C44-D91F-4F39-AF67-A26598412FDF}"/>
    <cellStyle name="20% - Accent1 2 2 2 2" xfId="490" xr:uid="{05B06E6A-24DF-4E88-8359-FB1A2B20C218}"/>
    <cellStyle name="20% - Accent1 2 2 2 3" xfId="637" xr:uid="{C21D02DE-40EB-4517-9E7C-13F5A0A26101}"/>
    <cellStyle name="20% - Accent1 2 2 3" xfId="427" xr:uid="{98B64A09-388E-498E-8547-ED6E911E9008}"/>
    <cellStyle name="20% - Accent1 2 2 4" xfId="571" xr:uid="{9B764D4E-5675-4900-B304-A9744638F13F}"/>
    <cellStyle name="20% - Accent1 2 3" xfId="243" xr:uid="{DFAACE0A-DDD2-4424-B740-BFF9BF44F6DE}"/>
    <cellStyle name="20% - Accent1 2 3 2" xfId="356" xr:uid="{89AF0E59-C980-4D73-AD5F-E64685BF5A39}"/>
    <cellStyle name="20% - Accent1 2 3 2 2" xfId="524" xr:uid="{B817B76A-E28D-417D-B5E9-3235B4EEBF45}"/>
    <cellStyle name="20% - Accent1 2 3 2 3" xfId="671" xr:uid="{63225E10-D98E-4756-8C97-6B3106E00E48}"/>
    <cellStyle name="20% - Accent1 2 3 3" xfId="461" xr:uid="{36FDAAF6-488B-4CFF-9EF7-D4D588B79B49}"/>
    <cellStyle name="20% - Accent1 2 3 4" xfId="606" xr:uid="{9EF3CD34-28C8-46AC-AB00-48B4A3053479}"/>
    <cellStyle name="20% - Accent1 2 4" xfId="311" xr:uid="{83F36799-25DE-43C1-8B40-C38E43B06862}"/>
    <cellStyle name="20% - Accent1 2 4 2" xfId="482" xr:uid="{F7F20C40-F23D-4222-96D9-093D64E9179D}"/>
    <cellStyle name="20% - Accent1 2 4 3" xfId="629" xr:uid="{D08B27A1-AE7C-449B-9530-7BD7C6FC55B7}"/>
    <cellStyle name="20% - Accent1 2 5" xfId="420" xr:uid="{086CCB9A-F10F-4BD0-AECC-CECF83F47246}"/>
    <cellStyle name="20% - Accent1 2 6" xfId="564" xr:uid="{128C6417-FD98-41E5-847B-4D849B6B23E7}"/>
    <cellStyle name="20% - Accent1 3" xfId="176" xr:uid="{32B0355E-6EDE-4BFF-8288-D97DAF58BA3D}"/>
    <cellStyle name="20% - Accent1 3 2" xfId="323" xr:uid="{8B8A3324-DDA2-4DDC-A40B-277C58DF2E59}"/>
    <cellStyle name="20% - Accent1 3 2 2" xfId="491" xr:uid="{889EB50F-F9C4-42E0-BB6A-E236776D753A}"/>
    <cellStyle name="20% - Accent1 3 2 3" xfId="638" xr:uid="{9991DE64-FCF4-431F-AA0B-41942B7E7567}"/>
    <cellStyle name="20% - Accent1 3 3" xfId="428" xr:uid="{36BE12E4-AA0F-4205-82D6-9FB17C14369E}"/>
    <cellStyle name="20% - Accent1 3 4" xfId="572" xr:uid="{1C8A825D-4493-4C8B-8333-84E166673487}"/>
    <cellStyle name="20% - Accent1 4" xfId="252" xr:uid="{7CEC33F6-0A54-4986-816D-B5CD86F3443E}"/>
    <cellStyle name="20% - Accent1 5" xfId="298" xr:uid="{81C6ED3D-ADA8-4DD1-AB90-65CBC92DDD4E}"/>
    <cellStyle name="20% - Accent1 5 2" xfId="470" xr:uid="{4F3D7150-E006-460C-9645-62992F51D10D}"/>
    <cellStyle name="20% - Accent1 5 3" xfId="616" xr:uid="{3C4EB2EC-83C5-46FB-BAD9-7231CFD52394}"/>
    <cellStyle name="20% - Accent1 6" xfId="401" xr:uid="{9AE55E89-F9DF-4833-9F62-326D28BA61AC}"/>
    <cellStyle name="20% - Accent1 7" xfId="545" xr:uid="{AE10814B-B454-48B6-8240-11FC70B65162}"/>
    <cellStyle name="20% - Accent1 8" xfId="691" xr:uid="{E5349E11-D578-4C28-A1D9-9A2FB2BDABDA}"/>
    <cellStyle name="20% - Accent2" xfId="118" builtinId="34" customBuiltin="1"/>
    <cellStyle name="20% - Accent2 2" xfId="149" xr:uid="{3A6892BC-603E-44F6-A4CD-BDB954335613}"/>
    <cellStyle name="20% - Accent2 2 2" xfId="177" xr:uid="{A4E0B261-34A6-43CE-86A6-B3FE20F6C2EE}"/>
    <cellStyle name="20% - Accent2 2 2 2" xfId="324" xr:uid="{F6DF797F-3B58-4E26-A117-90F2DC8C6BE8}"/>
    <cellStyle name="20% - Accent2 2 2 2 2" xfId="492" xr:uid="{FD8075D9-B0CB-45B8-90F1-6558E750DC91}"/>
    <cellStyle name="20% - Accent2 2 2 2 3" xfId="639" xr:uid="{1E12E7E8-CCDB-4D9E-9225-C7950BCADD5F}"/>
    <cellStyle name="20% - Accent2 2 2 3" xfId="429" xr:uid="{566529F4-1A18-4101-B0F0-37DDEB028598}"/>
    <cellStyle name="20% - Accent2 2 2 4" xfId="573" xr:uid="{2EEF3FB9-9A29-40BA-8F22-60BB80D54E67}"/>
    <cellStyle name="20% - Accent2 2 3" xfId="244" xr:uid="{50C5342E-7F4E-4DA0-8BB2-B9DC64C75676}"/>
    <cellStyle name="20% - Accent2 2 3 2" xfId="357" xr:uid="{A9E457CE-E606-46C1-BAD6-9F04036F9737}"/>
    <cellStyle name="20% - Accent2 2 3 2 2" xfId="525" xr:uid="{37A61EF5-9CF6-4CF5-A478-9053958EF6DD}"/>
    <cellStyle name="20% - Accent2 2 3 2 3" xfId="672" xr:uid="{2AAD6B5F-5B97-4E65-B9BB-3B96BE19B1CA}"/>
    <cellStyle name="20% - Accent2 2 3 3" xfId="462" xr:uid="{9C712771-9205-463F-8A2A-699C5A2B56F6}"/>
    <cellStyle name="20% - Accent2 2 3 4" xfId="607" xr:uid="{940C9792-98F1-4AAB-84B4-F4996D8EE71A}"/>
    <cellStyle name="20% - Accent2 2 4" xfId="312" xr:uid="{A2CC103D-9803-49B7-AFE1-C11F6B1DCEA6}"/>
    <cellStyle name="20% - Accent2 2 4 2" xfId="483" xr:uid="{AF9F4BBE-D758-41BA-9BB3-BD9F7D4CB478}"/>
    <cellStyle name="20% - Accent2 2 4 3" xfId="630" xr:uid="{33CA1F40-D11A-41D6-A22E-A028486D4544}"/>
    <cellStyle name="20% - Accent2 2 5" xfId="422" xr:uid="{848DBB74-DB0A-4D71-9107-A5404B5A64B1}"/>
    <cellStyle name="20% - Accent2 2 6" xfId="566" xr:uid="{0D389ABA-A6AC-4DC0-BB52-168F224B7EAD}"/>
    <cellStyle name="20% - Accent2 3" xfId="178" xr:uid="{6C171EA5-10E1-4380-B85D-BD9AB947C93B}"/>
    <cellStyle name="20% - Accent2 3 2" xfId="325" xr:uid="{8D668A50-5F39-4645-A90D-54BF2D4958AE}"/>
    <cellStyle name="20% - Accent2 3 2 2" xfId="493" xr:uid="{F89209B8-F09F-4A5F-8810-130D5C2CC010}"/>
    <cellStyle name="20% - Accent2 3 2 3" xfId="640" xr:uid="{74C3115D-F217-4A13-8868-AE9EDBA3EA2A}"/>
    <cellStyle name="20% - Accent2 3 3" xfId="430" xr:uid="{0D7049A8-EE28-4F58-84DB-63A1443CAB48}"/>
    <cellStyle name="20% - Accent2 3 4" xfId="574" xr:uid="{1DEFF925-00D0-42D6-A16B-FEC8EA0746AC}"/>
    <cellStyle name="20% - Accent2 4" xfId="253" xr:uid="{237A4AE0-05DB-4BBC-9FC6-21F8CB9985F9}"/>
    <cellStyle name="20% - Accent2 5" xfId="300" xr:uid="{C5ABCD5F-0592-416F-9073-4C31AB0B7D76}"/>
    <cellStyle name="20% - Accent2 5 2" xfId="472" xr:uid="{5AF29854-C227-4929-99B2-BE93300556DC}"/>
    <cellStyle name="20% - Accent2 5 3" xfId="618" xr:uid="{7F2755DF-63BD-4449-AAC2-623432F23A0E}"/>
    <cellStyle name="20% - Accent2 6" xfId="404" xr:uid="{3D0D8644-B29F-4FCE-929C-B25E3956A311}"/>
    <cellStyle name="20% - Accent2 7" xfId="548" xr:uid="{A353CB3D-FCF2-4E0A-AFB0-84E4F9F95F86}"/>
    <cellStyle name="20% - Accent2 8" xfId="693" xr:uid="{85872B68-12BB-4618-974E-48D51EE6A214}"/>
    <cellStyle name="20% - Accent3" xfId="122" builtinId="38" customBuiltin="1"/>
    <cellStyle name="20% - Accent3 2" xfId="148" xr:uid="{26D9BC36-F860-4DB0-92BA-5CCE7700904E}"/>
    <cellStyle name="20% - Accent3 2 2" xfId="179" xr:uid="{C6940E12-74F9-4A68-A3FA-9C0A9AF8C855}"/>
    <cellStyle name="20% - Accent3 2 2 2" xfId="326" xr:uid="{00219586-1666-4D5E-9C8F-7927F6CFFF8D}"/>
    <cellStyle name="20% - Accent3 2 2 2 2" xfId="494" xr:uid="{974536C2-58F3-406D-8748-6FDC6543620C}"/>
    <cellStyle name="20% - Accent3 2 2 2 3" xfId="641" xr:uid="{33D3EDF6-8660-4720-81D5-E8A7D9847EA1}"/>
    <cellStyle name="20% - Accent3 2 2 3" xfId="431" xr:uid="{255DC329-D995-4A83-8073-1CF63816F071}"/>
    <cellStyle name="20% - Accent3 2 2 4" xfId="575" xr:uid="{7B575D5A-2EBD-40CE-ADE8-7D7C11C90BAE}"/>
    <cellStyle name="20% - Accent3 2 3" xfId="245" xr:uid="{2125FD0B-95F0-4249-A4C0-85785EC5E189}"/>
    <cellStyle name="20% - Accent3 2 3 2" xfId="358" xr:uid="{A7994EDF-6D4F-4DD2-AA80-E7ECD9EC5D2A}"/>
    <cellStyle name="20% - Accent3 2 3 2 2" xfId="526" xr:uid="{0F7AD21D-71FA-4094-835A-B89F5E41ACA8}"/>
    <cellStyle name="20% - Accent3 2 3 2 3" xfId="673" xr:uid="{D4898AF4-ED34-41B0-AE0A-660E5690DB67}"/>
    <cellStyle name="20% - Accent3 2 3 3" xfId="463" xr:uid="{7F2ACC1A-47E5-4F38-BD04-F43018463B0E}"/>
    <cellStyle name="20% - Accent3 2 3 4" xfId="608" xr:uid="{0047ACF1-4E69-4225-BBBB-F96E013096A1}"/>
    <cellStyle name="20% - Accent3 2 4" xfId="313" xr:uid="{A392E008-3993-4913-9A74-2289F3F558F7}"/>
    <cellStyle name="20% - Accent3 2 4 2" xfId="484" xr:uid="{0F207972-337D-49E2-B0F0-7D42B6694A27}"/>
    <cellStyle name="20% - Accent3 2 4 3" xfId="631" xr:uid="{2A000E8A-F39A-44BF-9496-A698FADA5FBB}"/>
    <cellStyle name="20% - Accent3 2 5" xfId="421" xr:uid="{5D3063C4-DBB5-4EC4-882C-73CF8DBE8321}"/>
    <cellStyle name="20% - Accent3 2 6" xfId="565" xr:uid="{819D10ED-85A0-4A64-B2C7-E660D39C0DA7}"/>
    <cellStyle name="20% - Accent3 3" xfId="180" xr:uid="{AE82C847-78D6-4B97-8441-AA51646614B2}"/>
    <cellStyle name="20% - Accent3 3 2" xfId="327" xr:uid="{E4842C73-CF9A-46A7-A8D4-C720BAFECC2A}"/>
    <cellStyle name="20% - Accent3 3 2 2" xfId="495" xr:uid="{410357B9-A7B2-4AA2-8A86-4A1D809C069C}"/>
    <cellStyle name="20% - Accent3 3 2 3" xfId="642" xr:uid="{195A7582-E8AA-4A23-8CA2-1DDFE4BE68A9}"/>
    <cellStyle name="20% - Accent3 3 3" xfId="432" xr:uid="{841DAC20-742F-4203-A047-B4AF5C721A19}"/>
    <cellStyle name="20% - Accent3 3 4" xfId="576" xr:uid="{3CF09ECE-7E26-471E-BF59-C881C61DD6AC}"/>
    <cellStyle name="20% - Accent3 4" xfId="254" xr:uid="{40569062-D533-4274-94AE-C7B495BBBAF4}"/>
    <cellStyle name="20% - Accent3 5" xfId="302" xr:uid="{75FC9417-6D6F-4BEC-BBB5-1652C952A4F2}"/>
    <cellStyle name="20% - Accent3 5 2" xfId="474" xr:uid="{534E3502-C93C-417F-940C-C2C89106AE30}"/>
    <cellStyle name="20% - Accent3 5 3" xfId="620" xr:uid="{1A52373C-AD75-4723-9D28-11C430881987}"/>
    <cellStyle name="20% - Accent3 6" xfId="407" xr:uid="{20C864A9-6ED5-41D6-AFE6-DD1317EFD3AD}"/>
    <cellStyle name="20% - Accent3 7" xfId="551" xr:uid="{29086AB7-7D33-4793-8985-EFEDCAE37C28}"/>
    <cellStyle name="20% - Accent3 8" xfId="695" xr:uid="{B7C8059F-6240-4731-B6E0-6BD50A556A47}"/>
    <cellStyle name="20% - Accent4" xfId="126" builtinId="42" customBuiltin="1"/>
    <cellStyle name="20% - Accent4 2" xfId="146" xr:uid="{EFF20614-19C6-4818-8163-E651A637CA6E}"/>
    <cellStyle name="20% - Accent4 2 2" xfId="181" xr:uid="{C477F807-EE2A-4236-A0C5-E1401A15E84A}"/>
    <cellStyle name="20% - Accent4 2 2 2" xfId="328" xr:uid="{1D429CA1-7B52-4EEB-B7A7-4DE1398B029E}"/>
    <cellStyle name="20% - Accent4 2 2 2 2" xfId="496" xr:uid="{A2E3C7DB-32C1-4F50-9404-3F2890C20254}"/>
    <cellStyle name="20% - Accent4 2 2 2 3" xfId="643" xr:uid="{70B4FFA6-96F2-4AAB-9342-EA1F2BFF6592}"/>
    <cellStyle name="20% - Accent4 2 2 3" xfId="433" xr:uid="{663B3809-24D4-4727-B390-B3B671049AAA}"/>
    <cellStyle name="20% - Accent4 2 2 4" xfId="577" xr:uid="{7737A021-F7C9-4529-8202-E02BE14DEA80}"/>
    <cellStyle name="20% - Accent4 2 3" xfId="246" xr:uid="{838D636A-4D49-422F-90B8-C14A3182ECA3}"/>
    <cellStyle name="20% - Accent4 2 3 2" xfId="359" xr:uid="{2D26635D-7002-48A3-80B5-01782ECEA560}"/>
    <cellStyle name="20% - Accent4 2 3 2 2" xfId="527" xr:uid="{675D849B-113D-498E-8A44-84CE6FC31084}"/>
    <cellStyle name="20% - Accent4 2 3 2 3" xfId="674" xr:uid="{0B3BCF21-BA0E-461E-8C39-A9F3BA3C6F2A}"/>
    <cellStyle name="20% - Accent4 2 3 3" xfId="464" xr:uid="{82DCE161-AF0A-4B71-AF06-7F6149BB8AFE}"/>
    <cellStyle name="20% - Accent4 2 3 4" xfId="609" xr:uid="{CD74BF03-A810-4C43-A98B-402B52872029}"/>
    <cellStyle name="20% - Accent4 2 4" xfId="314" xr:uid="{413645D3-3617-43F7-8ECE-552A73C745C5}"/>
    <cellStyle name="20% - Accent4 2 4 2" xfId="485" xr:uid="{19EC5665-1856-492B-938C-93B4E17C042C}"/>
    <cellStyle name="20% - Accent4 2 4 3" xfId="632" xr:uid="{6E2CC84E-6F38-44DC-98DF-22635DD57A96}"/>
    <cellStyle name="20% - Accent4 2 5" xfId="419" xr:uid="{298E3CDE-5ABB-46E6-867C-321CF30960B7}"/>
    <cellStyle name="20% - Accent4 2 6" xfId="563" xr:uid="{7C74BE52-84FC-49F2-83DB-6547C16FE371}"/>
    <cellStyle name="20% - Accent4 3" xfId="182" xr:uid="{77FDE77B-07DD-4466-9C33-45F5E347F898}"/>
    <cellStyle name="20% - Accent4 3 2" xfId="329" xr:uid="{930BA819-24FD-4A10-BCCB-54EEAB1CF8E2}"/>
    <cellStyle name="20% - Accent4 3 2 2" xfId="497" xr:uid="{EECCE36F-6F8F-49E0-B34E-A2E5C651A49C}"/>
    <cellStyle name="20% - Accent4 3 2 3" xfId="644" xr:uid="{2F314B26-06D4-4762-9777-B83613483B2F}"/>
    <cellStyle name="20% - Accent4 3 3" xfId="434" xr:uid="{DD8EE5B2-022E-4B7C-B135-2C09592351A9}"/>
    <cellStyle name="20% - Accent4 3 4" xfId="578" xr:uid="{A5D1D0C7-A8BB-47A2-96EA-62D39E07598D}"/>
    <cellStyle name="20% - Accent4 4" xfId="255" xr:uid="{334DB917-1D99-4C5B-BA46-F86B4E671325}"/>
    <cellStyle name="20% - Accent4 5" xfId="304" xr:uid="{2A33F46A-D1F4-4B8C-A158-560DBF1B8215}"/>
    <cellStyle name="20% - Accent4 5 2" xfId="476" xr:uid="{ED228748-6482-488F-A1CD-7ADE1584E823}"/>
    <cellStyle name="20% - Accent4 5 3" xfId="622" xr:uid="{2E60CF7D-87C5-42C2-A05A-49A2478DD4CB}"/>
    <cellStyle name="20% - Accent4 6" xfId="410" xr:uid="{10EED916-9101-4C03-8B9C-7DD699553004}"/>
    <cellStyle name="20% - Accent4 7" xfId="554" xr:uid="{53712C2A-7B4A-458A-AB33-C01561CE9C45}"/>
    <cellStyle name="20% - Accent4 8" xfId="697" xr:uid="{458FA1B7-B590-4365-B4A6-BA7BAD24AD0B}"/>
    <cellStyle name="20% - Accent5" xfId="130" builtinId="46" customBuiltin="1"/>
    <cellStyle name="20% - Accent5 2" xfId="183" xr:uid="{657F8E32-39A3-4638-8EC1-DDD924C4D6B4}"/>
    <cellStyle name="20% - Accent5 2 2" xfId="330" xr:uid="{3FA1D9DA-02FB-410D-8295-71E299A736BC}"/>
    <cellStyle name="20% - Accent5 2 2 2" xfId="498" xr:uid="{1D86306B-9BD1-4AD3-A91D-DBCA215FE57E}"/>
    <cellStyle name="20% - Accent5 2 2 3" xfId="645" xr:uid="{F81318B0-7E09-42C8-B9B9-61DEF0A1E6E8}"/>
    <cellStyle name="20% - Accent5 2 3" xfId="435" xr:uid="{26D81158-61C6-4E17-ABE6-C7E7EE14685D}"/>
    <cellStyle name="20% - Accent5 2 4" xfId="579" xr:uid="{F720CD9A-4853-4044-91FC-554EA025D6E5}"/>
    <cellStyle name="20% - Accent5 3" xfId="236" xr:uid="{40BC7363-BC63-477D-A10D-0F2E3F55AA99}"/>
    <cellStyle name="20% - Accent5 3 2" xfId="350" xr:uid="{8732B83C-2480-4354-8CF6-248EE2B9ADCC}"/>
    <cellStyle name="20% - Accent5 3 2 2" xfId="518" xr:uid="{BF1FB6F2-B7AD-4A61-AEBD-F79CDFCADB37}"/>
    <cellStyle name="20% - Accent5 3 2 3" xfId="665" xr:uid="{847CB475-E5C7-48E3-BB80-6F5CF898775F}"/>
    <cellStyle name="20% - Accent5 3 3" xfId="455" xr:uid="{D51CB28A-3E2F-4687-AA42-F3F9E73DDA60}"/>
    <cellStyle name="20% - Accent5 3 4" xfId="600" xr:uid="{13E8E5A8-C829-4308-A460-4762CCA031C8}"/>
    <cellStyle name="20% - Accent5 4" xfId="256" xr:uid="{51945EF0-DD1C-4DB0-B69C-82333019E54F}"/>
    <cellStyle name="20% - Accent5 5" xfId="306" xr:uid="{546C1E55-CAAA-4E78-BCC7-72F62F6CC03E}"/>
    <cellStyle name="20% - Accent5 5 2" xfId="478" xr:uid="{712CC58B-8028-43EC-A508-FF491449446A}"/>
    <cellStyle name="20% - Accent5 5 3" xfId="624" xr:uid="{08ACB0AE-70BB-4C9D-BE67-A38EACD626AD}"/>
    <cellStyle name="20% - Accent5 6" xfId="413" xr:uid="{6D79C247-9518-45AF-B8B5-3D8A5CC7A6EA}"/>
    <cellStyle name="20% - Accent5 7" xfId="557" xr:uid="{30A640D8-37B8-4550-A4A8-995E5967D329}"/>
    <cellStyle name="20% - Accent5 8" xfId="699" xr:uid="{9AE0E4EF-C67B-4209-AF49-B31A3E150BF2}"/>
    <cellStyle name="20% - Accent6" xfId="134" builtinId="50" customBuiltin="1"/>
    <cellStyle name="20% - Accent6 2" xfId="184" xr:uid="{278BDC6A-6C88-4EB1-B39B-C6F05663AE81}"/>
    <cellStyle name="20% - Accent6 2 2" xfId="331" xr:uid="{A9B5AC6F-DB0E-48AF-9F7B-76BCEE23EE81}"/>
    <cellStyle name="20% - Accent6 2 2 2" xfId="499" xr:uid="{B507CBB1-E801-488B-BE6B-3C5CCD6AAAB1}"/>
    <cellStyle name="20% - Accent6 2 2 3" xfId="646" xr:uid="{94635A0F-2F34-4BAA-BDE5-49DD7E693C01}"/>
    <cellStyle name="20% - Accent6 2 3" xfId="436" xr:uid="{8E75EACB-7CF0-4A6C-B29E-2412055A7AA1}"/>
    <cellStyle name="20% - Accent6 2 4" xfId="580" xr:uid="{3AE7E3A8-BE9E-4C41-BB05-5FA83218EBDE}"/>
    <cellStyle name="20% - Accent6 3" xfId="238" xr:uid="{7DBFE8B8-91F0-4793-ABE2-D608172D3176}"/>
    <cellStyle name="20% - Accent6 3 2" xfId="352" xr:uid="{A0B804D4-E275-4465-9F36-8E5FDA8D4B68}"/>
    <cellStyle name="20% - Accent6 3 2 2" xfId="520" xr:uid="{27938787-218C-40F0-BFD3-F2CBF3B4AED7}"/>
    <cellStyle name="20% - Accent6 3 2 3" xfId="667" xr:uid="{3B1C15FB-525B-428B-9983-3C3BCDE74A8C}"/>
    <cellStyle name="20% - Accent6 3 3" xfId="457" xr:uid="{DF3B5D8D-1452-44A7-9BAD-C21E4DA6BC0E}"/>
    <cellStyle name="20% - Accent6 3 4" xfId="602" xr:uid="{FC0CB144-AD4D-41E1-8A9E-A7B7EBFDF214}"/>
    <cellStyle name="20% - Accent6 4" xfId="257" xr:uid="{B7EE85F8-3FF2-474C-BBAE-44ACD6D57C35}"/>
    <cellStyle name="20% - Accent6 5" xfId="308" xr:uid="{68BBBA63-83F4-44A7-B274-B556A530E939}"/>
    <cellStyle name="20% - Accent6 5 2" xfId="480" xr:uid="{556F5A4F-9322-4F2F-A94B-FFF7A6F4194C}"/>
    <cellStyle name="20% - Accent6 5 3" xfId="626" xr:uid="{8020B7D7-E1FF-401D-867F-039F9D876303}"/>
    <cellStyle name="20% - Accent6 6" xfId="416" xr:uid="{CD78C615-BA09-4262-B0D1-6513B382AEBF}"/>
    <cellStyle name="20% - Accent6 7" xfId="560" xr:uid="{CE842339-AC53-4909-932E-830AE153522D}"/>
    <cellStyle name="20% - Accent6 8" xfId="701" xr:uid="{EFEA1DA8-E4BB-4864-A623-1368351157AB}"/>
    <cellStyle name="40% - Accent1" xfId="115" builtinId="31" customBuiltin="1"/>
    <cellStyle name="40% - Accent1 2" xfId="185" xr:uid="{D0E7E168-7A74-4F97-8D96-02A961818767}"/>
    <cellStyle name="40% - Accent1 2 2" xfId="332" xr:uid="{71A8CAB3-FD14-404B-89D2-ECAE436DDA9C}"/>
    <cellStyle name="40% - Accent1 2 2 2" xfId="500" xr:uid="{A2668E37-3A59-4154-8598-FDE09FF46FA7}"/>
    <cellStyle name="40% - Accent1 2 2 3" xfId="647" xr:uid="{D7E2E94E-A2D9-44A4-B67A-17D8733614CA}"/>
    <cellStyle name="40% - Accent1 2 3" xfId="437" xr:uid="{ACA7AA49-3B24-4A63-92BF-BEADF786DA90}"/>
    <cellStyle name="40% - Accent1 2 4" xfId="581" xr:uid="{0363205D-58D4-45E4-B147-39876C03595F}"/>
    <cellStyle name="40% - Accent1 3" xfId="233" xr:uid="{8C33CEFE-CC5C-41A1-839B-2AAF91F0C1D8}"/>
    <cellStyle name="40% - Accent1 3 2" xfId="347" xr:uid="{5ED618F1-0BEC-46B3-A47C-4FA55A325B90}"/>
    <cellStyle name="40% - Accent1 3 2 2" xfId="515" xr:uid="{EA31D1C6-B7E1-4546-9187-37ACB8966965}"/>
    <cellStyle name="40% - Accent1 3 2 3" xfId="662" xr:uid="{490BE144-131C-477D-92DD-C1DFACE213CC}"/>
    <cellStyle name="40% - Accent1 3 3" xfId="452" xr:uid="{C02B00A7-69E6-471A-948C-9631F7A9BABE}"/>
    <cellStyle name="40% - Accent1 3 4" xfId="597" xr:uid="{10134AE4-F2F9-4E0B-8045-6A8067AF2B34}"/>
    <cellStyle name="40% - Accent1 4" xfId="258" xr:uid="{8B777513-D1B3-4C8B-8CE8-8107E98F2BC1}"/>
    <cellStyle name="40% - Accent1 5" xfId="299" xr:uid="{7827FBB3-A345-4F9A-88F9-27F0AB5A21E0}"/>
    <cellStyle name="40% - Accent1 5 2" xfId="471" xr:uid="{FA47CBD9-C864-44BE-8539-D2518BD2BE6D}"/>
    <cellStyle name="40% - Accent1 5 3" xfId="617" xr:uid="{A5FE6B67-83F9-4B21-A391-D2979684F93D}"/>
    <cellStyle name="40% - Accent1 6" xfId="402" xr:uid="{5D5C0E05-40B6-4D0A-96A8-CD63C8EF6882}"/>
    <cellStyle name="40% - Accent1 7" xfId="546" xr:uid="{499B388C-0681-4856-99D2-2C29BF590413}"/>
    <cellStyle name="40% - Accent1 8" xfId="692" xr:uid="{2EC57928-2207-44D2-ACB2-8974A4EA6CAF}"/>
    <cellStyle name="40% - Accent2" xfId="119" builtinId="35" customBuiltin="1"/>
    <cellStyle name="40% - Accent2 2" xfId="186" xr:uid="{754258B4-C612-4CDF-96F2-58818E8F97EA}"/>
    <cellStyle name="40% - Accent2 2 2" xfId="333" xr:uid="{05C021A2-4D31-4E37-BD99-BF629CFF9D43}"/>
    <cellStyle name="40% - Accent2 2 2 2" xfId="501" xr:uid="{134BF49D-03FA-4644-8742-FBC3E919AD11}"/>
    <cellStyle name="40% - Accent2 2 2 3" xfId="648" xr:uid="{6C2A7382-2613-4C88-A277-A2C5B4287EFD}"/>
    <cellStyle name="40% - Accent2 2 3" xfId="438" xr:uid="{B54C0DF4-ADC1-4C79-A6BC-21809FB91E04}"/>
    <cellStyle name="40% - Accent2 2 4" xfId="582" xr:uid="{DA3837A9-62D0-4A53-B25E-6BCE4F79C58B}"/>
    <cellStyle name="40% - Accent2 3" xfId="234" xr:uid="{B4CFA444-0118-42F0-9897-949B6223DBF9}"/>
    <cellStyle name="40% - Accent2 3 2" xfId="348" xr:uid="{F3A1CBFD-6F73-46AD-AB1A-D32E4FD21EA8}"/>
    <cellStyle name="40% - Accent2 3 2 2" xfId="516" xr:uid="{34D36D1A-AA18-492E-A9D4-E440FB67166D}"/>
    <cellStyle name="40% - Accent2 3 2 3" xfId="663" xr:uid="{A8541BE7-DBB3-43A4-8202-7FD4210B7B42}"/>
    <cellStyle name="40% - Accent2 3 3" xfId="453" xr:uid="{C75D91F0-4DB5-47EE-BCD1-F36512805169}"/>
    <cellStyle name="40% - Accent2 3 4" xfId="598" xr:uid="{05129DAF-0261-4880-B36C-819AFD684427}"/>
    <cellStyle name="40% - Accent2 4" xfId="259" xr:uid="{549F399D-1062-428D-9AC8-FBC8557D9F48}"/>
    <cellStyle name="40% - Accent2 5" xfId="301" xr:uid="{67B23B7D-1D29-42DA-970E-0A43CCBCC567}"/>
    <cellStyle name="40% - Accent2 5 2" xfId="473" xr:uid="{B47B0FFA-E90D-44B0-98FA-00CDA933A612}"/>
    <cellStyle name="40% - Accent2 5 3" xfId="619" xr:uid="{B0919331-5F3A-4A67-B803-BBFBF8C4FCB6}"/>
    <cellStyle name="40% - Accent2 6" xfId="405" xr:uid="{5D34ACBE-F302-4E08-9D42-4072FA9DFEE4}"/>
    <cellStyle name="40% - Accent2 7" xfId="549" xr:uid="{BDF83CD1-2C78-450B-9DB6-E9F580ED3C20}"/>
    <cellStyle name="40% - Accent2 8" xfId="694" xr:uid="{1AF5A637-D4BF-47E4-992E-B8A097F4E342}"/>
    <cellStyle name="40% - Accent3" xfId="123" builtinId="39" customBuiltin="1"/>
    <cellStyle name="40% - Accent3 2" xfId="150" xr:uid="{32E3F91A-ABD0-4825-9502-F257791BA671}"/>
    <cellStyle name="40% - Accent3 2 2" xfId="187" xr:uid="{23F5E177-8A1C-45E2-8843-FEBAA6B62089}"/>
    <cellStyle name="40% - Accent3 2 2 2" xfId="334" xr:uid="{DA7CAD89-95C6-412E-8603-43185A20AD10}"/>
    <cellStyle name="40% - Accent3 2 2 2 2" xfId="502" xr:uid="{D1BB7990-5024-4D6E-B487-7614F6EE4E2D}"/>
    <cellStyle name="40% - Accent3 2 2 2 3" xfId="649" xr:uid="{C407FBE6-4558-46DA-B34B-E6ADC6614526}"/>
    <cellStyle name="40% - Accent3 2 2 3" xfId="439" xr:uid="{22D31CA8-2A99-4D12-9457-12A6399E0841}"/>
    <cellStyle name="40% - Accent3 2 2 4" xfId="583" xr:uid="{B1EDB542-5E5A-44D1-AC85-7D4590435E12}"/>
    <cellStyle name="40% - Accent3 2 3" xfId="247" xr:uid="{A2DEB99B-97E6-4EF4-9FD3-29FEFC420526}"/>
    <cellStyle name="40% - Accent3 2 3 2" xfId="360" xr:uid="{02EDD4DA-104B-4770-ABD1-B23BB75CFE57}"/>
    <cellStyle name="40% - Accent3 2 3 2 2" xfId="528" xr:uid="{FCDA4FA9-7A03-4527-9B4F-F0BDAB80F56E}"/>
    <cellStyle name="40% - Accent3 2 3 2 3" xfId="675" xr:uid="{7627C327-0618-453A-8FAA-2795FE22D122}"/>
    <cellStyle name="40% - Accent3 2 3 3" xfId="465" xr:uid="{B869BA9D-0467-4142-BA95-C65B205992B0}"/>
    <cellStyle name="40% - Accent3 2 3 4" xfId="610" xr:uid="{E2D542D9-5A8B-406B-BD79-472D26F8CCE6}"/>
    <cellStyle name="40% - Accent3 2 4" xfId="315" xr:uid="{50109117-B1D7-416F-85D2-1905AC7D5D35}"/>
    <cellStyle name="40% - Accent3 2 4 2" xfId="486" xr:uid="{E24974DF-E6E0-4FAD-BE12-F71C6EA39334}"/>
    <cellStyle name="40% - Accent3 2 4 3" xfId="633" xr:uid="{59431F59-3E67-4AEC-BB3F-AC7B85582202}"/>
    <cellStyle name="40% - Accent3 2 5" xfId="423" xr:uid="{8C88AD88-EB60-4EBD-BFBA-08EC71A5427B}"/>
    <cellStyle name="40% - Accent3 2 6" xfId="567" xr:uid="{6C199100-54DA-46D7-B496-5F24F9FF7990}"/>
    <cellStyle name="40% - Accent3 3" xfId="188" xr:uid="{9C3CF690-7980-4ECA-8F06-921AB199361D}"/>
    <cellStyle name="40% - Accent3 3 2" xfId="335" xr:uid="{CEBB930C-DF9D-4C47-895D-3C9ED9C9EAA8}"/>
    <cellStyle name="40% - Accent3 3 2 2" xfId="503" xr:uid="{723DD0FC-1199-4C0B-A8FD-26AE7C4C2845}"/>
    <cellStyle name="40% - Accent3 3 2 3" xfId="650" xr:uid="{76E1322C-7F9A-4666-87B2-BD27E36FB824}"/>
    <cellStyle name="40% - Accent3 3 3" xfId="440" xr:uid="{694DC383-9302-4A9E-A529-E34152CD3D9E}"/>
    <cellStyle name="40% - Accent3 3 4" xfId="584" xr:uid="{9B23967B-C0FF-47C5-84FD-C5AB0192150C}"/>
    <cellStyle name="40% - Accent3 4" xfId="260" xr:uid="{80304610-2D8E-4B30-B34D-D8A71CE05920}"/>
    <cellStyle name="40% - Accent3 5" xfId="303" xr:uid="{199ED734-CD86-4C36-AE44-313B54D2560E}"/>
    <cellStyle name="40% - Accent3 5 2" xfId="475" xr:uid="{A95CEA32-6891-4C0B-8FC9-B8CD34F50A1A}"/>
    <cellStyle name="40% - Accent3 5 3" xfId="621" xr:uid="{873B086D-8EFE-4ADD-BB58-6AAF5B62A7E6}"/>
    <cellStyle name="40% - Accent3 6" xfId="408" xr:uid="{AA9ACA67-A789-4509-86BA-E06168708FD7}"/>
    <cellStyle name="40% - Accent3 7" xfId="552" xr:uid="{0EC6E635-2ABB-4A84-A75F-2ABA36930D3F}"/>
    <cellStyle name="40% - Accent3 8" xfId="696" xr:uid="{66F1B7DC-76B0-4D29-B4DE-DB3F4F0D4315}"/>
    <cellStyle name="40% - Accent4" xfId="127" builtinId="43" customBuiltin="1"/>
    <cellStyle name="40% - Accent4 2" xfId="189" xr:uid="{2FDE2BFA-4A19-49AA-B1A0-E907432AB3E7}"/>
    <cellStyle name="40% - Accent4 2 2" xfId="336" xr:uid="{5D7CBC29-F770-4205-B1E3-CF1690CEA8CD}"/>
    <cellStyle name="40% - Accent4 2 2 2" xfId="504" xr:uid="{419B4880-AC33-4A18-9D16-C437D9355620}"/>
    <cellStyle name="40% - Accent4 2 2 3" xfId="651" xr:uid="{E2305B21-C822-4D39-BAB9-73CFFDAFF90A}"/>
    <cellStyle name="40% - Accent4 2 3" xfId="441" xr:uid="{734B397A-E07F-4B1E-A87F-6616F55A196C}"/>
    <cellStyle name="40% - Accent4 2 4" xfId="585" xr:uid="{047E9E0B-636B-4704-BC07-92616EF7F87E}"/>
    <cellStyle name="40% - Accent4 3" xfId="235" xr:uid="{22417DB5-E2A1-4D00-B201-B53B427D4D20}"/>
    <cellStyle name="40% - Accent4 3 2" xfId="349" xr:uid="{9A1C5949-45A2-4555-9F6D-FB14F3F248CA}"/>
    <cellStyle name="40% - Accent4 3 2 2" xfId="517" xr:uid="{86AD1500-D519-419F-B985-ABF2E2E6CD4A}"/>
    <cellStyle name="40% - Accent4 3 2 3" xfId="664" xr:uid="{94E92C54-0AD8-4578-8DE2-3162462E20E9}"/>
    <cellStyle name="40% - Accent4 3 3" xfId="454" xr:uid="{689F55CF-C46E-4450-949C-6B32D1B70890}"/>
    <cellStyle name="40% - Accent4 3 4" xfId="599" xr:uid="{C3B57798-7EF3-4D7E-96CB-0A48C91D9CAD}"/>
    <cellStyle name="40% - Accent4 4" xfId="261" xr:uid="{4C8A0805-8AA3-4DB1-98CB-F31F9359EDB0}"/>
    <cellStyle name="40% - Accent4 5" xfId="305" xr:uid="{4B251191-154A-40E7-A5B0-F5FE257BE24F}"/>
    <cellStyle name="40% - Accent4 5 2" xfId="477" xr:uid="{7E0DE6E3-190C-4D5A-8400-6676FEFD221F}"/>
    <cellStyle name="40% - Accent4 5 3" xfId="623" xr:uid="{ADC5820B-B218-4C24-8D21-85F36AE5601B}"/>
    <cellStyle name="40% - Accent4 6" xfId="411" xr:uid="{9A5F11E6-C9A7-46F9-875F-BC9D7A769A54}"/>
    <cellStyle name="40% - Accent4 7" xfId="555" xr:uid="{8BE7ABD1-1C25-4778-89A8-A3B1C6FD44AC}"/>
    <cellStyle name="40% - Accent4 8" xfId="698" xr:uid="{D28C2BEA-026B-431E-A589-122E7EC496EB}"/>
    <cellStyle name="40% - Accent5" xfId="131" builtinId="47" customBuiltin="1"/>
    <cellStyle name="40% - Accent5 2" xfId="190" xr:uid="{A1650198-03FA-42BF-9E33-D1C11CEA9719}"/>
    <cellStyle name="40% - Accent5 2 2" xfId="337" xr:uid="{83A0FD24-38C0-4A5B-B7FF-ADCE2F91F758}"/>
    <cellStyle name="40% - Accent5 2 2 2" xfId="505" xr:uid="{9AAC9F53-C97D-478F-B7D7-02A5D1E231AC}"/>
    <cellStyle name="40% - Accent5 2 2 3" xfId="652" xr:uid="{BA5BB0C9-1216-43CA-8C7F-0D36409925B5}"/>
    <cellStyle name="40% - Accent5 2 3" xfId="442" xr:uid="{3BE0039B-35BF-4E73-939E-345C6EAD9816}"/>
    <cellStyle name="40% - Accent5 2 4" xfId="586" xr:uid="{13957AD8-B0AD-4288-A124-87961622E2E7}"/>
    <cellStyle name="40% - Accent5 3" xfId="237" xr:uid="{F38E99A5-6F6D-4DC6-BAEE-A13B30749A74}"/>
    <cellStyle name="40% - Accent5 3 2" xfId="351" xr:uid="{48002B42-4D23-4F44-847A-76BC1AF48B43}"/>
    <cellStyle name="40% - Accent5 3 2 2" xfId="519" xr:uid="{4BBD9FB1-52AC-46EB-8C7C-E901BAFBDAE0}"/>
    <cellStyle name="40% - Accent5 3 2 3" xfId="666" xr:uid="{688665DD-7F6E-4F5C-9099-1E3FE6D722AF}"/>
    <cellStyle name="40% - Accent5 3 3" xfId="456" xr:uid="{D48993EB-0E55-4564-9646-4EF5B22237C6}"/>
    <cellStyle name="40% - Accent5 3 4" xfId="601" xr:uid="{B27654DD-0713-4882-905A-FC0A1434DC45}"/>
    <cellStyle name="40% - Accent5 4" xfId="262" xr:uid="{B47CD729-C3F7-4D30-A7E7-18FCFB9384B7}"/>
    <cellStyle name="40% - Accent5 5" xfId="307" xr:uid="{BF2053DF-5B31-4B9D-B385-CCAD6C7690C1}"/>
    <cellStyle name="40% - Accent5 5 2" xfId="479" xr:uid="{12131CFC-75DD-406A-A90C-0AD48ABB8B72}"/>
    <cellStyle name="40% - Accent5 5 3" xfId="625" xr:uid="{DA87AC71-791D-4C18-8E16-0F12DF338112}"/>
    <cellStyle name="40% - Accent5 6" xfId="414" xr:uid="{838CB0CC-32D0-461F-9816-82A8EA384AC7}"/>
    <cellStyle name="40% - Accent5 7" xfId="558" xr:uid="{938A02AA-83A5-409E-ADA4-974E9C00299E}"/>
    <cellStyle name="40% - Accent5 8" xfId="700" xr:uid="{79F88AFB-528B-4116-BF0B-7977ABA72372}"/>
    <cellStyle name="40% - Accent6" xfId="135" builtinId="51" customBuiltin="1"/>
    <cellStyle name="40% - Accent6 2" xfId="191" xr:uid="{E77D6085-764B-4A64-B2FF-0B45BA676D4B}"/>
    <cellStyle name="40% - Accent6 2 2" xfId="338" xr:uid="{BF7F5C97-70A1-4164-9199-815C6A6A59DD}"/>
    <cellStyle name="40% - Accent6 2 2 2" xfId="506" xr:uid="{AEE881A5-7AE9-4997-8146-3A1F10772217}"/>
    <cellStyle name="40% - Accent6 2 2 3" xfId="653" xr:uid="{1988BDB5-49AF-4C41-8CE0-15AF109D0286}"/>
    <cellStyle name="40% - Accent6 2 3" xfId="443" xr:uid="{B83BC04A-B5C9-4765-A660-781554A145B5}"/>
    <cellStyle name="40% - Accent6 2 4" xfId="587" xr:uid="{973F1E65-2A12-4AB0-AF4D-B71294951EC8}"/>
    <cellStyle name="40% - Accent6 3" xfId="239" xr:uid="{88061550-1FA6-4BD2-B11A-00A693901AF5}"/>
    <cellStyle name="40% - Accent6 3 2" xfId="353" xr:uid="{152B9510-68A0-49D7-8915-5D25E0B9BF37}"/>
    <cellStyle name="40% - Accent6 3 2 2" xfId="521" xr:uid="{461E0B48-C29C-4895-9E49-6F6F1737C64A}"/>
    <cellStyle name="40% - Accent6 3 2 3" xfId="668" xr:uid="{06C2A612-E2E9-420F-92A7-CDAFD734C1D2}"/>
    <cellStyle name="40% - Accent6 3 3" xfId="458" xr:uid="{37D4E867-A15B-4049-84CB-30D6653A51FB}"/>
    <cellStyle name="40% - Accent6 3 4" xfId="603" xr:uid="{F040B2D2-5A11-4AB9-9F02-0EBDA3BC0521}"/>
    <cellStyle name="40% - Accent6 4" xfId="263" xr:uid="{10120615-3E3F-4139-B9C5-3692E7333EF1}"/>
    <cellStyle name="40% - Accent6 5" xfId="309" xr:uid="{85E09836-C196-48D4-9646-6C568398DFDF}"/>
    <cellStyle name="40% - Accent6 5 2" xfId="481" xr:uid="{51932311-F302-4AF0-AFEC-F1C0623F1CDC}"/>
    <cellStyle name="40% - Accent6 5 3" xfId="627" xr:uid="{3B192238-8E16-4739-9957-9C7E10945D89}"/>
    <cellStyle name="40% - Accent6 6" xfId="417" xr:uid="{CE7C6004-06A6-4B1B-ACF7-816AA42E73FD}"/>
    <cellStyle name="40% - Accent6 7" xfId="561" xr:uid="{5D958CF2-68C9-4B36-88E9-C6A7DC4CB99D}"/>
    <cellStyle name="40% - Accent6 8" xfId="702" xr:uid="{324BFC15-0B18-44BF-A1E0-82167F09BE22}"/>
    <cellStyle name="60% - Accent1" xfId="116" builtinId="32" customBuiltin="1"/>
    <cellStyle name="60% - Accent1 2" xfId="264" xr:uid="{0FBAEF88-07D5-49D6-AD98-021F041A54DD}"/>
    <cellStyle name="60% - Accent1 3" xfId="162" xr:uid="{AAB8EBDA-4861-4239-B111-9C59BD42E424}"/>
    <cellStyle name="60% - Accent1 4" xfId="403" xr:uid="{5DBE0589-4232-49F5-812C-A4F6BCED3BA9}"/>
    <cellStyle name="60% - Accent1 5" xfId="547" xr:uid="{D59AB503-0B26-4C96-8524-5D940791963D}"/>
    <cellStyle name="60% - Accent2" xfId="120" builtinId="36" customBuiltin="1"/>
    <cellStyle name="60% - Accent2 2" xfId="265" xr:uid="{9E279784-8AA5-413C-98C7-366CEC6DFB32}"/>
    <cellStyle name="60% - Accent2 3" xfId="160" xr:uid="{608067CD-6D8A-4B2C-9F57-BBAF571DB4D4}"/>
    <cellStyle name="60% - Accent2 4" xfId="406" xr:uid="{F5627EDE-E682-465D-9D1F-D118CD6EDB28}"/>
    <cellStyle name="60% - Accent2 5" xfId="550" xr:uid="{5B959A99-118C-47CE-B39C-2A62AA3A1EC3}"/>
    <cellStyle name="60% - Accent3" xfId="124" builtinId="40" customBuiltin="1"/>
    <cellStyle name="60% - Accent3 2" xfId="158" xr:uid="{2020F3C2-610A-42C5-9FF2-702422E251EC}"/>
    <cellStyle name="60% - Accent3 3" xfId="192" xr:uid="{48B78CC3-22E1-491A-AAE0-8BF3E7F3096D}"/>
    <cellStyle name="60% - Accent3 4" xfId="266" xr:uid="{3E54F20D-BB02-485A-8F91-78116B90E5AA}"/>
    <cellStyle name="60% - Accent3 5" xfId="228" xr:uid="{82F0EBB5-36B6-4F66-8E60-14D052D74CD1}"/>
    <cellStyle name="60% - Accent3 6" xfId="409" xr:uid="{46637A8A-4297-41E6-BAF1-E773C745165F}"/>
    <cellStyle name="60% - Accent3 7" xfId="553" xr:uid="{F8EF9733-07EB-41ED-B6F6-863E2E9384F2}"/>
    <cellStyle name="60% - Accent4" xfId="128" builtinId="44" customBuiltin="1"/>
    <cellStyle name="60% - Accent4 2" xfId="155" xr:uid="{4A8164F4-AF29-41C6-8FFA-7C804D1ADC89}"/>
    <cellStyle name="60% - Accent4 3" xfId="193" xr:uid="{FD61FC60-A83C-49B7-9797-A0EE99A83A1F}"/>
    <cellStyle name="60% - Accent4 4" xfId="267" xr:uid="{5D21D77F-6032-461D-94C3-47E6E378BBB3}"/>
    <cellStyle name="60% - Accent4 5" xfId="229" xr:uid="{E3D23C08-4B3A-43DB-9650-87E04C33BFEF}"/>
    <cellStyle name="60% - Accent4 6" xfId="412" xr:uid="{BDB8699B-ADBD-4521-8A34-3395B894A8FE}"/>
    <cellStyle name="60% - Accent4 7" xfId="556" xr:uid="{904BA480-F31F-4D1E-B40B-E3656F8AA6A5}"/>
    <cellStyle name="60% - Accent5" xfId="132" builtinId="48" customBuiltin="1"/>
    <cellStyle name="60% - Accent5 2" xfId="268" xr:uid="{D4FC1A86-B3B4-4426-8B92-F06ECEE35DD7}"/>
    <cellStyle name="60% - Accent5 3" xfId="153" xr:uid="{E92A1F54-DF19-4468-B032-DF406FD2D5A5}"/>
    <cellStyle name="60% - Accent5 4" xfId="415" xr:uid="{97FF358C-2EF0-4DCA-902C-BB48F5929612}"/>
    <cellStyle name="60% - Accent5 5" xfId="559" xr:uid="{66791BF6-FBA4-4073-B562-1C70C14DDCB8}"/>
    <cellStyle name="60% - Accent6" xfId="136" builtinId="52" customBuiltin="1"/>
    <cellStyle name="60% - Accent6 2" xfId="151" xr:uid="{9979C036-67CA-4769-9ADD-690967D5B507}"/>
    <cellStyle name="60% - Accent6 3" xfId="194" xr:uid="{A67149EF-37F3-42BD-9B42-2159AA8F54C2}"/>
    <cellStyle name="60% - Accent6 4" xfId="269" xr:uid="{CB875658-47C9-4A7E-AD6A-8813FABE1CD8}"/>
    <cellStyle name="60% - Accent6 5" xfId="230" xr:uid="{75DE898F-B343-4F62-AD73-6DBE3370387A}"/>
    <cellStyle name="60% - Accent6 6" xfId="418" xr:uid="{6C0963F7-3A1A-49F5-82FE-CE0AAB94BDF1}"/>
    <cellStyle name="60% - Accent6 7" xfId="562" xr:uid="{8275E0AD-145F-4DDE-BBB9-DBDBE543B83C}"/>
    <cellStyle name="Accent1" xfId="113" builtinId="29" customBuiltin="1"/>
    <cellStyle name="Accent1 2" xfId="270" xr:uid="{2F9EBDF8-EFCF-4670-9E73-CF15AA2C8513}"/>
    <cellStyle name="Accent2" xfId="117" builtinId="33" customBuiltin="1"/>
    <cellStyle name="Accent2 2" xfId="271" xr:uid="{4C591FB8-29AF-4AB5-97E2-BC80FDD56DC6}"/>
    <cellStyle name="Accent3" xfId="121" builtinId="37" customBuiltin="1"/>
    <cellStyle name="Accent3 2" xfId="272" xr:uid="{E913A6DA-DC1D-4392-A239-E1BAB359A021}"/>
    <cellStyle name="Accent4" xfId="125" builtinId="41" customBuiltin="1"/>
    <cellStyle name="Accent4 2" xfId="273" xr:uid="{84A5B390-28F3-4436-AD91-01055C82EFB2}"/>
    <cellStyle name="Accent5" xfId="129" builtinId="45" customBuiltin="1"/>
    <cellStyle name="Accent5 2" xfId="274" xr:uid="{C403E7C9-D686-4D0B-A326-885D438A21EA}"/>
    <cellStyle name="Accent6" xfId="133" builtinId="49" customBuiltin="1"/>
    <cellStyle name="Accent6 2" xfId="275" xr:uid="{17A3CF96-693C-4B39-A40E-E7BDAC964E89}"/>
    <cellStyle name="Bad" xfId="103" builtinId="27" customBuiltin="1"/>
    <cellStyle name="Bad 2" xfId="276" xr:uid="{CBADEF3F-2912-4147-A7DD-049F69ECDED7}"/>
    <cellStyle name="Body: normal cell" xfId="84" xr:uid="{AAABD088-1304-47CF-869E-54AFE6064964}"/>
    <cellStyle name="Calculation" xfId="107" builtinId="22" customBuiltin="1"/>
    <cellStyle name="Calculation 2" xfId="277" xr:uid="{BB04E3CF-4234-4B8C-AAB4-125B294BE0F7}"/>
    <cellStyle name="Calculation 2 2" xfId="144" xr:uid="{7B7706B3-9832-4411-865C-5FE3B67A3E7F}"/>
    <cellStyle name="Calculation 2 3" xfId="371" xr:uid="{D22B68E1-6862-4E14-981F-DE6FE40DFACA}"/>
    <cellStyle name="Calculation 2 4" xfId="142" xr:uid="{88FD6DA9-CF0D-401F-8AC0-34AC13E1AC70}"/>
    <cellStyle name="Calculation 2 5" xfId="532" xr:uid="{80EA1E4E-0792-49F2-8CDD-9DB3675CA249}"/>
    <cellStyle name="Calculation 2 6" xfId="683" xr:uid="{9CFA91C0-A9AA-48B0-B05F-A82A3A97D96D}"/>
    <cellStyle name="Calculation 2 7" xfId="590" xr:uid="{E4FCAAB1-9DBD-448D-8FCF-3E5A731697D7}"/>
    <cellStyle name="Check Cell" xfId="109" builtinId="23" customBuiltin="1"/>
    <cellStyle name="Check Cell 2" xfId="278" xr:uid="{360C5E20-32B8-430E-9B25-570B7B416A76}"/>
    <cellStyle name="Comma" xfId="1" builtinId="3"/>
    <cellStyle name="Comma 10" xfId="157" xr:uid="{974F5150-03CB-40DC-A5EB-C5EABAD19543}"/>
    <cellStyle name="Comma 11" xfId="196" xr:uid="{173CAE04-9699-45BD-9DFD-2F0B4490C258}"/>
    <cellStyle name="Comma 12" xfId="197" xr:uid="{07973501-D202-4AC4-A6D8-EA2177D037FA}"/>
    <cellStyle name="Comma 13" xfId="198" xr:uid="{A008CAFC-B508-4339-9785-5989C2DBAB39}"/>
    <cellStyle name="Comma 14" xfId="199" xr:uid="{9A4DBDFB-7ECD-48E3-86AC-642A7DB6A7FB}"/>
    <cellStyle name="Comma 15" xfId="200" xr:uid="{346B7324-9C26-4ADD-915E-E702361B1B96}"/>
    <cellStyle name="Comma 16" xfId="201" xr:uid="{8771733F-12D3-4155-B98D-EB9165D7524A}"/>
    <cellStyle name="Comma 17" xfId="202" xr:uid="{D2E828E0-02FA-4337-A075-CA80ADB00C44}"/>
    <cellStyle name="Comma 18" xfId="195" xr:uid="{7F531399-A568-451C-98EA-DFCBE4BF4564}"/>
    <cellStyle name="Comma 19" xfId="38" xr:uid="{DDCE393F-1348-4189-A747-6A37252868C8}"/>
    <cellStyle name="Comma 19 2" xfId="355" xr:uid="{11616344-594E-43BD-B3D3-2A8BBDD24E9E}"/>
    <cellStyle name="Comma 19 2 2" xfId="523" xr:uid="{20382AEF-507A-41FE-9713-7F3F7110F229}"/>
    <cellStyle name="Comma 19 2 3" xfId="670" xr:uid="{036D860F-C369-4D06-836F-D28DA96EF6C7}"/>
    <cellStyle name="Comma 19 3" xfId="241" xr:uid="{09364125-AA71-40DB-B3C6-6BFD41F7464D}"/>
    <cellStyle name="Comma 19 4" xfId="460" xr:uid="{F477A857-0E92-4671-A252-023A41BF204C}"/>
    <cellStyle name="Comma 19 5" xfId="605" xr:uid="{8AE5CC41-D630-4177-AE04-04B29D2FB6DA}"/>
    <cellStyle name="Comma 2" xfId="2" xr:uid="{00000000-0005-0000-0000-000001000000}"/>
    <cellStyle name="Comma 2 2" xfId="14" xr:uid="{1C9077E0-5527-45A6-8EEF-D5F248207782}"/>
    <cellStyle name="Comma 2 2 2" xfId="339" xr:uid="{87C85B73-FB98-445F-B246-EBC9A17A70EC}"/>
    <cellStyle name="Comma 2 2 2 2" xfId="507" xr:uid="{7C3DBD12-55CE-40A6-AD91-611EF5C5F577}"/>
    <cellStyle name="Comma 2 2 2 3" xfId="654" xr:uid="{93B085AF-47CA-4D3D-8059-54DA87B8BDAA}"/>
    <cellStyle name="Comma 2 2 3" xfId="203" xr:uid="{89AB8884-F733-449C-AE7A-12097AC2A627}"/>
    <cellStyle name="Comma 2 2 4" xfId="444" xr:uid="{19E12DBB-EE46-452D-A498-55B0BA630A9F}"/>
    <cellStyle name="Comma 2 2 5" xfId="588" xr:uid="{E92BAC57-C4F5-445E-A064-B085BFA6BF5A}"/>
    <cellStyle name="Comma 2 3" xfId="248" xr:uid="{BA8E939A-B93A-4154-91FB-F6AF914A8C02}"/>
    <cellStyle name="Comma 2 3 2" xfId="361" xr:uid="{F1ED8589-0281-46E3-B46B-177F35A05B8D}"/>
    <cellStyle name="Comma 2 3 2 2" xfId="529" xr:uid="{0720A1B0-B8AD-4E61-9CD3-67FA6FCB3A19}"/>
    <cellStyle name="Comma 2 3 2 3" xfId="676" xr:uid="{01C5FB51-6FCA-4D19-BB28-6EDE13679EC2}"/>
    <cellStyle name="Comma 2 3 3" xfId="466" xr:uid="{D5CA8969-DBCC-4942-9628-E03149169FB4}"/>
    <cellStyle name="Comma 2 3 4" xfId="611" xr:uid="{4BDDA3E6-2B45-43A4-A4A2-DA40910C5472}"/>
    <cellStyle name="Comma 2 4" xfId="279" xr:uid="{3681BAD9-AD19-4234-B953-6B890ACD5432}"/>
    <cellStyle name="Comma 2 5" xfId="316" xr:uid="{0C178AA8-28C5-4254-B134-FAA54793A4FC}"/>
    <cellStyle name="Comma 2 5 2" xfId="487" xr:uid="{B421F866-52F5-4586-B278-AC21FC31A6A7}"/>
    <cellStyle name="Comma 2 5 3" xfId="634" xr:uid="{BC2DB13B-866C-4D97-A068-CCA1ECBC82B2}"/>
    <cellStyle name="Comma 2 6" xfId="154" xr:uid="{F70197A6-DA58-43B6-943A-AD1DCB6219F8}"/>
    <cellStyle name="Comma 2 7" xfId="424" xr:uid="{CA0AA54C-3DF2-4BD1-9698-E680398BF580}"/>
    <cellStyle name="Comma 2 8" xfId="568" xr:uid="{4978D8E6-5BEE-482E-AA69-6C9E9D45312B}"/>
    <cellStyle name="Comma 20" xfId="321" xr:uid="{66FB9168-665A-4C7D-B9AF-CB5BAA389156}"/>
    <cellStyle name="Comma 21" xfId="173" xr:uid="{47A8C6B7-D99C-4630-BD41-EF9115ACF656}"/>
    <cellStyle name="Comma 22" xfId="139" xr:uid="{EDF07AD8-07D5-4FBC-B7E6-4AC4E228E6E2}"/>
    <cellStyle name="Comma 23" xfId="380" xr:uid="{AD33C9F0-2C09-4802-8291-6B3F5B9ECF61}"/>
    <cellStyle name="Comma 24" xfId="396" xr:uid="{26B9BC8F-EA4D-45D6-87B4-E2BC305C933A}"/>
    <cellStyle name="Comma 25" xfId="399" xr:uid="{25E08F24-082F-4A87-82B8-BD9544518156}"/>
    <cellStyle name="Comma 26" xfId="543" xr:uid="{BDB0CD08-8083-4621-843E-AD7C8B5C6C4A}"/>
    <cellStyle name="Comma 27" xfId="713" xr:uid="{5FC99627-DED4-41F2-98B7-E6D842602467}"/>
    <cellStyle name="Comma 28" xfId="714" xr:uid="{A0D3904B-441A-4BEB-9516-280A3AF93F74}"/>
    <cellStyle name="Comma 3" xfId="3" xr:uid="{00000000-0005-0000-0000-000002000000}"/>
    <cellStyle name="Comma 3 2" xfId="19" xr:uid="{3120B3EF-49C7-4F29-8FAD-0F36D06DEE97}"/>
    <cellStyle name="Comma 4" xfId="26" xr:uid="{72CFA3EC-CECD-491F-ADC8-BC4C3EA901CF}"/>
    <cellStyle name="Comma 4 2" xfId="59" xr:uid="{1962B490-9A00-4E27-9643-2FC54AC437E3}"/>
    <cellStyle name="Comma 4 2 2" xfId="340" xr:uid="{7BF1C912-7D37-46C0-9ECA-902C2637F2EA}"/>
    <cellStyle name="Comma 4 2 3" xfId="508" xr:uid="{CA4946FD-60E0-4280-840F-EDC47B5BFBC3}"/>
    <cellStyle name="Comma 4 2 4" xfId="655" xr:uid="{0B7E962F-1938-4176-A36F-159B805A5550}"/>
    <cellStyle name="Comma 4 3" xfId="204" xr:uid="{64B597EF-614B-48C9-9308-DFFB65FAF003}"/>
    <cellStyle name="Comma 4 4" xfId="445" xr:uid="{DA87397E-E44E-4267-8654-6BC7340240A9}"/>
    <cellStyle name="Comma 4 5" xfId="589" xr:uid="{7399C8CB-67B6-45AB-898F-DD4241B96AF4}"/>
    <cellStyle name="Comma 5" xfId="28" xr:uid="{70FA35DD-5A4C-4F46-9C0F-4EF98207937B}"/>
    <cellStyle name="Comma 5 2" xfId="31" xr:uid="{1A54A7D5-5C84-48D6-943B-F788A3F8D756}"/>
    <cellStyle name="Comma 5 2 2" xfId="64" xr:uid="{52820DF5-9A1A-4F65-811C-12E350C4A452}"/>
    <cellStyle name="Comma 5 2 3" xfId="70" xr:uid="{17847922-091E-4DA5-900B-99E8548E890C}"/>
    <cellStyle name="Comma 5 3" xfId="61" xr:uid="{66B0EFF1-9B5C-4010-8FFD-B7EBF2B47072}"/>
    <cellStyle name="Comma 5 4" xfId="152" xr:uid="{5DE1518C-9089-4D79-B9B5-C5286E6C9486}"/>
    <cellStyle name="Comma 6" xfId="74" xr:uid="{5AE75EFE-983D-4415-ABF1-C4602BF3FD8A}"/>
    <cellStyle name="Comma 6 2" xfId="163" xr:uid="{B4B23E05-5195-41A3-90BF-42849054B808}"/>
    <cellStyle name="Comma 7" xfId="85" xr:uid="{89556A3A-0567-43CE-A6FB-D4B1BAA3DD4E}"/>
    <cellStyle name="Comma 7 2" xfId="161" xr:uid="{02598CF4-B928-4226-945D-64F9B7ACCE5A}"/>
    <cellStyle name="Comma 8" xfId="159" xr:uid="{B00CD39B-8D0A-45F0-83E5-E0B0D26C09C8}"/>
    <cellStyle name="Comma 9" xfId="156" xr:uid="{E6D79CAB-76B5-43F7-8F35-C72F70247B21}"/>
    <cellStyle name="Currency 2" xfId="33" xr:uid="{8219487F-D241-4C0D-8320-8F18D40FD705}"/>
    <cellStyle name="Explanatory Text" xfId="111" builtinId="53" customBuiltin="1"/>
    <cellStyle name="Explanatory Text 2" xfId="280" xr:uid="{C94C4120-995B-42E5-AA29-196F3D294F3F}"/>
    <cellStyle name="Followed Hyperlink 2" xfId="86" xr:uid="{2AABDBBF-5861-44C2-B8CD-B4B39E048C61}"/>
    <cellStyle name="Font: Calibri, 9pt regular" xfId="87" xr:uid="{93F2A3A3-0F15-45D7-8E50-6DD1381DFC7F}"/>
    <cellStyle name="Footnotes: all except top row" xfId="88" xr:uid="{EE6C687A-2487-4788-A031-C0108D2935BA}"/>
    <cellStyle name="Footnotes: top row" xfId="89" xr:uid="{4F149294-B9D2-4009-9057-CD6A7F7B001A}"/>
    <cellStyle name="Good" xfId="102" builtinId="26" customBuiltin="1"/>
    <cellStyle name="Good 2" xfId="281" xr:uid="{1E99981B-F077-4E18-81A8-D74F5B17D5A1}"/>
    <cellStyle name="Header: bottom row" xfId="90" xr:uid="{D4B17AAD-4BD3-4462-AC0F-7F8590C3748C}"/>
    <cellStyle name="Header: top rows" xfId="91" xr:uid="{005404BA-63BC-4393-AABC-6C19CD87D840}"/>
    <cellStyle name="Heading 1" xfId="98" builtinId="16" customBuiltin="1"/>
    <cellStyle name="Heading 1 2" xfId="282" xr:uid="{7AEE7AEE-9447-408E-8437-9315EAE63F61}"/>
    <cellStyle name="Heading 2" xfId="99" builtinId="17" customBuiltin="1"/>
    <cellStyle name="Heading 2 2" xfId="283" xr:uid="{C92A699F-D084-464D-B420-ABE0BE484C8C}"/>
    <cellStyle name="Heading 3" xfId="100" builtinId="18" customBuiltin="1"/>
    <cellStyle name="Heading 3 2" xfId="284" xr:uid="{518823A6-45BC-47F1-B155-738DE517DFE9}"/>
    <cellStyle name="Heading 4" xfId="101" builtinId="19" customBuiltin="1"/>
    <cellStyle name="Heading 4 2" xfId="285" xr:uid="{B7D84DC7-608E-4152-974D-29C0719719BB}"/>
    <cellStyle name="Hyperlink" xfId="4" builtinId="8"/>
    <cellStyle name="Hyperlink 2" xfId="5" xr:uid="{00000000-0005-0000-0000-000004000000}"/>
    <cellStyle name="Hyperlink 2 2" xfId="249" xr:uid="{7FAD3A58-790F-4ED0-8D4A-AB7B6D7E6BD7}"/>
    <cellStyle name="Hyperlink 2 2 2" xfId="680" xr:uid="{B0CEF87C-9115-4BEF-A6A8-4FDAA47C390D}"/>
    <cellStyle name="Hyperlink 3" xfId="6" xr:uid="{00000000-0005-0000-0000-000005000000}"/>
    <cellStyle name="Hyperlink 3 2" xfId="242" xr:uid="{E8BFBA16-071E-4BDC-AF6C-C92DAA0BB06A}"/>
    <cellStyle name="Hyperlink 3 2 2" xfId="710" xr:uid="{56449364-7030-451C-8ABF-8ED142694BDD}"/>
    <cellStyle name="Hyperlink 3 3" xfId="704" xr:uid="{93C3A190-8EEF-47E8-B0EB-560A0D3C415E}"/>
    <cellStyle name="Hyperlink 4" xfId="92" xr:uid="{3670B919-B3BB-4E75-9930-7D6F569E3C0E}"/>
    <cellStyle name="Hyperlink 4 2" xfId="164" xr:uid="{EC59D5CE-C330-4E4D-849B-4EECA6AA0335}"/>
    <cellStyle name="Hyperlink 4 3" xfId="706" xr:uid="{1BF57F09-1B9A-4056-8335-9356CEF03DB0}"/>
    <cellStyle name="Input" xfId="105" builtinId="20" customBuiltin="1"/>
    <cellStyle name="Input 2" xfId="286" xr:uid="{7B58C08A-19AD-4A8C-8221-CED672E83884}"/>
    <cellStyle name="Input 2 2" xfId="374" xr:uid="{524081B4-428E-4FAD-BAED-75EDEB7C75CB}"/>
    <cellStyle name="Input 2 3" xfId="377" xr:uid="{710D73DB-794E-47B8-B9FF-E2E3E61B92CB}"/>
    <cellStyle name="Input 2 4" xfId="364" xr:uid="{5173D68A-B994-45B6-A40F-C4B6DCE1236A}"/>
    <cellStyle name="Input 2 5" xfId="533" xr:uid="{089FDFEE-2E79-4391-A2E9-EFE50EEF453F}"/>
    <cellStyle name="Input 2 6" xfId="684" xr:uid="{57CAE848-7417-42A2-AEA6-621A434AB6E7}"/>
    <cellStyle name="Input 2 7" xfId="614" xr:uid="{876B3325-A301-4A27-9ED1-53DAA88CD071}"/>
    <cellStyle name="Linked Cell" xfId="108" builtinId="24" customBuiltin="1"/>
    <cellStyle name="Linked Cell 2" xfId="287" xr:uid="{0A4AFD6D-084D-4E85-8F45-FE4F57D325B9}"/>
    <cellStyle name="Neutral" xfId="104" builtinId="28" customBuiltin="1"/>
    <cellStyle name="Neutral 2" xfId="288" xr:uid="{7D349BF1-96FC-4376-98F3-D0609127254C}"/>
    <cellStyle name="Neutral 3" xfId="165" xr:uid="{2E34183E-493C-4078-91F7-C3680CD19886}"/>
    <cellStyle name="Normal" xfId="0" builtinId="0"/>
    <cellStyle name="Normal 10" xfId="27" xr:uid="{89A3A5E2-F786-4249-BED3-9C369DE53169}"/>
    <cellStyle name="Normal 10 2" xfId="60" xr:uid="{E126FF74-8F35-46C0-B499-BB9FB7C0492D}"/>
    <cellStyle name="Normal 10 3" xfId="205" xr:uid="{2C4D7787-381F-41EE-BCB9-07068866B7E2}"/>
    <cellStyle name="Normal 11" xfId="29" xr:uid="{4B9E3B86-F018-48E8-A1B7-B09DE503DA20}"/>
    <cellStyle name="Normal 11 10" xfId="48" xr:uid="{B0B7CAAA-7091-450F-85C9-52BED8D28969}"/>
    <cellStyle name="Normal 11 10 2" xfId="68" xr:uid="{9A95CB22-B964-41F2-92CA-C3C560A238E3}"/>
    <cellStyle name="Normal 11 10 2 2" xfId="716" xr:uid="{C42C6C50-412A-4FD0-9B05-6E1229905D4D}"/>
    <cellStyle name="Normal 11 11" xfId="62" xr:uid="{E3FE90C6-7CCC-48DA-835F-769A18F811F8}"/>
    <cellStyle name="Normal 11 12" xfId="66" xr:uid="{24A271D4-02AB-41AD-A39D-32AAEBED943C}"/>
    <cellStyle name="Normal 11 13" xfId="72" xr:uid="{D8E7C54E-9648-4EBA-A6E5-9F8B28FE758E}"/>
    <cellStyle name="Normal 11 14" xfId="77" xr:uid="{FBCA5CF9-91AF-4274-8B94-2F05ECCBC4AB}"/>
    <cellStyle name="Normal 11 15" xfId="78" xr:uid="{F199BEED-3A97-42C5-BE5E-3CAE11A245B2}"/>
    <cellStyle name="Normal 11 16" xfId="80" xr:uid="{20AE4923-93D2-4A0A-A99C-F322F52DB714}"/>
    <cellStyle name="Normal 11 17" xfId="81" xr:uid="{5DA86BD8-8610-4DFE-8E4B-9978D765DE5A}"/>
    <cellStyle name="Normal 11 18" xfId="82" xr:uid="{F12195B6-594D-47B4-9073-432DB3C44860}"/>
    <cellStyle name="Normal 11 19" xfId="206" xr:uid="{85C4D507-476D-43A0-82DF-71DDD8B7D3C5}"/>
    <cellStyle name="Normal 11 2" xfId="30" xr:uid="{75FDC25E-C28E-497B-82EF-A28CA2584098}"/>
    <cellStyle name="Normal 11 2 2" xfId="40" xr:uid="{AF392839-9EFD-46E7-9522-B670F46A3E86}"/>
    <cellStyle name="Normal 11 2 3" xfId="63" xr:uid="{862C7908-EC11-44E3-B785-2E62204B1971}"/>
    <cellStyle name="Normal 11 2 4" xfId="69" xr:uid="{700D960B-D0C4-4589-82DE-BB9482D721FE}"/>
    <cellStyle name="Normal 11 2 4 2" xfId="71" xr:uid="{A6A8C7A5-2C7B-4223-AE63-040A272724A0}"/>
    <cellStyle name="Normal 11 2 5" xfId="388" xr:uid="{86AD59B7-3B91-4AAD-A645-4E2B6A5D9A8F}"/>
    <cellStyle name="Normal 11 2 6" xfId="393" xr:uid="{24853276-A8DC-41DC-AE66-C1617FEF48B5}"/>
    <cellStyle name="Normal 11 20" xfId="378" xr:uid="{C0BDACBF-3619-4FBE-8B6C-5F7DC0F97B12}"/>
    <cellStyle name="Normal 11 21" xfId="387" xr:uid="{74D9CBF0-B598-4AD2-B871-13389B41360D}"/>
    <cellStyle name="Normal 11 22" xfId="392" xr:uid="{1F3CAAB4-69E5-46FB-B133-84649FEA4BD8}"/>
    <cellStyle name="Normal 11 23" xfId="538" xr:uid="{758BDC14-02AB-4456-9C5D-DE87D645DC19}"/>
    <cellStyle name="Normal 11 3" xfId="32" xr:uid="{5440E113-77DF-4DAD-9026-4858CCB03DB9}"/>
    <cellStyle name="Normal 11 3 2" xfId="43" xr:uid="{8321DB1C-E877-443D-8A22-A2E591665B83}"/>
    <cellStyle name="Normal 11 3 2 2" xfId="76" xr:uid="{0E6AB9D7-72A7-4FF5-A7F1-271F29BBDBD3}"/>
    <cellStyle name="Normal 11 3 2 2 2" xfId="383" xr:uid="{0B0260D0-DD49-4387-9999-E9B1B6A18FB5}"/>
    <cellStyle name="Normal 11 3 3" xfId="65" xr:uid="{4E905B9F-EF70-4EAF-9DFC-D3D7C0096B62}"/>
    <cellStyle name="Normal 11 4" xfId="34" xr:uid="{A40234E1-3048-4174-AD15-1523030C134E}"/>
    <cellStyle name="Normal 11 4 2" xfId="386" xr:uid="{4396524B-9ED0-49DF-8F29-874B0BB004EC}"/>
    <cellStyle name="Normal 11 5" xfId="35" xr:uid="{4DBA6093-DBC1-4A4A-9E14-A119E11ED16A}"/>
    <cellStyle name="Normal 11 6" xfId="36" xr:uid="{D17AAFBD-A258-4936-AA31-95286968AA67}"/>
    <cellStyle name="Normal 11 6 2" xfId="42" xr:uid="{9DF0F002-C7F7-42C9-919A-21BCFA675B2A}"/>
    <cellStyle name="Normal 11 6 2 2" xfId="49" xr:uid="{3BCF6672-671D-4690-A776-FA31F543923C}"/>
    <cellStyle name="Normal 11 6 3" xfId="44" xr:uid="{8D99E9BD-AF94-4306-8B61-749EAEFE8FD0}"/>
    <cellStyle name="Normal 11 6 3 2" xfId="47" xr:uid="{E9C554E9-6250-424B-9089-AB0F2F62FF9F}"/>
    <cellStyle name="Normal 11 6 3 2 2" xfId="50" xr:uid="{EE3659D5-A709-4860-9D3D-5E6D362E2A99}"/>
    <cellStyle name="Normal 11 6 3 2 3" xfId="51" xr:uid="{025CF3BB-6F64-4E4B-ADF3-415CE346BA0F}"/>
    <cellStyle name="Normal 11 6 3 2 4" xfId="67" xr:uid="{9D78D10E-E269-408B-B6A3-E1A70287BFD8}"/>
    <cellStyle name="Normal 11 6 3 2 5" xfId="391" xr:uid="{6A4C59DC-FAE5-430A-928C-82D960659C28}"/>
    <cellStyle name="Normal 11 6 3 3" xfId="385" xr:uid="{22F6C968-E729-4542-A5F8-49C2B25E9079}"/>
    <cellStyle name="Normal 11 6 3 4" xfId="540" xr:uid="{71B0D753-DA45-4763-9654-BF009FB9A7EC}"/>
    <cellStyle name="Normal 11 6 4" xfId="46" xr:uid="{8BEB9B88-2ECA-4F90-BDBA-C56B823B5754}"/>
    <cellStyle name="Normal 11 6 4 2" xfId="382" xr:uid="{E35375AA-E205-4716-B41F-9DAAC86A63D1}"/>
    <cellStyle name="Normal 11 6 4 2 2" xfId="390" xr:uid="{B2EA22BC-704B-49CA-ACF5-33AA469B7774}"/>
    <cellStyle name="Normal 11 6 4 3" xfId="384" xr:uid="{2CD41167-0A76-4530-B037-E4CBB634296A}"/>
    <cellStyle name="Normal 11 6 4 4" xfId="389" xr:uid="{7BB3A74E-95FF-4A27-B824-3C3753CE7DF9}"/>
    <cellStyle name="Normal 11 6 4 5" xfId="539" xr:uid="{AAFF4551-8E6A-430B-A687-9C4F18162987}"/>
    <cellStyle name="Normal 11 6 5" xfId="73" xr:uid="{5081E91F-DB7D-4380-8B4D-4A87175D4BD0}"/>
    <cellStyle name="Normal 11 7" xfId="37" xr:uid="{6CE0624E-52F1-420A-B337-3C1B5BC972EB}"/>
    <cellStyle name="Normal 11 7 2" xfId="45" xr:uid="{6B567826-B84C-483F-A470-3B25A829C090}"/>
    <cellStyle name="Normal 11 8" xfId="39" xr:uid="{0BF66E25-9592-468E-9940-DD1B664A8C87}"/>
    <cellStyle name="Normal 11 9" xfId="41" xr:uid="{76238D42-3A4F-48DE-9A10-ACA406295500}"/>
    <cellStyle name="Normal 11 9 2" xfId="394" xr:uid="{07A513BC-77EF-480F-AC79-ABF1EE013C34}"/>
    <cellStyle name="Normal 12" xfId="75" xr:uid="{35957245-A0B2-4B95-BCE2-DFC85ECCD621}"/>
    <cellStyle name="Normal 12 2" xfId="207" xr:uid="{3E1767D0-6B40-4A5B-8FAB-6DEF2ECBFBE5}"/>
    <cellStyle name="Normal 13" xfId="79" xr:uid="{9E2AFF03-0374-4DAB-9B4E-F3E30AAD9A78}"/>
    <cellStyle name="Normal 13 2" xfId="208" xr:uid="{5A4175F5-C1BB-41BA-9779-D3876062B4C9}"/>
    <cellStyle name="Normal 14" xfId="83" xr:uid="{BAB90E85-6B6D-45C8-8BC4-D96E3F711A33}"/>
    <cellStyle name="Normal 14 2" xfId="209" xr:uid="{90BF5225-74E6-4131-BFF1-818FEA15BE96}"/>
    <cellStyle name="Normal 15" xfId="210" xr:uid="{2611E386-557A-45FD-A072-E557E32BD723}"/>
    <cellStyle name="Normal 16" xfId="211" xr:uid="{E584E80A-0AC0-4BA4-972E-F77FC3AC618B}"/>
    <cellStyle name="Normal 17" xfId="174" xr:uid="{82B278D5-1A1A-4E42-AEBD-22B80ED8F858}"/>
    <cellStyle name="Normal 18" xfId="231" xr:uid="{01500EEB-E236-40E6-B24D-636C7D545421}"/>
    <cellStyle name="Normal 18 2" xfId="345" xr:uid="{6D9B38BC-E55C-47F7-92C2-7A55AA88F965}"/>
    <cellStyle name="Normal 18 2 2" xfId="513" xr:uid="{3204510C-1F56-4554-B8F8-4E408B4775BA}"/>
    <cellStyle name="Normal 18 2 3" xfId="660" xr:uid="{05171BB9-FAEC-42A8-A720-C15A2EA5A137}"/>
    <cellStyle name="Normal 18 3" xfId="450" xr:uid="{0A31AA5F-164E-4594-AE34-7D996B785216}"/>
    <cellStyle name="Normal 18 4" xfId="595" xr:uid="{C7A33E71-250C-4C3E-A41E-02678379F5BC}"/>
    <cellStyle name="Normal 19" xfId="310" xr:uid="{85F2347C-2F58-47B0-AAF4-DA11F271F632}"/>
    <cellStyle name="Normal 2" xfId="7" xr:uid="{00000000-0005-0000-0000-000007000000}"/>
    <cellStyle name="Normal 2 2" xfId="8" xr:uid="{00000000-0005-0000-0000-000008000000}"/>
    <cellStyle name="Normal 2 2 2" xfId="20" xr:uid="{4218E9B5-D982-4A69-9450-7E22F3E734BF}"/>
    <cellStyle name="Normal 2 3" xfId="679" xr:uid="{6868F2E6-7E54-4199-AC18-36D90DA214E6}"/>
    <cellStyle name="Normal 2 3 2" xfId="711" xr:uid="{6DDB4845-DAD3-4A81-AB7D-B655807C9C16}"/>
    <cellStyle name="Normal 2 4" xfId="690" xr:uid="{91385C19-BAC9-46F3-8B66-69391BF29EC0}"/>
    <cellStyle name="Normal 20" xfId="297" xr:uid="{5675D048-D926-4D76-A9C5-0E9E74212AD8}"/>
    <cellStyle name="Normal 20 2" xfId="469" xr:uid="{CECAC5B7-563F-4937-99A1-2C86E434C1DA}"/>
    <cellStyle name="Normal 20 3" xfId="615" xr:uid="{FD7A83D8-BD6D-4FCF-B83B-AA45FAF6A93C}"/>
    <cellStyle name="Normal 21" xfId="145" xr:uid="{57311FF5-2538-45E7-80A5-22F4407D22EE}"/>
    <cellStyle name="Normal 22" xfId="137" xr:uid="{34355714-1B6B-473D-B1EE-A7F5E53EA421}"/>
    <cellStyle name="Normal 23" xfId="379" xr:uid="{3C180D01-4C5F-437C-AB00-FA7095AF426B}"/>
    <cellStyle name="Normal 24" xfId="397" xr:uid="{9E817E53-3D19-43D1-8674-DC0BA6F4F565}"/>
    <cellStyle name="Normal 25" xfId="541" xr:uid="{D0984E85-95B5-4658-A392-795C71CE7E1F}"/>
    <cellStyle name="Normal 26" xfId="715" xr:uid="{D87609AC-4935-45B9-BE0E-671C4278EB9E}"/>
    <cellStyle name="Normal 3" xfId="9" xr:uid="{00000000-0005-0000-0000-000009000000}"/>
    <cellStyle name="Normal 3 2" xfId="21" xr:uid="{70607CDE-CC71-4B27-B690-3D2401DD0B38}"/>
    <cellStyle name="Normal 3 3" xfId="166" xr:uid="{24016708-ACDF-4123-AC81-090C466438EA}"/>
    <cellStyle name="Normal 3 4" xfId="703" xr:uid="{DD119CBA-0B0E-4AAB-B479-CBAA1D8F72EB}"/>
    <cellStyle name="Normal 4" xfId="10" xr:uid="{00000000-0005-0000-0000-00000A000000}"/>
    <cellStyle name="Normal 4 2" xfId="15" xr:uid="{4805FFD6-0377-46EF-881C-FDB9DF487011}"/>
    <cellStyle name="Normal 4 3" xfId="167" xr:uid="{32C3AD38-24EB-4CDC-B98B-A91F4D2A626A}"/>
    <cellStyle name="Normal 4 4" xfId="705" xr:uid="{95F72145-D08C-4017-8876-1E3932DBCB45}"/>
    <cellStyle name="Normal 5" xfId="11" xr:uid="{00000000-0005-0000-0000-00000B000000}"/>
    <cellStyle name="Normal 5 2" xfId="22" xr:uid="{906AD1FA-0DAF-4AED-832F-0612469F913A}"/>
    <cellStyle name="Normal 5 2 2" xfId="55" xr:uid="{6901B104-248D-416D-85BF-60E7D7CCEE23}"/>
    <cellStyle name="Normal 5 2 3" xfId="712" xr:uid="{380BCFAF-1B57-4791-B503-66DACDAADCB7}"/>
    <cellStyle name="Normal 5 3" xfId="52" xr:uid="{61D29457-DAC5-44A6-B4DB-3F6E4FD534E7}"/>
    <cellStyle name="Normal 5 4" xfId="168" xr:uid="{72593085-5AF4-4127-9467-36099588CA02}"/>
    <cellStyle name="Normal 5 5" xfId="707" xr:uid="{3B8C0E0A-D9D3-41C3-9BA8-F4889B9F979A}"/>
    <cellStyle name="Normal 6" xfId="13" xr:uid="{EBE75F6A-C88B-45B8-A8CA-B04BAAF6B28C}"/>
    <cellStyle name="Normal 6 2" xfId="212" xr:uid="{1A367DA1-9CC0-42DA-9119-E74336950E8C}"/>
    <cellStyle name="Normal 6 2 2" xfId="341" xr:uid="{E20501AB-0A1D-45EC-8D74-124F36BB4B07}"/>
    <cellStyle name="Normal 6 2 2 2" xfId="509" xr:uid="{07B0E387-4C54-4313-94CC-7440F183E9FB}"/>
    <cellStyle name="Normal 6 2 2 3" xfId="656" xr:uid="{95209F2F-2799-4722-BF83-72E8AAC9A775}"/>
    <cellStyle name="Normal 6 2 3" xfId="446" xr:uid="{1BE2B0A0-C1D6-474D-A6F1-71485FCF5C32}"/>
    <cellStyle name="Normal 6 2 4" xfId="591" xr:uid="{18DDE48D-BE59-413A-9046-FD4D72C2A234}"/>
    <cellStyle name="Normal 6 3" xfId="250" xr:uid="{946EAB2F-3003-438D-AECA-E36A970A2718}"/>
    <cellStyle name="Normal 6 3 2" xfId="362" xr:uid="{12BACF06-EA48-4382-91FB-563037CC3A6F}"/>
    <cellStyle name="Normal 6 3 2 2" xfId="530" xr:uid="{CB892455-AC46-4A8E-9402-A820140506A7}"/>
    <cellStyle name="Normal 6 3 2 3" xfId="677" xr:uid="{D9A5E20C-F6E9-4075-8B17-509F36503E1B}"/>
    <cellStyle name="Normal 6 3 3" xfId="467" xr:uid="{42FEE5EB-A9D9-4285-A8C9-AAED5BBFD307}"/>
    <cellStyle name="Normal 6 3 4" xfId="612" xr:uid="{5328C679-17D9-4346-8526-25D2F80AE486}"/>
    <cellStyle name="Normal 6 4" xfId="289" xr:uid="{0EC8BBF7-2579-442B-B652-39916CBF4B7C}"/>
    <cellStyle name="Normal 6 5" xfId="317" xr:uid="{2E522AAE-3A43-4D85-9BC9-D75DF67CA993}"/>
    <cellStyle name="Normal 6 5 2" xfId="488" xr:uid="{538C26A6-2F02-4606-9B8B-664A1F5ADA0C}"/>
    <cellStyle name="Normal 6 5 3" xfId="635" xr:uid="{8A8FF758-3239-4A12-AF5F-4ED45691D4C9}"/>
    <cellStyle name="Normal 6 6" xfId="169" xr:uid="{808CEDD4-B41F-4D2C-982F-C9996D1BAA59}"/>
    <cellStyle name="Normal 6 7" xfId="425" xr:uid="{9615BE54-4CBE-4916-AB95-691C065DCB5C}"/>
    <cellStyle name="Normal 6 8" xfId="569" xr:uid="{83EC3171-AECC-4ECB-86EA-69BF79F723DC}"/>
    <cellStyle name="Normal 7" xfId="16" xr:uid="{3D34A042-2E55-4E8C-B59D-A542FFF81875}"/>
    <cellStyle name="Normal 7 2" xfId="213" xr:uid="{820CAB25-D625-44C5-95BC-3DAC14BF070F}"/>
    <cellStyle name="Normal 7 3" xfId="709" xr:uid="{C2B718B7-21C8-492B-A3B7-4F4EEA2B4D9C}"/>
    <cellStyle name="Normal 8" xfId="17" xr:uid="{143C9F5F-F88C-47AA-BCFD-A8A982B2D432}"/>
    <cellStyle name="Normal 8 2" xfId="18" xr:uid="{7A34C163-7F3A-42B6-97BB-A06A0BE76841}"/>
    <cellStyle name="Normal 8 2 2" xfId="24" xr:uid="{A6D8C73B-EA27-43A5-9A18-2BFF8F10C0A2}"/>
    <cellStyle name="Normal 8 2 2 2" xfId="57" xr:uid="{60A7680C-AE12-46D5-BD48-348BB207A242}"/>
    <cellStyle name="Normal 8 2 3" xfId="54" xr:uid="{111A3AB0-B470-4C6E-9913-EE396C483F4D}"/>
    <cellStyle name="Normal 8 3" xfId="23" xr:uid="{A94EEB1A-B27E-4B51-9834-B757898F882E}"/>
    <cellStyle name="Normal 8 3 2" xfId="56" xr:uid="{456F379F-7F49-43B2-8FF0-6AAF56B0FC27}"/>
    <cellStyle name="Normal 8 4" xfId="53" xr:uid="{81805300-0E1D-454A-9D60-0F01D6190D6C}"/>
    <cellStyle name="Normal 8 5" xfId="214" xr:uid="{2576F2E6-EAB3-416F-A6AD-5298A27898D5}"/>
    <cellStyle name="Normal 9" xfId="25" xr:uid="{AF562AB2-2E7D-4C04-814F-6AC30A92CE3A}"/>
    <cellStyle name="Normal 9 2" xfId="58" xr:uid="{9E080DFC-9773-4552-A43C-01793D50B659}"/>
    <cellStyle name="Normal 9 2 2" xfId="342" xr:uid="{62794239-764B-447C-ABD6-07E51E756932}"/>
    <cellStyle name="Normal 9 2 3" xfId="510" xr:uid="{32A30A07-1A4B-467F-8E16-4E192EDE4574}"/>
    <cellStyle name="Normal 9 2 4" xfId="657" xr:uid="{9AC8D8B5-476D-41AD-B206-8AFA8F242C3E}"/>
    <cellStyle name="Normal 9 3" xfId="215" xr:uid="{6F223409-C652-4E49-AD52-D3363DDC15E9}"/>
    <cellStyle name="Normal 9 4" xfId="447" xr:uid="{463FAE72-5C43-4756-845D-1BCA8D9EF04E}"/>
    <cellStyle name="Normal 9 5" xfId="592" xr:uid="{7340B248-285D-423A-A52F-B95975014885}"/>
    <cellStyle name="Note 2" xfId="170" xr:uid="{C3F208D1-D7F4-4FA1-9DDC-24DCCAF00B13}"/>
    <cellStyle name="Note 2 2" xfId="216" xr:uid="{D1F5C7A0-2A37-4AEC-B6E7-1061E205B394}"/>
    <cellStyle name="Note 2 2 2" xfId="343" xr:uid="{BE6495D6-013F-4019-8749-17BC74715577}"/>
    <cellStyle name="Note 2 2 2 2" xfId="511" xr:uid="{7A438C1B-4F76-4A9B-9E10-D8E721394356}"/>
    <cellStyle name="Note 2 2 2 3" xfId="658" xr:uid="{62B5CEB0-88AE-4D6C-A4A5-38E075156380}"/>
    <cellStyle name="Note 2 2 3" xfId="448" xr:uid="{F0C7965A-A9A6-4729-AE4F-E6B95123599A}"/>
    <cellStyle name="Note 2 2 4" xfId="593" xr:uid="{B2259358-4167-4319-B861-A34989484794}"/>
    <cellStyle name="Note 2 3" xfId="251" xr:uid="{FD29B074-0975-4C84-B020-F6AFF1851528}"/>
    <cellStyle name="Note 2 3 2" xfId="363" xr:uid="{50FF0CC4-B61A-4B7C-A7A5-65EFC15AC715}"/>
    <cellStyle name="Note 2 3 2 2" xfId="531" xr:uid="{650DE1C0-D70A-4440-88AC-4EFAD5A2CE21}"/>
    <cellStyle name="Note 2 3 2 3" xfId="678" xr:uid="{C69DA920-423B-48FA-9BBC-8DF52886652D}"/>
    <cellStyle name="Note 2 3 3" xfId="468" xr:uid="{02971889-FFED-466D-99FF-DF1210F3BF73}"/>
    <cellStyle name="Note 2 3 4" xfId="613" xr:uid="{A73A64AF-5924-48A4-BBD0-AD593A3CB2FD}"/>
    <cellStyle name="Note 2 4" xfId="291" xr:uid="{B26BB074-7925-4B7D-8117-A3CAC5FCB62F}"/>
    <cellStyle name="Note 2 4 2" xfId="140" xr:uid="{CD338698-8C7F-41B4-BFCC-7A91B33CA405}"/>
    <cellStyle name="Note 2 4 3" xfId="365" xr:uid="{27FEE197-3F21-42C7-B439-6EEE26B30AE5}"/>
    <cellStyle name="Note 2 4 4" xfId="370" xr:uid="{E345255D-CBE2-4B3B-BDE4-FBDA6A4F6C58}"/>
    <cellStyle name="Note 2 4 5" xfId="535" xr:uid="{EA6AC9D5-3811-477F-B153-E26EA137DE61}"/>
    <cellStyle name="Note 2 4 6" xfId="686" xr:uid="{6B57FADE-FE01-4447-8928-1E907D663009}"/>
    <cellStyle name="Note 2 4 7" xfId="689" xr:uid="{E81C0467-8F34-438D-81FC-6C53AD06C956}"/>
    <cellStyle name="Note 2 5" xfId="318" xr:uid="{B3F27023-4B65-487D-85FA-119154F7A601}"/>
    <cellStyle name="Note 2 5 2" xfId="489" xr:uid="{BDFF026C-22A7-4B40-B2D0-0A45C4939EFE}"/>
    <cellStyle name="Note 2 5 3" xfId="636" xr:uid="{20CAD3C3-DFA2-47D9-A68D-D525C876B245}"/>
    <cellStyle name="Note 2 6" xfId="426" xr:uid="{57CD975C-CBA2-43FD-8B00-BF6155D01DCB}"/>
    <cellStyle name="Note 2 7" xfId="570" xr:uid="{2224C499-E0AE-4D09-869C-6020AB358640}"/>
    <cellStyle name="Note 2 8" xfId="708" xr:uid="{749821F6-49B7-48B9-B078-6A6B3C58E919}"/>
    <cellStyle name="Note 3" xfId="217" xr:uid="{A7C0021F-FA46-4B96-89A8-7F34D94EC6D7}"/>
    <cellStyle name="Note 3 2" xfId="344" xr:uid="{C8A3A4EC-5754-4556-B45B-E9F0EB3392A3}"/>
    <cellStyle name="Note 3 2 2" xfId="512" xr:uid="{2AF03C31-DCBA-48A0-8DCC-65215EB5B118}"/>
    <cellStyle name="Note 3 2 3" xfId="659" xr:uid="{2BC0DE3D-F21D-48F7-81F7-6653E8492873}"/>
    <cellStyle name="Note 3 3" xfId="449" xr:uid="{CE7A78AD-10EA-4619-A3B2-CE8D4035EA71}"/>
    <cellStyle name="Note 3 4" xfId="594" xr:uid="{B2D59685-4323-445D-B2BA-E7E5F0E13C9D}"/>
    <cellStyle name="Note 4" xfId="232" xr:uid="{674244FC-6EC5-411F-89FA-4B0E9038DE2A}"/>
    <cellStyle name="Note 4 2" xfId="346" xr:uid="{476131BE-25DB-416D-A65E-21EF7F48DC69}"/>
    <cellStyle name="Note 4 2 2" xfId="514" xr:uid="{C1EB9865-7604-4A48-BEDC-554B4890F689}"/>
    <cellStyle name="Note 4 2 3" xfId="661" xr:uid="{BE07A902-D462-4B26-A2E5-AFC6A6BBE78E}"/>
    <cellStyle name="Note 4 3" xfId="451" xr:uid="{1D673770-0746-449A-A0A5-B38D3D2F2DF2}"/>
    <cellStyle name="Note 4 4" xfId="596" xr:uid="{123407A7-4C91-4A89-933D-D8BC8B42CB31}"/>
    <cellStyle name="Note 5" xfId="290" xr:uid="{49675C76-00C1-4D5F-A92B-FB5C643FAD50}"/>
    <cellStyle name="Note 5 2" xfId="372" xr:uid="{1D4303E1-BA87-49AF-BEBD-66461DE983B6}"/>
    <cellStyle name="Note 5 3" xfId="375" xr:uid="{18B60FC2-E969-4468-8CAB-3005B7F7D8F5}"/>
    <cellStyle name="Note 5 4" xfId="141" xr:uid="{96A6F1D8-69F2-4049-89FA-0FCDB1B3A5B9}"/>
    <cellStyle name="Note 5 5" xfId="534" xr:uid="{4F047C22-9170-4F33-93B2-2242B8DF5BE0}"/>
    <cellStyle name="Note 5 6" xfId="685" xr:uid="{9EE5294B-46D1-4D95-A3C5-B18D6D691518}"/>
    <cellStyle name="Note 5 7" xfId="682" xr:uid="{79E54DEE-25C0-4E50-82E0-8862A9294BAF}"/>
    <cellStyle name="Note 6" xfId="143" xr:uid="{76A629B7-C611-430C-B43D-08A666E8CF1D}"/>
    <cellStyle name="Note 7" xfId="400" xr:uid="{6D65B6CE-61EF-45DD-BCDA-5D6653CCCB50}"/>
    <cellStyle name="Note 8" xfId="544" xr:uid="{96248A65-E6FA-4D5E-89DA-12675FD4A0C8}"/>
    <cellStyle name="Output" xfId="106" builtinId="21" customBuiltin="1"/>
    <cellStyle name="Output 2" xfId="292" xr:uid="{F0F7321F-71EB-4A8C-8C89-2F60FECB46B8}"/>
    <cellStyle name="Output 2 2" xfId="376" xr:uid="{90A23603-FA65-4F0B-AAB1-E7BE1B0B7B4D}"/>
    <cellStyle name="Output 2 3" xfId="366" xr:uid="{D7F1167F-3E6F-43C6-84FD-662AF9CC9FFC}"/>
    <cellStyle name="Output 2 4" xfId="367" xr:uid="{0E6E46EF-85D7-42C9-9F6B-65DAE1A4A407}"/>
    <cellStyle name="Output 2 5" xfId="536" xr:uid="{0E638A27-1413-4B7C-9386-0C099ECE9030}"/>
    <cellStyle name="Output 2 6" xfId="687" xr:uid="{B86CEFA5-F27C-4E54-86D1-BC95754A7519}"/>
    <cellStyle name="Output 2 7" xfId="681" xr:uid="{06BF1161-9865-4E22-AF0A-00AD8D1A3654}"/>
    <cellStyle name="Parent row" xfId="93" xr:uid="{1E35CEB2-0821-4BF1-BD95-43226D3AD920}"/>
    <cellStyle name="Percent" xfId="12" builtinId="5"/>
    <cellStyle name="Percent 10" xfId="219" xr:uid="{92F77126-7B32-4F8C-B344-7B37D151D0C7}"/>
    <cellStyle name="Percent 11" xfId="218" xr:uid="{F7D15F6F-81BB-4D3E-B697-27C670C1CDD2}"/>
    <cellStyle name="Percent 12" xfId="240" xr:uid="{741C9297-9E27-4399-A400-2F12719101AC}"/>
    <cellStyle name="Percent 12 2" xfId="354" xr:uid="{F0A842BE-F717-44AD-80B7-18EB878BCAC3}"/>
    <cellStyle name="Percent 12 2 2" xfId="522" xr:uid="{F6493DB8-E085-49B5-90A8-552B63B8E6B1}"/>
    <cellStyle name="Percent 12 2 3" xfId="669" xr:uid="{7B7ABCA6-DF0F-418F-BCF5-613E7F8BB755}"/>
    <cellStyle name="Percent 12 3" xfId="459" xr:uid="{86259A49-0CFD-4911-95F0-A96FA8BD0AD2}"/>
    <cellStyle name="Percent 12 4" xfId="604" xr:uid="{087148AA-1620-4EAD-8B33-BA2C458E3620}"/>
    <cellStyle name="Percent 13" xfId="320" xr:uid="{BEB9E956-C81D-440D-9C91-F27DC881370B}"/>
    <cellStyle name="Percent 14" xfId="172" xr:uid="{A6D3652B-46E0-4617-A624-3F55D9D45EF5}"/>
    <cellStyle name="Percent 15" xfId="138" xr:uid="{1EB19C15-2A09-4CDB-B7E1-F0F563AABEDB}"/>
    <cellStyle name="Percent 16" xfId="381" xr:uid="{5E5EE0A9-1D4B-47BE-8361-41A2BA1C8885}"/>
    <cellStyle name="Percent 17" xfId="395" xr:uid="{DFECE782-C944-4E99-AF4B-F8CE5889D79D}"/>
    <cellStyle name="Percent 18" xfId="398" xr:uid="{5BB29555-DD0A-4490-B063-F3A79C7F0D2B}"/>
    <cellStyle name="Percent 19" xfId="542" xr:uid="{3A34358A-AA99-4ABC-A7FA-33BF007DF2D3}"/>
    <cellStyle name="Percent 2" xfId="220" xr:uid="{4E8FF06F-C868-44AB-8B82-DE6FBA9CF0DD}"/>
    <cellStyle name="Percent 2 2" xfId="293" xr:uid="{117EB9A9-FAC7-4563-9DA1-0C6C8C6BE39A}"/>
    <cellStyle name="Percent 3" xfId="221" xr:uid="{9D943620-D73E-4A49-9FE6-D205063B48A5}"/>
    <cellStyle name="Percent 4" xfId="222" xr:uid="{8932F41B-FFB4-4B9C-BAD8-A0A307E40099}"/>
    <cellStyle name="Percent 5" xfId="223" xr:uid="{1B85EFDA-1988-40D7-A863-F101DBBB4422}"/>
    <cellStyle name="Percent 6" xfId="224" xr:uid="{3F95738A-1B06-45D0-81DA-5EE8D7595801}"/>
    <cellStyle name="Percent 7" xfId="225" xr:uid="{0102FDA9-6934-4662-BB9C-D0F83F816AF2}"/>
    <cellStyle name="Percent 8" xfId="226" xr:uid="{142055B5-847B-4C5A-949F-23C062343333}"/>
    <cellStyle name="Percent 9" xfId="227" xr:uid="{2422C149-2921-477B-8821-F9004EA738B7}"/>
    <cellStyle name="Section Break" xfId="94" xr:uid="{EB5B8B72-A3B2-4FD1-9FD6-1F1106690713}"/>
    <cellStyle name="Section Break: parent row" xfId="95" xr:uid="{7C00BD4B-F008-4F1E-A7B5-8C0CA452A3F5}"/>
    <cellStyle name="Table title" xfId="96" xr:uid="{70FFA00A-4881-4DB5-929F-7AB7942E011A}"/>
    <cellStyle name="Title" xfId="97" builtinId="15" customBuiltin="1"/>
    <cellStyle name="Title 2" xfId="294" xr:uid="{962FCC9F-DABB-4175-89CF-C551B91789D2}"/>
    <cellStyle name="Title 3" xfId="319" xr:uid="{B6E17F5F-CA7A-489E-B43B-605634F9C8CA}"/>
    <cellStyle name="Title 4" xfId="171" xr:uid="{500FA8BC-4D95-4D1F-8A33-171C7EC13FD0}"/>
    <cellStyle name="Total" xfId="112" builtinId="25" customBuiltin="1"/>
    <cellStyle name="Total 2" xfId="295" xr:uid="{095124E0-EB53-42E5-A9A7-2724DCDF312E}"/>
    <cellStyle name="Total 2 2" xfId="369" xr:uid="{5B16891E-784B-4B3F-AC81-573F5799E57B}"/>
    <cellStyle name="Total 2 3" xfId="373" xr:uid="{0B1DCB72-05CF-48C0-8681-CABC6DA84842}"/>
    <cellStyle name="Total 2 4" xfId="368" xr:uid="{B3DF6F0E-5675-4F4B-BE9B-E3AE5E425E74}"/>
    <cellStyle name="Total 2 5" xfId="537" xr:uid="{A90B6C78-34DA-4288-9E9C-310C6FDEB6C8}"/>
    <cellStyle name="Total 2 6" xfId="688" xr:uid="{82303D14-93FF-4F9E-B1E7-8D6456A1D49D}"/>
    <cellStyle name="Total 2 7" xfId="628" xr:uid="{D8FD7153-B3C9-458B-BF92-DC666F0DB06F}"/>
    <cellStyle name="Warning Text" xfId="110" builtinId="11" customBuiltin="1"/>
    <cellStyle name="Warning Text 2" xfId="296" xr:uid="{EFA92663-19D7-471E-8855-E3A9F964DFF3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C4CA7E98-DF71-47D1-AD66-48E16269045A}">
      <tableStyleElement type="wholeTable" dxfId="1"/>
      <tableStyleElement type="headerRow" dxfId="0"/>
    </tableStyle>
  </tableStyles>
  <colors>
    <mruColors>
      <color rgb="FFB3A2C7"/>
      <color rgb="FFFFFF00"/>
      <color rgb="FF0E2841"/>
      <color rgb="FFFFCC66"/>
      <color rgb="FFA991D5"/>
      <color rgb="FFCAEDFB"/>
      <color rgb="FF9429FF"/>
      <color rgb="FF0000FF"/>
      <color rgb="FF00B050"/>
      <color rgb="FFC05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Figure 1</a:t>
            </a:r>
          </a:p>
          <a:p>
            <a:pPr algn="l">
              <a:defRPr>
                <a:solidFill>
                  <a:sysClr val="windowText" lastClr="000000"/>
                </a:solidFill>
              </a:defRPr>
            </a:pPr>
            <a:endParaRPr lang="en-US" sz="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defRPr>
                <a:solidFill>
                  <a:sysClr val="windowText" lastClr="000000"/>
                </a:solidFill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U.S.</a:t>
            </a:r>
            <a:r>
              <a:rPr lang="en-US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soybean production, crush, and exports</a:t>
            </a:r>
            <a:endPara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3283742328470385E-3"/>
          <c:y val="1.5723860098882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73385913429284E-2"/>
          <c:y val="0.1898001332971552"/>
          <c:w val="0.87584514010397652"/>
          <c:h val="0.5200725494793244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'Figure 1'!$B$1</c:f>
              <c:strCache>
                <c:ptCount val="1"/>
                <c:pt idx="0">
                  <c:v>Crush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1'!$A$2:$A$9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2024/25*</c:v>
                </c:pt>
                <c:pt idx="7">
                  <c:v>2025/26*</c:v>
                </c:pt>
              </c:strCache>
            </c:strRef>
          </c:cat>
          <c:val>
            <c:numRef>
              <c:f>'Figure 1'!$B$2:$B$9</c:f>
              <c:numCache>
                <c:formatCode>_(* #,##0_);_(* \(#,##0\);_(* "-"??_);_(@_)</c:formatCode>
                <c:ptCount val="8"/>
                <c:pt idx="0">
                  <c:v>2091.9902999999999</c:v>
                </c:pt>
                <c:pt idx="1">
                  <c:v>2164.5542</c:v>
                </c:pt>
                <c:pt idx="2">
                  <c:v>2140.5846999999999</c:v>
                </c:pt>
                <c:pt idx="3">
                  <c:v>2203.8721999999998</c:v>
                </c:pt>
                <c:pt idx="4">
                  <c:v>2211.9378000000002</c:v>
                </c:pt>
                <c:pt idx="5">
                  <c:v>2285.3031999999998</c:v>
                </c:pt>
                <c:pt idx="6">
                  <c:v>2430</c:v>
                </c:pt>
                <c:pt idx="7">
                  <c:v>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0-4494-AB1C-307B45C81689}"/>
            </c:ext>
          </c:extLst>
        </c:ser>
        <c:ser>
          <c:idx val="0"/>
          <c:order val="1"/>
          <c:tx>
            <c:strRef>
              <c:f>'Figure 1'!$C$1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1'!$A$2:$A$9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2024/25*</c:v>
                </c:pt>
                <c:pt idx="7">
                  <c:v>2025/26*</c:v>
                </c:pt>
              </c:strCache>
            </c:strRef>
          </c:cat>
          <c:val>
            <c:numRef>
              <c:f>'Figure 1'!$C$2:$C$9</c:f>
              <c:numCache>
                <c:formatCode>_(* #,##0_);_(* \(#,##0\);_(* "-"??_);_(@_)</c:formatCode>
                <c:ptCount val="8"/>
                <c:pt idx="0">
                  <c:v>1753.4299779624448</c:v>
                </c:pt>
                <c:pt idx="1">
                  <c:v>1682.8750323994002</c:v>
                </c:pt>
                <c:pt idx="2">
                  <c:v>2265.7617178866712</c:v>
                </c:pt>
                <c:pt idx="3">
                  <c:v>2152.0905451916174</c:v>
                </c:pt>
                <c:pt idx="4">
                  <c:v>1979.147634061485</c:v>
                </c:pt>
                <c:pt idx="5">
                  <c:v>1699.9741405556856</c:v>
                </c:pt>
                <c:pt idx="6">
                  <c:v>1875</c:v>
                </c:pt>
                <c:pt idx="7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0-4494-AB1C-307B45C8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1284455439"/>
        <c:axId val="1284457935"/>
      </c:barChart>
      <c:lineChart>
        <c:grouping val="standard"/>
        <c:varyColors val="0"/>
        <c:ser>
          <c:idx val="2"/>
          <c:order val="2"/>
          <c:tx>
            <c:strRef>
              <c:f>'Figure 1'!$D$1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1'!$A$2:$A$9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2024/25*</c:v>
                </c:pt>
                <c:pt idx="7">
                  <c:v>2025/26*</c:v>
                </c:pt>
              </c:strCache>
            </c:strRef>
          </c:cat>
          <c:val>
            <c:numRef>
              <c:f>'Figure 1'!$D$2:$D$9</c:f>
              <c:numCache>
                <c:formatCode>_(* #,##0_);_(* \(#,##0\);_(* "-"??_);_(@_)</c:formatCode>
                <c:ptCount val="8"/>
                <c:pt idx="0">
                  <c:v>4428.1499999999996</c:v>
                </c:pt>
                <c:pt idx="1">
                  <c:v>3551.07</c:v>
                </c:pt>
                <c:pt idx="2">
                  <c:v>4216.3019999999997</c:v>
                </c:pt>
                <c:pt idx="3">
                  <c:v>4464.4920000000002</c:v>
                </c:pt>
                <c:pt idx="4">
                  <c:v>4270.3810000000003</c:v>
                </c:pt>
                <c:pt idx="5">
                  <c:v>4162.0569999999998</c:v>
                </c:pt>
                <c:pt idx="6">
                  <c:v>4366.4920000000002</c:v>
                </c:pt>
                <c:pt idx="7">
                  <c:v>4300.67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0-4494-AB1C-307B45C8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455439"/>
        <c:axId val="1284457935"/>
      </c:lineChart>
      <c:catAx>
        <c:axId val="1284455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Marketing</a:t>
                </a:r>
                <a:r>
                  <a:rPr lang="en-US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year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7034735339737654"/>
              <c:y val="0.8337041203182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7935"/>
        <c:crosses val="autoZero"/>
        <c:auto val="1"/>
        <c:lblAlgn val="ctr"/>
        <c:lblOffset val="100"/>
        <c:noMultiLvlLbl val="0"/>
      </c:catAx>
      <c:valAx>
        <c:axId val="128445793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 bushels</a:t>
                </a:r>
                <a:endParaRPr lang="en-US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014132848778519E-3"/>
              <c:y val="9.91941111527725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316340257505376"/>
          <c:y val="0.11809923515422367"/>
          <c:w val="0.57212184584510672"/>
          <c:h val="5.3106089743337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0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Figure 2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U.S. soybean meal exports by destination from October through July and remaining marketing year total</a:t>
            </a:r>
          </a:p>
        </c:rich>
      </c:tx>
      <c:layout>
        <c:manualLayout>
          <c:xMode val="edge"/>
          <c:yMode val="edge"/>
          <c:x val="4.5519438284477032E-5"/>
          <c:y val="1.1640905997861379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618015589816618E-2"/>
          <c:y val="0.26596310877806939"/>
          <c:w val="0.91313014021794114"/>
          <c:h val="0.4842345742285172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'Figure 2'!$A$2</c:f>
              <c:strCache>
                <c:ptCount val="1"/>
                <c:pt idx="0">
                  <c:v> Philippines </c:v>
                </c:pt>
              </c:strCache>
            </c:strRef>
          </c:tx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2'!$G$2:$J$2</c:f>
              <c:numCache>
                <c:formatCode>_(* #,##0_);_(* \(#,##0\);_(* "-"??_);_(@_)</c:formatCode>
                <c:ptCount val="4"/>
                <c:pt idx="0">
                  <c:v>2007370.8727785898</c:v>
                </c:pt>
                <c:pt idx="1">
                  <c:v>2512420.5125206001</c:v>
                </c:pt>
                <c:pt idx="2">
                  <c:v>2460439.7892563497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5-4E13-BBC9-B2EC9BE9D1F1}"/>
            </c:ext>
          </c:extLst>
        </c:ser>
        <c:ser>
          <c:idx val="2"/>
          <c:order val="1"/>
          <c:tx>
            <c:strRef>
              <c:f>'Figure 2'!$A$3</c:f>
              <c:strCache>
                <c:ptCount val="1"/>
                <c:pt idx="0">
                  <c:v> Mexico </c:v>
                </c:pt>
              </c:strCache>
            </c:strRef>
          </c:tx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2'!$G$3:$J$3</c:f>
              <c:numCache>
                <c:formatCode>_(* #,##0_);_(* \(#,##0\);_(* "-"??_);_(@_)</c:formatCode>
                <c:ptCount val="4"/>
                <c:pt idx="0">
                  <c:v>1617220.8421703398</c:v>
                </c:pt>
                <c:pt idx="1">
                  <c:v>1838217.38756326</c:v>
                </c:pt>
                <c:pt idx="2">
                  <c:v>2229997.2430312494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95-4E13-BBC9-B2EC9BE9D1F1}"/>
            </c:ext>
          </c:extLst>
        </c:ser>
        <c:ser>
          <c:idx val="0"/>
          <c:order val="2"/>
          <c:tx>
            <c:strRef>
              <c:f>'Figure 2'!$A$4</c:f>
              <c:strCache>
                <c:ptCount val="1"/>
                <c:pt idx="0">
                  <c:v> Colombia </c:v>
                </c:pt>
              </c:strCache>
            </c:strRef>
          </c:tx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2'!$G$4:$J$4</c:f>
              <c:numCache>
                <c:formatCode>_(* #,##0_);_(* \(#,##0\);_(* "-"??_);_(@_)</c:formatCode>
                <c:ptCount val="4"/>
                <c:pt idx="0">
                  <c:v>1258639.9527504218</c:v>
                </c:pt>
                <c:pt idx="1">
                  <c:v>1198706.24780379</c:v>
                </c:pt>
                <c:pt idx="2">
                  <c:v>1866835.8948854997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95-4E13-BBC9-B2EC9BE9D1F1}"/>
            </c:ext>
          </c:extLst>
        </c:ser>
        <c:ser>
          <c:idx val="1"/>
          <c:order val="3"/>
          <c:tx>
            <c:strRef>
              <c:f>'Figure 2'!$A$5</c:f>
              <c:strCache>
                <c:ptCount val="1"/>
                <c:pt idx="0">
                  <c:v> Canada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8994602836539557E-2"/>
                  <c:y val="-3.086419753086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95-4E13-BBC9-B2EC9BE9D1F1}"/>
                </c:ext>
              </c:extLst>
            </c:dLbl>
            <c:dLbl>
              <c:idx val="1"/>
              <c:layout>
                <c:manualLayout>
                  <c:x val="7.89946028365395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95-4E13-BBC9-B2EC9BE9D1F1}"/>
                </c:ext>
              </c:extLst>
            </c:dLbl>
            <c:dLbl>
              <c:idx val="2"/>
              <c:layout>
                <c:manualLayout>
                  <c:x val="7.1813275305945057E-2"/>
                  <c:y val="6.1728395061727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95-4E13-BBC9-B2EC9BE9D1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2'!$G$5:$J$5</c:f>
              <c:numCache>
                <c:formatCode>_(* #,##0_);_(* \(#,##0\);_(* "-"??_);_(@_)</c:formatCode>
                <c:ptCount val="4"/>
                <c:pt idx="0">
                  <c:v>1055685.6047326378</c:v>
                </c:pt>
                <c:pt idx="1">
                  <c:v>1200642.30871156</c:v>
                </c:pt>
                <c:pt idx="2">
                  <c:v>1243576.8180367399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95-4E13-BBC9-B2EC9BE9D1F1}"/>
            </c:ext>
          </c:extLst>
        </c:ser>
        <c:ser>
          <c:idx val="3"/>
          <c:order val="4"/>
          <c:tx>
            <c:strRef>
              <c:f>'Figure 2'!$A$6</c:f>
              <c:strCache>
                <c:ptCount val="1"/>
                <c:pt idx="0">
                  <c:v> Vietnam </c:v>
                </c:pt>
              </c:strCache>
            </c:strRef>
          </c:tx>
          <c:spPr>
            <a:pattFill prst="dkVert">
              <a:fgClr>
                <a:schemeClr val="accent4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7.5403939071242307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95-4E13-BBC9-B2EC9BE9D1F1}"/>
                </c:ext>
              </c:extLst>
            </c:dLbl>
            <c:dLbl>
              <c:idx val="1"/>
              <c:layout>
                <c:manualLayout>
                  <c:x val="-7.8994602836539529E-2"/>
                  <c:y val="-2.1604938271604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95-4E13-BBC9-B2EC9BE9D1F1}"/>
                </c:ext>
              </c:extLst>
            </c:dLbl>
            <c:dLbl>
              <c:idx val="2"/>
              <c:layout>
                <c:manualLayout>
                  <c:x val="-7.5403939071242362E-2"/>
                  <c:y val="-3.08641975308647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95-4E13-BBC9-B2EC9BE9D1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2'!$G$6:$J$6</c:f>
              <c:numCache>
                <c:formatCode>_(* #,##0_);_(* \(#,##0\);_(* "-"??_);_(@_)</c:formatCode>
                <c:ptCount val="4"/>
                <c:pt idx="0">
                  <c:v>341870.19830829807</c:v>
                </c:pt>
                <c:pt idx="1">
                  <c:v>803966.40669212979</c:v>
                </c:pt>
                <c:pt idx="2">
                  <c:v>822158.76448331994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95-4E13-BBC9-B2EC9BE9D1F1}"/>
            </c:ext>
          </c:extLst>
        </c:ser>
        <c:ser>
          <c:idx val="4"/>
          <c:order val="5"/>
          <c:tx>
            <c:strRef>
              <c:f>'Figure 2'!$A$7</c:f>
              <c:strCache>
                <c:ptCount val="1"/>
                <c:pt idx="0">
                  <c:v> Rest of world 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2'!$G$7:$J$7</c:f>
              <c:numCache>
                <c:formatCode>_(* #,##0_);_(* \(#,##0\);_(* "-"??_);_(@_)</c:formatCode>
                <c:ptCount val="4"/>
                <c:pt idx="0">
                  <c:v>5529260.8661376443</c:v>
                </c:pt>
                <c:pt idx="1">
                  <c:v>6282626.1306546126</c:v>
                </c:pt>
                <c:pt idx="2">
                  <c:v>6716389.7850397658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95-4E13-BBC9-B2EC9BE9D1F1}"/>
            </c:ext>
          </c:extLst>
        </c:ser>
        <c:ser>
          <c:idx val="6"/>
          <c:order val="6"/>
          <c:tx>
            <c:strRef>
              <c:f>'Figure 2'!$A$8</c:f>
              <c:strCache>
                <c:ptCount val="1"/>
                <c:pt idx="0">
                  <c:v> Remaining 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95-4E13-BBC9-B2EC9BE9D1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2'!$G$8:$J$8</c:f>
              <c:numCache>
                <c:formatCode>_(* #,##0_);_(* \(#,##0\);_(* "-"??_);_(@_)</c:formatCode>
                <c:ptCount val="4"/>
                <c:pt idx="0">
                  <c:v>1989732.6972493883</c:v>
                </c:pt>
                <c:pt idx="1">
                  <c:v>4263421.0060540475</c:v>
                </c:pt>
                <c:pt idx="2">
                  <c:v>3860601.7052670754</c:v>
                </c:pt>
                <c:pt idx="3">
                  <c:v>19200000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95-4E13-BBC9-B2EC9BE9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172272"/>
        <c:axId val="667170632"/>
      </c:barChart>
      <c:lineChart>
        <c:grouping val="standard"/>
        <c:varyColors val="0"/>
        <c:ser>
          <c:idx val="7"/>
          <c:order val="7"/>
          <c:tx>
            <c:strRef>
              <c:f>'Figure 2'!$A$9</c:f>
              <c:strCache>
                <c:ptCount val="1"/>
                <c:pt idx="0">
                  <c:v> Forecast </c:v>
                </c:pt>
              </c:strCache>
            </c:strRef>
          </c:tx>
          <c:spPr>
            <a:ln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1"/>
              <c:layout>
                <c:manualLayout>
                  <c:x val="-3.1943517416548849E-2"/>
                  <c:y val="-6.7181467181467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095-4E13-BBC9-B2EC9BE9D1F1}"/>
                </c:ext>
              </c:extLst>
            </c:dLbl>
            <c:numFmt formatCode="#,##0.0" sourceLinked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2'!$G$1:$J$1</c:f>
              <c:strCache>
                <c:ptCount val="4"/>
                <c:pt idx="0">
                  <c:v>Average (2018/19–2022/23)</c:v>
                </c:pt>
                <c:pt idx="1">
                  <c:v>2023/24</c:v>
                </c:pt>
                <c:pt idx="2">
                  <c:v>2024/25*</c:v>
                </c:pt>
                <c:pt idx="3">
                  <c:v>2025/26*</c:v>
                </c:pt>
              </c:strCache>
            </c:strRef>
          </c:cat>
          <c:val>
            <c:numRef>
              <c:f>'Figure 2'!$G$9:$J$9</c:f>
              <c:numCache>
                <c:formatCode>_(* #,##0_);_(* \(#,##0\);_(* "-"??_);_(@_)</c:formatCode>
                <c:ptCount val="4"/>
                <c:pt idx="0">
                  <c:v>13799781.034127321</c:v>
                </c:pt>
                <c:pt idx="1">
                  <c:v>16054414.6584592</c:v>
                </c:pt>
                <c:pt idx="2">
                  <c:v>18100000</c:v>
                </c:pt>
                <c:pt idx="3">
                  <c:v>19200000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095-4E13-BBC9-B2EC9BE9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172272"/>
        <c:axId val="667170632"/>
      </c:line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Marketing year</a:t>
                </a:r>
              </a:p>
            </c:rich>
          </c:tx>
          <c:layout>
            <c:manualLayout>
              <c:xMode val="edge"/>
              <c:yMode val="edge"/>
              <c:x val="0.44792964523137513"/>
              <c:y val="0.827025423597198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0"/>
        <c:lblAlgn val="ctr"/>
        <c:lblOffset val="100"/>
        <c:noMultiLvlLbl val="0"/>
      </c:catAx>
      <c:valAx>
        <c:axId val="66717063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Million short tons</a:t>
                </a:r>
              </a:p>
            </c:rich>
          </c:tx>
          <c:layout>
            <c:manualLayout>
              <c:xMode val="edge"/>
              <c:yMode val="edge"/>
              <c:x val="1.1549686536760945E-3"/>
              <c:y val="0.194154591622792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dispUnits>
          <c:builtInUnit val="millions"/>
        </c:dispUnits>
      </c:valAx>
    </c:plotArea>
    <c:legend>
      <c:legendPos val="t"/>
      <c:legendEntry>
        <c:idx val="7"/>
        <c:delete val="1"/>
      </c:legendEntry>
      <c:layout>
        <c:manualLayout>
          <c:xMode val="edge"/>
          <c:yMode val="edge"/>
          <c:x val="0.133164382439278"/>
          <c:y val="0.15825445757282633"/>
          <c:w val="0.71599978118527452"/>
          <c:h val="4.9226936910663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Figure 3</a:t>
            </a:r>
          </a:p>
          <a:p>
            <a:pPr algn="l">
              <a:defRPr>
                <a:solidFill>
                  <a:sysClr val="windowText" lastClr="000000"/>
                </a:solidFill>
              </a:defRPr>
            </a:pPr>
            <a:endParaRPr lang="en-US" sz="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defRPr>
                <a:solidFill>
                  <a:sysClr val="windowText" lastClr="000000"/>
                </a:solidFill>
              </a:defRPr>
            </a:pPr>
            <a:r>
              <a:rPr lang="en-US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U.S.</a:t>
            </a:r>
            <a:r>
              <a:rPr lang="en-US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peanut production, food use, crush, and exports</a:t>
            </a:r>
            <a:endPara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3283742328470385E-3"/>
          <c:y val="1.5723860098882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73385913429284E-2"/>
          <c:y val="0.1898001332971552"/>
          <c:w val="0.87584514010397652"/>
          <c:h val="0.520072549479324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3'!$B$1</c:f>
              <c:strCache>
                <c:ptCount val="1"/>
                <c:pt idx="0">
                  <c:v>Food use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3'!$A$2:$A$7</c:f>
              <c:strCache>
                <c:ptCount val="6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2025/26*</c:v>
                </c:pt>
              </c:strCache>
            </c:strRef>
          </c:cat>
          <c:val>
            <c:numRef>
              <c:f>'Figure 3'!$B$2:$B$7</c:f>
              <c:numCache>
                <c:formatCode>_(* #,##0_);_(* \(#,##0\);_(* "-"??_);_(@_)</c:formatCode>
                <c:ptCount val="6"/>
                <c:pt idx="0">
                  <c:v>3369.5</c:v>
                </c:pt>
                <c:pt idx="1">
                  <c:v>3322.4</c:v>
                </c:pt>
                <c:pt idx="2">
                  <c:v>3298.5</c:v>
                </c:pt>
                <c:pt idx="3">
                  <c:v>3123.5</c:v>
                </c:pt>
                <c:pt idx="4">
                  <c:v>3174.7</c:v>
                </c:pt>
                <c:pt idx="5">
                  <c:v>3233.2548747564797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E-45F7-9AA9-02C3ED25E2F1}"/>
            </c:ext>
          </c:extLst>
        </c:ser>
        <c:ser>
          <c:idx val="5"/>
          <c:order val="1"/>
          <c:tx>
            <c:strRef>
              <c:f>'Figure 3'!$C$1</c:f>
              <c:strCache>
                <c:ptCount val="1"/>
                <c:pt idx="0">
                  <c:v>Crush</c:v>
                </c:pt>
              </c:strCache>
            </c:strRef>
          </c:tx>
          <c:spPr>
            <a:solidFill>
              <a:schemeClr val="accent6"/>
            </a:solidFill>
            <a:ln w="381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3'!$A$2:$A$7</c:f>
              <c:strCache>
                <c:ptCount val="6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2025/26*</c:v>
                </c:pt>
              </c:strCache>
            </c:strRef>
          </c:cat>
          <c:val>
            <c:numRef>
              <c:f>'Figure 3'!$C$2:$C$7</c:f>
              <c:numCache>
                <c:formatCode>_(* #,##0_);_(* \(#,##0\);_(* "-"??_);_(@_)</c:formatCode>
                <c:ptCount val="6"/>
                <c:pt idx="0">
                  <c:v>872.91017669999985</c:v>
                </c:pt>
                <c:pt idx="1">
                  <c:v>842.43227200000001</c:v>
                </c:pt>
                <c:pt idx="2">
                  <c:v>794.70279860000005</c:v>
                </c:pt>
                <c:pt idx="3">
                  <c:v>654.23564369999997</c:v>
                </c:pt>
                <c:pt idx="4">
                  <c:v>717.9313846</c:v>
                </c:pt>
                <c:pt idx="5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E-45F7-9AA9-02C3ED25E2F1}"/>
            </c:ext>
          </c:extLst>
        </c:ser>
        <c:ser>
          <c:idx val="0"/>
          <c:order val="2"/>
          <c:tx>
            <c:strRef>
              <c:f>'Figure 3'!$D$1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3'!$A$2:$A$7</c:f>
              <c:strCache>
                <c:ptCount val="6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2025/26*</c:v>
                </c:pt>
              </c:strCache>
            </c:strRef>
          </c:cat>
          <c:val>
            <c:numRef>
              <c:f>'Figure 3'!$D$2:$D$7</c:f>
              <c:numCache>
                <c:formatCode>_(* #,##0_);_(* \(#,##0\);_(* "-"??_);_(@_)</c:formatCode>
                <c:ptCount val="6"/>
                <c:pt idx="0">
                  <c:v>1429.3264914515985</c:v>
                </c:pt>
                <c:pt idx="1">
                  <c:v>1184.1439732486624</c:v>
                </c:pt>
                <c:pt idx="2">
                  <c:v>1197.0844905573588</c:v>
                </c:pt>
                <c:pt idx="3">
                  <c:v>1456.688628004054</c:v>
                </c:pt>
                <c:pt idx="4">
                  <c:v>1188.0798610999127</c:v>
                </c:pt>
                <c:pt idx="5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E-45F7-9AA9-02C3ED25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455439"/>
        <c:axId val="1284457935"/>
      </c:barChart>
      <c:lineChart>
        <c:grouping val="standard"/>
        <c:varyColors val="0"/>
        <c:ser>
          <c:idx val="2"/>
          <c:order val="3"/>
          <c:tx>
            <c:strRef>
              <c:f>'Figure 3'!$E$1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3'!$A$2:$A$7</c:f>
              <c:strCache>
                <c:ptCount val="6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2025/26*</c:v>
                </c:pt>
              </c:strCache>
            </c:strRef>
          </c:cat>
          <c:val>
            <c:numRef>
              <c:f>'Figure 3'!$E$2:$E$7</c:f>
              <c:numCache>
                <c:formatCode>_(* #,##0_);_(* \(#,##0\);_(* "-"??_);_(@_)</c:formatCode>
                <c:ptCount val="6"/>
                <c:pt idx="0">
                  <c:v>6162.75</c:v>
                </c:pt>
                <c:pt idx="1">
                  <c:v>6359.19</c:v>
                </c:pt>
                <c:pt idx="2">
                  <c:v>5541.7719999999999</c:v>
                </c:pt>
                <c:pt idx="3">
                  <c:v>5877.56</c:v>
                </c:pt>
                <c:pt idx="4">
                  <c:v>6448.02</c:v>
                </c:pt>
                <c:pt idx="5">
                  <c:v>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9E-45F7-9AA9-02C3ED25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455439"/>
        <c:axId val="1284457935"/>
      </c:lineChart>
      <c:catAx>
        <c:axId val="1284455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Marketing</a:t>
                </a:r>
                <a:r>
                  <a:rPr lang="en-US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year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7034735339737654"/>
              <c:y val="0.83370412031829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7935"/>
        <c:crosses val="autoZero"/>
        <c:auto val="1"/>
        <c:lblAlgn val="ctr"/>
        <c:lblOffset val="100"/>
        <c:noMultiLvlLbl val="0"/>
      </c:catAx>
      <c:valAx>
        <c:axId val="128445793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 pounds</a:t>
                </a:r>
                <a:endParaRPr lang="en-US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014234433312307E-3"/>
              <c:y val="0.11689124242337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445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316340257505376"/>
          <c:y val="0.11809923515422367"/>
          <c:w val="0.57212184584510672"/>
          <c:h val="5.3106089743337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0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Figure 4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2024/25 U.S. peanut consumption by category and 10 year comparison</a:t>
            </a:r>
            <a:endPara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4.1658971733010992E-3"/>
          <c:y val="4.459377431241290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6102686480909E-2"/>
          <c:y val="0.26596310877806939"/>
          <c:w val="0.90954211605902202"/>
          <c:h val="0.4672302992842619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'Figure 4'!$C$1</c:f>
              <c:strCache>
                <c:ptCount val="1"/>
                <c:pt idx="0">
                  <c:v>10-year average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4'!$A$2:$A$5</c:f>
              <c:strCache>
                <c:ptCount val="4"/>
                <c:pt idx="0">
                  <c:v>Peanut candy</c:v>
                </c:pt>
                <c:pt idx="1">
                  <c:v>Peanut snacks</c:v>
                </c:pt>
                <c:pt idx="2">
                  <c:v>Peanut butter</c:v>
                </c:pt>
                <c:pt idx="3">
                  <c:v>Peanut other use</c:v>
                </c:pt>
              </c:strCache>
            </c:strRef>
          </c:cat>
          <c:val>
            <c:numRef>
              <c:f>'Figure 4'!$C$2:$C$5</c:f>
              <c:numCache>
                <c:formatCode>_(* #,##0_);_(* \(#,##0\);_(* "-"??_);_(@_)</c:formatCode>
                <c:ptCount val="4"/>
                <c:pt idx="0">
                  <c:v>409245800</c:v>
                </c:pt>
                <c:pt idx="1">
                  <c:v>473062600</c:v>
                </c:pt>
                <c:pt idx="2">
                  <c:v>1379979000</c:v>
                </c:pt>
                <c:pt idx="3">
                  <c:v>70446900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71-4126-8F05-4553D9BE293D}"/>
            </c:ext>
          </c:extLst>
        </c:ser>
        <c:ser>
          <c:idx val="2"/>
          <c:order val="1"/>
          <c:tx>
            <c:strRef>
              <c:f>'Figure 4'!$B$1</c:f>
              <c:strCache>
                <c:ptCount val="1"/>
                <c:pt idx="0">
                  <c:v>2024/25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4'!$A$2:$A$5</c:f>
              <c:strCache>
                <c:ptCount val="4"/>
                <c:pt idx="0">
                  <c:v>Peanut candy</c:v>
                </c:pt>
                <c:pt idx="1">
                  <c:v>Peanut snacks</c:v>
                </c:pt>
                <c:pt idx="2">
                  <c:v>Peanut butter</c:v>
                </c:pt>
                <c:pt idx="3">
                  <c:v>Peanut other use</c:v>
                </c:pt>
              </c:strCache>
            </c:strRef>
          </c:cat>
          <c:val>
            <c:numRef>
              <c:f>'Figure 4'!$B$2:$B$5</c:f>
              <c:numCache>
                <c:formatCode>_(* #,##0_);_(* \(#,##0\);_(* "-"??_);_(@_)</c:formatCode>
                <c:ptCount val="4"/>
                <c:pt idx="0">
                  <c:v>391079000</c:v>
                </c:pt>
                <c:pt idx="1">
                  <c:v>426415000</c:v>
                </c:pt>
                <c:pt idx="2">
                  <c:v>1467230000</c:v>
                </c:pt>
                <c:pt idx="3">
                  <c:v>60297000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71-4126-8F05-4553D9BE2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0"/>
        <c:lblAlgn val="ctr"/>
        <c:lblOffset val="100"/>
        <c:noMultiLvlLbl val="0"/>
      </c:catAx>
      <c:valAx>
        <c:axId val="66717063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Million pounds</a:t>
                </a:r>
              </a:p>
            </c:rich>
          </c:tx>
          <c:layout>
            <c:manualLayout>
              <c:xMode val="edge"/>
              <c:yMode val="edge"/>
              <c:x val="1.1549659233772249E-3"/>
              <c:y val="0.182320174539607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dispUnits>
          <c:builtInUnit val="millions"/>
        </c:dispUnits>
      </c:valAx>
    </c:plotArea>
    <c:legend>
      <c:legendPos val="t"/>
      <c:layout>
        <c:manualLayout>
          <c:xMode val="edge"/>
          <c:yMode val="edge"/>
          <c:x val="0.33265933600957132"/>
          <c:y val="0.12598210206659322"/>
          <c:w val="0.35047191411594575"/>
          <c:h val="7.2580330189101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95567</xdr:colOff>
      <xdr:row>0</xdr:row>
      <xdr:rowOff>0</xdr:rowOff>
    </xdr:from>
    <xdr:to>
      <xdr:col>14</xdr:col>
      <xdr:colOff>580496</xdr:colOff>
      <xdr:row>19</xdr:row>
      <xdr:rowOff>108161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84D3362-28BD-4013-88EF-32797973C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0.8653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1E82A4-A363-412D-865A-84479BD7EF3C}"/>
            </a:ext>
          </a:extLst>
        </cdr:cNvPr>
        <cdr:cNvSpPr txBox="1"/>
      </cdr:nvSpPr>
      <cdr:spPr>
        <a:xfrm xmlns:a="http://schemas.openxmlformats.org/drawingml/2006/main">
          <a:off x="0" y="3323167"/>
          <a:ext cx="5943601" cy="517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Asterisk (*) denotes forecast.</a:t>
          </a:r>
        </a:p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USDA, Economic Research Service</a:t>
          </a:r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using data from USDA, World Agricultural Outlook Board, </a:t>
          </a:r>
          <a:r>
            <a:rPr lang="en-US" sz="9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Agricultural Supply and Demand Estimates, </a:t>
          </a:r>
          <a:r>
            <a:rPr lang="en-US" sz="9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September </a:t>
          </a: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2025.</a:t>
          </a:r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19050</xdr:rowOff>
    </xdr:from>
    <xdr:to>
      <xdr:col>21</xdr:col>
      <xdr:colOff>594360</xdr:colOff>
      <xdr:row>19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B0F7A1-04AD-46D2-A727-9CE37C17F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0.88166</cdr:y>
    </cdr:from>
    <cdr:to>
      <cdr:x>1</cdr:x>
      <cdr:y>0.98817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2838451"/>
          <a:ext cx="707898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MY=Marketing year. Asterisk (*)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denotes forecast.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</a:t>
          </a: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USDA, Economic Research Service using data from USDA,</a:t>
          </a:r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Foreign Agricultural Service, Global Agricultural Trade System.</a:t>
          </a:r>
          <a:endParaRPr lang="en-US" sz="90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58948</xdr:colOff>
      <xdr:row>0</xdr:row>
      <xdr:rowOff>9313</xdr:rowOff>
    </xdr:from>
    <xdr:to>
      <xdr:col>16</xdr:col>
      <xdr:colOff>12805</xdr:colOff>
      <xdr:row>20</xdr:row>
      <xdr:rowOff>52917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87A4BF5-0B7F-4B3C-9E84-C826559F2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0.8653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1E82A4-A363-412D-865A-84479BD7EF3C}"/>
            </a:ext>
          </a:extLst>
        </cdr:cNvPr>
        <cdr:cNvSpPr txBox="1"/>
      </cdr:nvSpPr>
      <cdr:spPr>
        <a:xfrm xmlns:a="http://schemas.openxmlformats.org/drawingml/2006/main">
          <a:off x="0" y="3323167"/>
          <a:ext cx="5943601" cy="517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Asterisk (*) denotes forecast.</a:t>
          </a:r>
        </a:p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USDA, Economic Research Service</a:t>
          </a:r>
          <a:r>
            <a:rPr lang="en-US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using data from USDA, World Agricultural Outlook Board, </a:t>
          </a:r>
          <a:r>
            <a:rPr lang="en-US" sz="9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Agricultural Supply and Demand Estimates, </a:t>
          </a:r>
          <a:r>
            <a:rPr lang="en-US" sz="9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September </a:t>
          </a: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2025.</a:t>
          </a:r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329565</xdr:colOff>
      <xdr:row>0</xdr:row>
      <xdr:rowOff>38100</xdr:rowOff>
    </xdr:from>
    <xdr:to>
      <xdr:col>13</xdr:col>
      <xdr:colOff>485775</xdr:colOff>
      <xdr:row>17</xdr:row>
      <xdr:rowOff>45720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574E46-DB82-E98C-9962-BBB1DF904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0.88737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2476500"/>
          <a:ext cx="5029199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Source: 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USDA, Economic Research Service using data from USDA, National Agricultural Statistic Service,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Peanut Stocks and Processing report.</a:t>
          </a:r>
          <a:endParaRPr lang="en-US" sz="80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8"/>
  <sheetViews>
    <sheetView tabSelected="1" workbookViewId="0">
      <selection activeCell="A4" sqref="A4"/>
    </sheetView>
  </sheetViews>
  <sheetFormatPr defaultColWidth="9.5546875" defaultRowHeight="13.8"/>
  <cols>
    <col min="1" max="1" width="166.6640625" style="12" customWidth="1"/>
    <col min="2" max="16384" width="9.5546875" style="1"/>
  </cols>
  <sheetData>
    <row r="1" spans="1:3">
      <c r="B1" s="79"/>
      <c r="C1" s="79"/>
    </row>
    <row r="2" spans="1:3" s="2" customFormat="1">
      <c r="A2" s="7" t="s">
        <v>0</v>
      </c>
    </row>
    <row r="3" spans="1:3">
      <c r="A3" s="8"/>
      <c r="B3" s="3"/>
      <c r="C3" s="2"/>
    </row>
    <row r="4" spans="1:3">
      <c r="A4" s="10" t="s">
        <v>1</v>
      </c>
      <c r="B4" s="4"/>
      <c r="C4" s="79"/>
    </row>
    <row r="5" spans="1:3">
      <c r="A5" s="10" t="s">
        <v>2</v>
      </c>
      <c r="B5" s="4"/>
      <c r="C5" s="79"/>
    </row>
    <row r="6" spans="1:3">
      <c r="A6" s="10" t="s">
        <v>3</v>
      </c>
      <c r="B6" s="4"/>
      <c r="C6" s="79"/>
    </row>
    <row r="7" spans="1:3">
      <c r="A7" s="10" t="s">
        <v>4</v>
      </c>
      <c r="B7" s="4"/>
      <c r="C7" s="79"/>
    </row>
    <row r="8" spans="1:3">
      <c r="A8" s="10" t="s">
        <v>5</v>
      </c>
      <c r="B8" s="4"/>
      <c r="C8" s="79"/>
    </row>
    <row r="9" spans="1:3">
      <c r="A9" s="10" t="s">
        <v>6</v>
      </c>
      <c r="B9" s="4"/>
      <c r="C9" s="79"/>
    </row>
    <row r="10" spans="1:3">
      <c r="A10" s="10" t="s">
        <v>7</v>
      </c>
      <c r="B10" s="4"/>
      <c r="C10" s="79"/>
    </row>
    <row r="11" spans="1:3">
      <c r="A11" s="10" t="s">
        <v>8</v>
      </c>
      <c r="B11" s="4"/>
      <c r="C11" s="79"/>
    </row>
    <row r="12" spans="1:3">
      <c r="A12" s="10" t="s">
        <v>9</v>
      </c>
      <c r="B12" s="4"/>
      <c r="C12" s="79"/>
    </row>
    <row r="13" spans="1:3">
      <c r="A13" s="10" t="s">
        <v>10</v>
      </c>
      <c r="B13" s="4"/>
      <c r="C13" s="79"/>
    </row>
    <row r="14" spans="1:3">
      <c r="A14" s="11" t="s">
        <v>11</v>
      </c>
      <c r="B14" s="4"/>
      <c r="C14" s="79"/>
    </row>
    <row r="15" spans="1:3">
      <c r="A15" s="11" t="s">
        <v>12</v>
      </c>
      <c r="B15" s="79"/>
      <c r="C15" s="79"/>
    </row>
    <row r="16" spans="1:3" ht="13.2">
      <c r="A16" s="79"/>
      <c r="B16" s="79"/>
      <c r="C16" s="79"/>
    </row>
    <row r="17" spans="1:3">
      <c r="A17" s="7" t="s">
        <v>13</v>
      </c>
      <c r="B17" s="79"/>
      <c r="C17" s="79"/>
    </row>
    <row r="18" spans="1:3">
      <c r="A18" s="9">
        <v>45916</v>
      </c>
    </row>
  </sheetData>
  <hyperlinks>
    <hyperlink ref="A4" location="'Table 1'!A1" display="Table 1--Soybeans:  Annual U.S. supply and disappearance" xr:uid="{00000000-0004-0000-0000-000000000000}"/>
    <hyperlink ref="A5" location="'Table 2'!A1" display="Table 2--Soybean meal:  U.S. supply and disappearance" xr:uid="{00000000-0004-0000-0000-000001000000}"/>
    <hyperlink ref="A6" location="'Table 3'!A1" display="Table 3--Soybean oil:  U.S. supply and disappearance" xr:uid="{00000000-0004-0000-0000-000002000000}"/>
    <hyperlink ref="A7" location="'Tables 4-7'!A1" display="Table 4--Cottonseed:  U.S. supply and disappearance" xr:uid="{00000000-0004-0000-0000-000003000000}"/>
    <hyperlink ref="A8" location="'Tables 4-7'!A1" display="Table 5--Cottonseed meal:  U.S. supply and disappearance" xr:uid="{00000000-0004-0000-0000-000004000000}"/>
    <hyperlink ref="A9" location="'Tables 4-7'!A1" display="Table 6--Cottonseed oil:  U.S. supply and disappearance" xr:uid="{00000000-0004-0000-0000-000005000000}"/>
    <hyperlink ref="A10" location="'Tables 4-7'!A1" display="Table 7--Peanuts:  U.S. supply and disappearance" xr:uid="{00000000-0004-0000-0000-000006000000}"/>
    <hyperlink ref="A11" location="'Table 8'!A1" display="Table 8--Oilseed prices received by U.S. farmers" xr:uid="{00000000-0004-0000-0000-000007000000}"/>
    <hyperlink ref="A12" location="'Table 9'!A1" display="Table 9--U.S. vegetable oil and fats prices" xr:uid="{00000000-0004-0000-0000-000008000000}"/>
    <hyperlink ref="A13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0ACF-5C3A-42C5-98EB-F5613125E956}">
  <sheetPr codeName="Sheet11"/>
  <dimension ref="A1:M22"/>
  <sheetViews>
    <sheetView workbookViewId="0"/>
  </sheetViews>
  <sheetFormatPr defaultRowHeight="13.2"/>
  <cols>
    <col min="1" max="1" width="14.5546875" bestFit="1" customWidth="1"/>
    <col min="2" max="2" width="17.44140625" bestFit="1" customWidth="1"/>
    <col min="3" max="3" width="16.6640625" bestFit="1" customWidth="1"/>
    <col min="4" max="4" width="18.5546875" bestFit="1" customWidth="1"/>
    <col min="5" max="6" width="13.88671875" bestFit="1" customWidth="1"/>
    <col min="7" max="7" width="16.33203125" customWidth="1"/>
    <col min="8" max="11" width="13.88671875" bestFit="1" customWidth="1"/>
  </cols>
  <sheetData>
    <row r="1" spans="1:13">
      <c r="A1" s="155" t="s">
        <v>164</v>
      </c>
      <c r="B1" s="155" t="s">
        <v>115</v>
      </c>
      <c r="C1" s="155" t="s">
        <v>116</v>
      </c>
      <c r="D1" s="155" t="s">
        <v>117</v>
      </c>
      <c r="E1" s="155" t="s">
        <v>118</v>
      </c>
      <c r="F1" s="155" t="s">
        <v>119</v>
      </c>
      <c r="G1" s="192" t="s">
        <v>173</v>
      </c>
      <c r="H1" s="155" t="s">
        <v>35</v>
      </c>
      <c r="I1" s="155" t="s">
        <v>156</v>
      </c>
      <c r="J1" s="155" t="s">
        <v>155</v>
      </c>
    </row>
    <row r="2" spans="1:13">
      <c r="A2" s="172" t="s">
        <v>165</v>
      </c>
      <c r="B2" s="172">
        <v>1956524.4154812398</v>
      </c>
      <c r="C2" s="172">
        <v>2142954.36895034</v>
      </c>
      <c r="D2" s="172">
        <v>1988821.5120523199</v>
      </c>
      <c r="E2" s="172">
        <v>2044029.3360263698</v>
      </c>
      <c r="F2" s="172">
        <v>1904524.7313826799</v>
      </c>
      <c r="G2" s="182">
        <v>2007370.8727785898</v>
      </c>
      <c r="H2" s="172">
        <v>2512420.5125206001</v>
      </c>
      <c r="I2" s="172">
        <v>2460439.7892563497</v>
      </c>
      <c r="J2" s="172">
        <v>0</v>
      </c>
    </row>
    <row r="3" spans="1:13">
      <c r="A3" s="172" t="s">
        <v>166</v>
      </c>
      <c r="B3" s="172">
        <v>1603621.4342614398</v>
      </c>
      <c r="C3" s="172">
        <v>1689707.9375724895</v>
      </c>
      <c r="D3" s="172">
        <v>1738761.8106316698</v>
      </c>
      <c r="E3" s="172">
        <v>1481983.23103501</v>
      </c>
      <c r="F3" s="172">
        <v>1572029.7973510898</v>
      </c>
      <c r="G3" s="182">
        <v>1617220.8421703398</v>
      </c>
      <c r="H3" s="172">
        <v>1838217.38756326</v>
      </c>
      <c r="I3" s="172">
        <v>2229997.2430312494</v>
      </c>
      <c r="J3" s="172">
        <v>0</v>
      </c>
    </row>
    <row r="4" spans="1:13">
      <c r="A4" s="172" t="s">
        <v>167</v>
      </c>
      <c r="B4" s="172">
        <v>1122893.6617058599</v>
      </c>
      <c r="C4" s="172">
        <v>1292349.0641186398</v>
      </c>
      <c r="D4" s="172">
        <v>1072214.6056143499</v>
      </c>
      <c r="E4" s="172">
        <v>1471091.1736478098</v>
      </c>
      <c r="F4" s="172">
        <v>1334651.2586654497</v>
      </c>
      <c r="G4" s="182">
        <v>1258639.9527504218</v>
      </c>
      <c r="H4" s="172">
        <v>1198706.24780379</v>
      </c>
      <c r="I4" s="172">
        <v>1866835.8948854997</v>
      </c>
      <c r="J4" s="172">
        <v>0</v>
      </c>
    </row>
    <row r="5" spans="1:13">
      <c r="A5" s="172" t="s">
        <v>168</v>
      </c>
      <c r="B5" s="172">
        <v>884721.00456618995</v>
      </c>
      <c r="C5" s="172">
        <v>995690.33070187981</v>
      </c>
      <c r="D5" s="172">
        <v>1121840.4904810397</v>
      </c>
      <c r="E5" s="172">
        <v>1200722.19642419</v>
      </c>
      <c r="F5" s="172">
        <v>1075454.00148989</v>
      </c>
      <c r="G5" s="182">
        <v>1055685.6047326378</v>
      </c>
      <c r="H5" s="172">
        <v>1200642.30871156</v>
      </c>
      <c r="I5" s="172">
        <v>1243576.8180367399</v>
      </c>
      <c r="J5" s="172">
        <v>0</v>
      </c>
    </row>
    <row r="6" spans="1:13">
      <c r="A6" s="172" t="s">
        <v>169</v>
      </c>
      <c r="B6" s="172">
        <v>564010.69478423998</v>
      </c>
      <c r="C6" s="172">
        <v>177760.08028944</v>
      </c>
      <c r="D6" s="172">
        <v>406447.72694833996</v>
      </c>
      <c r="E6" s="172">
        <v>117703.87805758999</v>
      </c>
      <c r="F6" s="172">
        <v>443428.61146187992</v>
      </c>
      <c r="G6" s="182">
        <v>341870.19830829807</v>
      </c>
      <c r="H6" s="172">
        <v>803966.40669212979</v>
      </c>
      <c r="I6" s="172">
        <v>822158.76448331994</v>
      </c>
      <c r="J6" s="172">
        <v>0</v>
      </c>
    </row>
    <row r="7" spans="1:13">
      <c r="A7" s="172" t="s">
        <v>172</v>
      </c>
      <c r="B7" s="172">
        <v>5261214.3143269625</v>
      </c>
      <c r="C7" s="172">
        <v>5431146.6554120565</v>
      </c>
      <c r="D7" s="172">
        <v>5574140.3104070164</v>
      </c>
      <c r="E7" s="172">
        <v>5449695.8882703725</v>
      </c>
      <c r="F7" s="172">
        <v>5930107.1622718163</v>
      </c>
      <c r="G7" s="182">
        <v>5529260.8661376443</v>
      </c>
      <c r="H7" s="172">
        <v>6282626.1306546126</v>
      </c>
      <c r="I7" s="172">
        <v>6716389.7850397658</v>
      </c>
      <c r="J7" s="172">
        <v>0</v>
      </c>
    </row>
    <row r="8" spans="1:13">
      <c r="A8" s="172" t="s">
        <v>170</v>
      </c>
      <c r="B8" s="172">
        <f>B9-SUM(B2:B7)</f>
        <v>1989770.1083285678</v>
      </c>
      <c r="C8" s="172">
        <f>C9-SUM(C2:C7)</f>
        <v>2103503.3164402544</v>
      </c>
      <c r="D8" s="172">
        <f>D9-SUM(D2:D7)</f>
        <v>1773136.8327102643</v>
      </c>
      <c r="E8" s="172">
        <f>E9-SUM(E2:E7)</f>
        <v>1796232.120094059</v>
      </c>
      <c r="F8" s="172">
        <f>F9-SUM(F2:F7)</f>
        <v>2286021.1086737961</v>
      </c>
      <c r="G8" s="182">
        <f>AVERAGE(B8:F8)</f>
        <v>1989732.6972493883</v>
      </c>
      <c r="H8" s="172">
        <f>I9-SUM(H2:H7)</f>
        <v>4263421.0060540475</v>
      </c>
      <c r="I8" s="172">
        <f>J9-SUM(I2:I7)</f>
        <v>3860601.7052670754</v>
      </c>
      <c r="J8" s="172">
        <f>J9-SUM(J2:J7)</f>
        <v>19200000</v>
      </c>
    </row>
    <row r="9" spans="1:13">
      <c r="A9" s="172" t="s">
        <v>171</v>
      </c>
      <c r="B9" s="172">
        <v>13382755.6334545</v>
      </c>
      <c r="C9" s="188">
        <v>13833111.7534851</v>
      </c>
      <c r="D9" s="172">
        <v>13675363.288845001</v>
      </c>
      <c r="E9" s="172">
        <v>13561457.823555401</v>
      </c>
      <c r="F9" s="172">
        <v>14546216.6712966</v>
      </c>
      <c r="G9" s="182">
        <f>AVERAGE(B9:F9)</f>
        <v>13799781.034127321</v>
      </c>
      <c r="H9" s="182">
        <v>16054414.6584592</v>
      </c>
      <c r="I9" s="172">
        <v>18100000</v>
      </c>
      <c r="J9" s="172">
        <v>19200000</v>
      </c>
    </row>
    <row r="10" spans="1:13">
      <c r="B10" s="121"/>
      <c r="C10" s="121"/>
      <c r="D10" s="121"/>
      <c r="E10" s="121"/>
      <c r="F10" s="121"/>
      <c r="G10" s="121"/>
      <c r="H10" s="121"/>
      <c r="I10" s="121"/>
    </row>
    <row r="11" spans="1:13">
      <c r="A11" s="172"/>
      <c r="B11" s="65"/>
      <c r="C11" s="65"/>
      <c r="D11" s="65"/>
      <c r="E11" s="65"/>
      <c r="F11" s="65"/>
      <c r="G11" s="65"/>
      <c r="H11" s="65"/>
      <c r="I11" s="65"/>
      <c r="J11" s="65"/>
    </row>
    <row r="12" spans="1:13">
      <c r="A12" s="182"/>
      <c r="B12" s="65"/>
      <c r="C12" s="65"/>
      <c r="D12" s="65"/>
      <c r="E12" s="65"/>
      <c r="F12" s="65"/>
      <c r="G12" s="65"/>
      <c r="H12" s="65"/>
      <c r="I12" s="65"/>
      <c r="J12" s="65"/>
      <c r="K12" s="89"/>
      <c r="L12" s="89"/>
      <c r="M12" s="182"/>
    </row>
    <row r="13" spans="1:13">
      <c r="A13" s="182"/>
      <c r="B13" s="65"/>
      <c r="C13" s="65"/>
      <c r="D13" s="65"/>
      <c r="E13" s="65"/>
      <c r="F13" s="65"/>
      <c r="G13" s="65"/>
      <c r="H13" s="65"/>
      <c r="I13" s="65"/>
      <c r="J13" s="65"/>
      <c r="K13" s="89"/>
      <c r="L13" s="89"/>
      <c r="M13" s="182"/>
    </row>
    <row r="14" spans="1:13">
      <c r="A14" s="182"/>
      <c r="B14" s="65"/>
      <c r="C14" s="65"/>
      <c r="D14" s="65"/>
      <c r="E14" s="65"/>
      <c r="F14" s="65"/>
      <c r="G14" s="65"/>
      <c r="H14" s="65"/>
      <c r="I14" s="65"/>
      <c r="J14" s="65"/>
      <c r="K14" s="89"/>
      <c r="L14" s="89"/>
      <c r="M14" s="182"/>
    </row>
    <row r="15" spans="1:13">
      <c r="A15" s="182"/>
      <c r="B15" s="65"/>
      <c r="C15" s="65"/>
      <c r="D15" s="65"/>
      <c r="E15" s="65"/>
      <c r="F15" s="65"/>
      <c r="G15" s="65"/>
      <c r="H15" s="65"/>
      <c r="I15" s="65"/>
      <c r="J15" s="65"/>
      <c r="K15" s="89"/>
      <c r="L15" s="89"/>
      <c r="M15" s="182"/>
    </row>
    <row r="16" spans="1:13">
      <c r="A16" s="182"/>
      <c r="B16" s="65"/>
      <c r="C16" s="65"/>
      <c r="D16" s="65"/>
      <c r="E16" s="65"/>
      <c r="F16" s="65"/>
      <c r="G16" s="65"/>
      <c r="H16" s="65"/>
      <c r="I16" s="65"/>
      <c r="J16" s="65"/>
      <c r="K16" s="89"/>
      <c r="L16" s="89"/>
      <c r="M16" s="182"/>
    </row>
    <row r="17" spans="1:13">
      <c r="A17" s="182"/>
      <c r="B17" s="65"/>
      <c r="C17" s="65"/>
      <c r="D17" s="65"/>
      <c r="E17" s="65"/>
      <c r="F17" s="65"/>
      <c r="G17" s="65"/>
      <c r="H17" s="65"/>
      <c r="I17" s="65"/>
      <c r="J17" s="65"/>
      <c r="K17" s="89"/>
      <c r="L17" s="89"/>
      <c r="M17" s="182"/>
    </row>
    <row r="18" spans="1:13">
      <c r="A18" s="182"/>
      <c r="B18" s="65"/>
      <c r="C18" s="65"/>
      <c r="D18" s="65"/>
      <c r="E18" s="65"/>
      <c r="F18" s="65"/>
      <c r="G18" s="65"/>
      <c r="H18" s="65"/>
      <c r="I18" s="65"/>
      <c r="J18" s="65"/>
      <c r="L18" s="89"/>
    </row>
    <row r="19" spans="1:13">
      <c r="A19" s="182"/>
      <c r="B19" s="65"/>
      <c r="C19" s="65"/>
      <c r="D19" s="65"/>
      <c r="E19" s="65"/>
      <c r="F19" s="65"/>
      <c r="G19" s="65"/>
      <c r="H19" s="65"/>
      <c r="I19" s="65"/>
      <c r="J19" s="65"/>
    </row>
    <row r="20" spans="1:13">
      <c r="B20" s="65"/>
      <c r="C20" s="65"/>
      <c r="D20" s="65"/>
      <c r="E20" s="65"/>
      <c r="F20" s="65"/>
      <c r="G20" s="65"/>
      <c r="H20" s="65"/>
      <c r="I20" s="65"/>
      <c r="J20" s="65"/>
    </row>
    <row r="22" spans="1:13">
      <c r="G22" s="65"/>
      <c r="H22" s="65"/>
      <c r="I22" s="65"/>
      <c r="J22" s="6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D4A0-FEDF-413E-8141-F3A9458A18CA}">
  <sheetPr codeName="Sheet13"/>
  <dimension ref="A1:H88"/>
  <sheetViews>
    <sheetView zoomScale="90" zoomScaleNormal="90" workbookViewId="0">
      <selection activeCell="K30" sqref="K30"/>
    </sheetView>
  </sheetViews>
  <sheetFormatPr defaultColWidth="9.109375" defaultRowHeight="13.8"/>
  <cols>
    <col min="1" max="1" width="15.44140625" style="154" customWidth="1"/>
    <col min="2" max="2" width="12.109375" style="154" bestFit="1" customWidth="1"/>
    <col min="3" max="3" width="10.44140625" style="154" customWidth="1"/>
    <col min="4" max="4" width="7.88671875" style="154" customWidth="1"/>
    <col min="5" max="5" width="9.44140625" style="154" bestFit="1" customWidth="1"/>
    <col min="6" max="8" width="7.88671875" style="154" customWidth="1"/>
    <col min="9" max="16384" width="9.109375" style="154"/>
  </cols>
  <sheetData>
    <row r="1" spans="1:8" ht="34.5" customHeight="1">
      <c r="A1" s="180" t="s">
        <v>154</v>
      </c>
      <c r="B1" s="153" t="s">
        <v>174</v>
      </c>
      <c r="C1" s="153" t="s">
        <v>22</v>
      </c>
      <c r="D1" s="153" t="s">
        <v>31</v>
      </c>
      <c r="E1" s="153" t="s">
        <v>27</v>
      </c>
      <c r="F1" s="179"/>
      <c r="G1" s="179"/>
      <c r="H1" s="179"/>
    </row>
    <row r="2" spans="1:8">
      <c r="A2" s="175" t="s">
        <v>117</v>
      </c>
      <c r="B2" s="178">
        <v>3369.5</v>
      </c>
      <c r="C2" s="178">
        <v>872.91017669999985</v>
      </c>
      <c r="D2" s="197">
        <v>1429.3264914515985</v>
      </c>
      <c r="E2" s="178">
        <v>6162.75</v>
      </c>
    </row>
    <row r="3" spans="1:8">
      <c r="A3" s="175" t="s">
        <v>118</v>
      </c>
      <c r="B3" s="178">
        <v>3322.4</v>
      </c>
      <c r="C3" s="178">
        <v>842.43227200000001</v>
      </c>
      <c r="D3" s="197">
        <v>1184.1439732486624</v>
      </c>
      <c r="E3" s="178">
        <v>6359.19</v>
      </c>
    </row>
    <row r="4" spans="1:8">
      <c r="A4" s="175" t="s">
        <v>119</v>
      </c>
      <c r="B4" s="178">
        <v>3298.5</v>
      </c>
      <c r="C4" s="178">
        <v>794.70279860000005</v>
      </c>
      <c r="D4" s="197">
        <v>1197.0844905573588</v>
      </c>
      <c r="E4" s="178">
        <v>5541.7719999999999</v>
      </c>
    </row>
    <row r="5" spans="1:8">
      <c r="A5" s="175" t="s">
        <v>35</v>
      </c>
      <c r="B5" s="178">
        <v>3123.5</v>
      </c>
      <c r="C5" s="178">
        <v>654.23564369999997</v>
      </c>
      <c r="D5" s="197">
        <v>1456.688628004054</v>
      </c>
      <c r="E5" s="178">
        <v>5877.56</v>
      </c>
    </row>
    <row r="6" spans="1:8">
      <c r="A6" s="175" t="s">
        <v>54</v>
      </c>
      <c r="B6" s="178">
        <v>3174.7</v>
      </c>
      <c r="C6" s="178">
        <v>717.9313846</v>
      </c>
      <c r="D6" s="197">
        <v>1188.0798610999127</v>
      </c>
      <c r="E6" s="178">
        <v>6448.02</v>
      </c>
    </row>
    <row r="7" spans="1:8">
      <c r="A7" s="175" t="s">
        <v>155</v>
      </c>
      <c r="B7" s="178">
        <v>3233.2548747564797</v>
      </c>
      <c r="C7" s="178">
        <v>875</v>
      </c>
      <c r="D7" s="197">
        <v>1450</v>
      </c>
      <c r="E7" s="178">
        <v>7395</v>
      </c>
    </row>
    <row r="8" spans="1:8">
      <c r="A8" s="175"/>
      <c r="B8" s="178"/>
      <c r="C8" s="181"/>
      <c r="D8" s="177"/>
    </row>
    <row r="9" spans="1:8">
      <c r="B9" s="178"/>
      <c r="C9" s="181"/>
      <c r="D9" s="177"/>
    </row>
    <row r="10" spans="1:8">
      <c r="B10" s="178"/>
      <c r="C10" s="181"/>
      <c r="D10" s="177"/>
    </row>
    <row r="11" spans="1:8">
      <c r="B11" s="178"/>
      <c r="C11" s="181"/>
      <c r="D11" s="177"/>
    </row>
    <row r="12" spans="1:8">
      <c r="B12" s="176"/>
      <c r="C12" s="181"/>
      <c r="D12" s="177"/>
    </row>
    <row r="13" spans="1:8">
      <c r="B13" s="174"/>
      <c r="C13" s="181"/>
      <c r="D13" s="177"/>
    </row>
    <row r="14" spans="1:8">
      <c r="B14" s="174"/>
      <c r="C14" s="181"/>
      <c r="D14" s="177"/>
    </row>
    <row r="15" spans="1:8">
      <c r="B15" s="174"/>
      <c r="C15" s="181"/>
    </row>
    <row r="16" spans="1:8">
      <c r="A16" s="175"/>
      <c r="B16" s="174"/>
    </row>
    <row r="17" spans="1:2">
      <c r="A17" s="175"/>
      <c r="B17" s="174"/>
    </row>
    <row r="18" spans="1:2">
      <c r="A18" s="175"/>
      <c r="B18" s="174"/>
    </row>
    <row r="19" spans="1:2">
      <c r="A19" s="175"/>
      <c r="B19" s="174"/>
    </row>
    <row r="20" spans="1:2">
      <c r="A20" s="175"/>
      <c r="B20" s="174"/>
    </row>
    <row r="21" spans="1:2">
      <c r="A21" s="175"/>
      <c r="B21" s="174"/>
    </row>
    <row r="22" spans="1:2">
      <c r="A22" s="175"/>
      <c r="B22" s="174"/>
    </row>
    <row r="23" spans="1:2">
      <c r="A23" s="175"/>
      <c r="B23" s="174"/>
    </row>
    <row r="24" spans="1:2">
      <c r="A24" s="175"/>
      <c r="B24" s="174"/>
    </row>
    <row r="25" spans="1:2">
      <c r="A25" s="175"/>
      <c r="B25" s="174"/>
    </row>
    <row r="26" spans="1:2">
      <c r="A26" s="173"/>
      <c r="B26" s="173"/>
    </row>
    <row r="27" spans="1:2">
      <c r="A27" s="173"/>
      <c r="B27" s="173"/>
    </row>
    <row r="28" spans="1:2">
      <c r="A28" s="173"/>
      <c r="B28" s="173"/>
    </row>
    <row r="29" spans="1:2">
      <c r="A29" s="173"/>
      <c r="B29" s="173"/>
    </row>
    <row r="30" spans="1:2">
      <c r="A30" s="173"/>
      <c r="B30" s="173"/>
    </row>
    <row r="31" spans="1:2">
      <c r="A31" s="173"/>
      <c r="B31" s="173"/>
    </row>
    <row r="32" spans="1:2">
      <c r="A32" s="173"/>
      <c r="B32" s="173"/>
    </row>
    <row r="33" spans="1:2">
      <c r="A33" s="173"/>
      <c r="B33" s="173"/>
    </row>
    <row r="34" spans="1:2">
      <c r="A34" s="173"/>
      <c r="B34" s="173"/>
    </row>
    <row r="35" spans="1:2">
      <c r="A35" s="173"/>
      <c r="B35" s="173"/>
    </row>
    <row r="36" spans="1:2">
      <c r="A36" s="173"/>
      <c r="B36" s="173"/>
    </row>
    <row r="37" spans="1:2">
      <c r="A37" s="173"/>
      <c r="B37" s="173"/>
    </row>
    <row r="38" spans="1:2">
      <c r="A38" s="173"/>
      <c r="B38" s="173"/>
    </row>
    <row r="39" spans="1:2">
      <c r="A39" s="173"/>
      <c r="B39" s="173"/>
    </row>
    <row r="40" spans="1:2">
      <c r="A40" s="173"/>
      <c r="B40" s="173"/>
    </row>
    <row r="41" spans="1:2">
      <c r="A41" s="173"/>
      <c r="B41" s="173"/>
    </row>
    <row r="42" spans="1:2">
      <c r="A42" s="173"/>
      <c r="B42" s="173"/>
    </row>
    <row r="43" spans="1:2">
      <c r="A43" s="173"/>
      <c r="B43" s="173"/>
    </row>
    <row r="44" spans="1:2">
      <c r="A44" s="173"/>
      <c r="B44" s="173"/>
    </row>
    <row r="45" spans="1:2">
      <c r="A45" s="173"/>
      <c r="B45" s="173"/>
    </row>
    <row r="46" spans="1:2">
      <c r="A46" s="173"/>
      <c r="B46" s="173"/>
    </row>
    <row r="47" spans="1:2">
      <c r="A47" s="173"/>
      <c r="B47" s="173"/>
    </row>
    <row r="48" spans="1:2">
      <c r="A48" s="173"/>
      <c r="B48" s="173"/>
    </row>
    <row r="49" spans="1:2">
      <c r="A49" s="173"/>
      <c r="B49" s="173"/>
    </row>
    <row r="50" spans="1:2">
      <c r="A50" s="173"/>
      <c r="B50" s="173"/>
    </row>
    <row r="51" spans="1:2">
      <c r="A51" s="173"/>
      <c r="B51" s="173"/>
    </row>
    <row r="52" spans="1:2">
      <c r="A52" s="173"/>
      <c r="B52" s="173"/>
    </row>
    <row r="53" spans="1:2">
      <c r="A53" s="173"/>
      <c r="B53" s="173"/>
    </row>
    <row r="54" spans="1:2">
      <c r="A54" s="173"/>
      <c r="B54" s="173"/>
    </row>
    <row r="55" spans="1:2">
      <c r="A55" s="173"/>
      <c r="B55" s="173"/>
    </row>
    <row r="56" spans="1:2">
      <c r="A56" s="173"/>
      <c r="B56" s="173"/>
    </row>
    <row r="57" spans="1:2">
      <c r="A57" s="173"/>
      <c r="B57" s="173"/>
    </row>
    <row r="58" spans="1:2">
      <c r="A58" s="173"/>
      <c r="B58" s="173"/>
    </row>
    <row r="59" spans="1:2">
      <c r="A59" s="173"/>
      <c r="B59" s="173"/>
    </row>
    <row r="60" spans="1:2">
      <c r="A60" s="173"/>
      <c r="B60" s="173"/>
    </row>
    <row r="61" spans="1:2">
      <c r="A61" s="173"/>
      <c r="B61" s="173"/>
    </row>
    <row r="62" spans="1:2">
      <c r="A62" s="173"/>
      <c r="B62" s="173"/>
    </row>
    <row r="63" spans="1:2">
      <c r="A63" s="173"/>
      <c r="B63" s="173"/>
    </row>
    <row r="64" spans="1:2">
      <c r="A64" s="173"/>
      <c r="B64" s="173"/>
    </row>
    <row r="65" spans="1:2">
      <c r="A65" s="173"/>
      <c r="B65" s="173"/>
    </row>
    <row r="66" spans="1:2">
      <c r="A66" s="173"/>
      <c r="B66" s="173"/>
    </row>
    <row r="67" spans="1:2">
      <c r="A67" s="173"/>
      <c r="B67" s="173"/>
    </row>
    <row r="68" spans="1:2">
      <c r="A68" s="173"/>
      <c r="B68" s="173"/>
    </row>
    <row r="69" spans="1:2">
      <c r="A69" s="173"/>
      <c r="B69" s="173"/>
    </row>
    <row r="70" spans="1:2">
      <c r="A70" s="173"/>
      <c r="B70" s="173"/>
    </row>
    <row r="71" spans="1:2">
      <c r="A71" s="173"/>
      <c r="B71" s="173"/>
    </row>
    <row r="72" spans="1:2">
      <c r="A72" s="173"/>
      <c r="B72" s="173"/>
    </row>
    <row r="73" spans="1:2">
      <c r="A73" s="173"/>
      <c r="B73" s="173"/>
    </row>
    <row r="74" spans="1:2">
      <c r="A74" s="173"/>
      <c r="B74" s="173"/>
    </row>
    <row r="75" spans="1:2">
      <c r="A75" s="173"/>
      <c r="B75" s="173"/>
    </row>
    <row r="76" spans="1:2">
      <c r="A76" s="173"/>
      <c r="B76" s="173"/>
    </row>
    <row r="77" spans="1:2">
      <c r="A77" s="173"/>
      <c r="B77" s="173"/>
    </row>
    <row r="78" spans="1:2">
      <c r="A78" s="173"/>
      <c r="B78" s="173"/>
    </row>
    <row r="79" spans="1:2">
      <c r="A79" s="173"/>
      <c r="B79" s="173"/>
    </row>
    <row r="80" spans="1:2">
      <c r="A80" s="173"/>
      <c r="B80" s="173"/>
    </row>
    <row r="81" spans="1:2">
      <c r="A81" s="173"/>
      <c r="B81" s="173"/>
    </row>
    <row r="82" spans="1:2">
      <c r="A82" s="173"/>
      <c r="B82" s="173"/>
    </row>
    <row r="83" spans="1:2">
      <c r="A83" s="173"/>
      <c r="B83" s="173"/>
    </row>
    <row r="84" spans="1:2">
      <c r="A84" s="173"/>
      <c r="B84" s="173"/>
    </row>
    <row r="85" spans="1:2">
      <c r="A85" s="173"/>
      <c r="B85" s="173"/>
    </row>
    <row r="86" spans="1:2">
      <c r="A86" s="173"/>
      <c r="B86" s="173"/>
    </row>
    <row r="87" spans="1:2">
      <c r="A87" s="173"/>
      <c r="B87" s="173"/>
    </row>
    <row r="88" spans="1:2">
      <c r="A88" s="173"/>
      <c r="B88" s="17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C8D4-F1D6-47EB-8D2D-C2E38680B4BD}">
  <sheetPr codeName="Sheet8"/>
  <dimension ref="A1:C5"/>
  <sheetViews>
    <sheetView workbookViewId="0"/>
  </sheetViews>
  <sheetFormatPr defaultRowHeight="13.2"/>
  <cols>
    <col min="1" max="1" width="32.5546875" customWidth="1"/>
    <col min="2" max="2" width="18.88671875" bestFit="1" customWidth="1"/>
    <col min="3" max="3" width="17.5546875" bestFit="1" customWidth="1"/>
  </cols>
  <sheetData>
    <row r="1" spans="1:3" ht="13.8">
      <c r="A1" s="205" t="s">
        <v>179</v>
      </c>
      <c r="B1" s="206" t="s">
        <v>54</v>
      </c>
      <c r="C1" s="206" t="s">
        <v>180</v>
      </c>
    </row>
    <row r="2" spans="1:3" ht="13.8">
      <c r="A2" s="15" t="s">
        <v>175</v>
      </c>
      <c r="B2" s="178">
        <v>391079000</v>
      </c>
      <c r="C2" s="178">
        <v>409245800</v>
      </c>
    </row>
    <row r="3" spans="1:3" ht="13.8">
      <c r="A3" s="15" t="s">
        <v>176</v>
      </c>
      <c r="B3" s="197">
        <v>426415000</v>
      </c>
      <c r="C3" s="178">
        <v>473062600</v>
      </c>
    </row>
    <row r="4" spans="1:3" ht="13.8">
      <c r="A4" s="15" t="s">
        <v>177</v>
      </c>
      <c r="B4" s="178">
        <v>1467230000</v>
      </c>
      <c r="C4" s="178">
        <v>1379979000</v>
      </c>
    </row>
    <row r="5" spans="1:3" ht="13.8">
      <c r="A5" s="15" t="s">
        <v>178</v>
      </c>
      <c r="B5" s="178">
        <v>60297000</v>
      </c>
      <c r="C5" s="178">
        <v>70446900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59"/>
  <sheetViews>
    <sheetView showGridLines="0" zoomScale="70" zoomScaleNormal="70" workbookViewId="0"/>
  </sheetViews>
  <sheetFormatPr defaultColWidth="9.33203125" defaultRowHeight="13.2"/>
  <cols>
    <col min="1" max="1" width="21.5546875" customWidth="1"/>
    <col min="2" max="2" width="14.33203125" customWidth="1"/>
    <col min="3" max="3" width="9.5546875" customWidth="1"/>
    <col min="4" max="4" width="26.5546875" customWidth="1"/>
    <col min="5" max="5" width="9.5546875" customWidth="1"/>
    <col min="6" max="6" width="12.44140625" customWidth="1"/>
    <col min="7" max="7" width="19.6640625" customWidth="1"/>
    <col min="8" max="8" width="18.6640625" customWidth="1"/>
    <col min="9" max="9" width="1.5546875" customWidth="1"/>
    <col min="10" max="10" width="14.5546875" customWidth="1"/>
    <col min="11" max="11" width="10.5546875" customWidth="1"/>
    <col min="12" max="12" width="17.33203125" customWidth="1"/>
    <col min="13" max="13" width="14.109375" customWidth="1"/>
    <col min="14" max="14" width="9.5546875" customWidth="1"/>
    <col min="15" max="15" width="11.88671875" bestFit="1" customWidth="1"/>
    <col min="17" max="17" width="15.44140625" bestFit="1" customWidth="1"/>
    <col min="18" max="18" width="13.44140625" bestFit="1" customWidth="1"/>
    <col min="22" max="22" width="12.33203125" customWidth="1"/>
    <col min="24" max="24" width="10.44140625" bestFit="1" customWidth="1"/>
  </cols>
  <sheetData>
    <row r="1" spans="1:23" ht="13.8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3" ht="13.8">
      <c r="A2" s="15"/>
      <c r="B2" s="16" t="s">
        <v>14</v>
      </c>
      <c r="C2" s="167"/>
      <c r="D2" s="17" t="s">
        <v>15</v>
      </c>
      <c r="E2" s="18"/>
      <c r="F2" s="167" t="s">
        <v>16</v>
      </c>
      <c r="G2" s="167"/>
      <c r="H2" s="167"/>
      <c r="I2" s="15"/>
      <c r="J2" s="18"/>
      <c r="K2" s="167"/>
      <c r="L2" s="19" t="s">
        <v>17</v>
      </c>
      <c r="M2" s="167"/>
      <c r="N2" s="15"/>
    </row>
    <row r="3" spans="1:23" ht="13.8">
      <c r="A3" s="15" t="s">
        <v>18</v>
      </c>
      <c r="B3" s="17" t="s">
        <v>19</v>
      </c>
      <c r="C3" s="15" t="s">
        <v>20</v>
      </c>
      <c r="D3" s="17"/>
      <c r="E3" s="20" t="s">
        <v>21</v>
      </c>
      <c r="F3" s="20"/>
      <c r="G3" s="20"/>
      <c r="H3" s="20"/>
      <c r="I3" s="20"/>
      <c r="J3" s="17" t="s">
        <v>22</v>
      </c>
      <c r="K3" s="20" t="s">
        <v>23</v>
      </c>
      <c r="L3" s="20"/>
      <c r="M3" s="20"/>
      <c r="N3" s="20" t="s">
        <v>24</v>
      </c>
    </row>
    <row r="4" spans="1:23" ht="13.8">
      <c r="A4" s="21" t="s">
        <v>25</v>
      </c>
      <c r="B4" s="22"/>
      <c r="C4" s="22"/>
      <c r="D4" s="22"/>
      <c r="E4" s="23" t="s">
        <v>26</v>
      </c>
      <c r="F4" s="23" t="s">
        <v>27</v>
      </c>
      <c r="G4" s="24" t="s">
        <v>28</v>
      </c>
      <c r="H4" s="25" t="s">
        <v>29</v>
      </c>
      <c r="I4" s="24"/>
      <c r="J4" s="24"/>
      <c r="K4" s="24" t="s">
        <v>30</v>
      </c>
      <c r="L4" s="25" t="s">
        <v>31</v>
      </c>
      <c r="M4" s="23" t="s">
        <v>29</v>
      </c>
      <c r="N4" s="24" t="s">
        <v>26</v>
      </c>
      <c r="W4" s="26"/>
    </row>
    <row r="5" spans="1:23" ht="14.4">
      <c r="A5" s="15"/>
      <c r="B5" s="108" t="s">
        <v>32</v>
      </c>
      <c r="C5" s="168"/>
      <c r="D5" s="27" t="s">
        <v>33</v>
      </c>
      <c r="G5" s="108"/>
      <c r="I5" s="108"/>
      <c r="J5" s="108" t="s">
        <v>34</v>
      </c>
      <c r="K5" s="108"/>
      <c r="L5" s="108"/>
      <c r="M5" s="108"/>
      <c r="N5" s="108"/>
      <c r="W5" s="26"/>
    </row>
    <row r="6" spans="1:23" s="122" customFormat="1" ht="16.5" customHeight="1">
      <c r="A6" s="117" t="s">
        <v>35</v>
      </c>
      <c r="B6" s="158">
        <v>83.6</v>
      </c>
      <c r="C6" s="158">
        <v>82.271000000000001</v>
      </c>
      <c r="D6" s="158">
        <f>F6/C6</f>
        <v>50.589600223651104</v>
      </c>
      <c r="E6" s="159">
        <v>264.18400000000003</v>
      </c>
      <c r="F6" s="160">
        <v>4162.0569999999998</v>
      </c>
      <c r="G6" s="161">
        <f>G27</f>
        <v>20.830913094265998</v>
      </c>
      <c r="H6" s="161">
        <f>SUM(E6:G6)</f>
        <v>4447.0719130942662</v>
      </c>
      <c r="I6" s="117"/>
      <c r="J6" s="160">
        <f>J27</f>
        <v>2285.303146537427</v>
      </c>
      <c r="K6" s="160">
        <f>M6-L6-J6</f>
        <v>119.36164142305915</v>
      </c>
      <c r="L6" s="161">
        <f>L27</f>
        <v>1699.97412513378</v>
      </c>
      <c r="M6" s="161">
        <f>H6-N6</f>
        <v>4104.6389130942662</v>
      </c>
      <c r="N6" s="161">
        <f>N26</f>
        <v>342.43299999999999</v>
      </c>
    </row>
    <row r="7" spans="1:23" ht="16.5" customHeight="1">
      <c r="A7" s="15" t="s">
        <v>36</v>
      </c>
      <c r="B7" s="194">
        <v>87.05</v>
      </c>
      <c r="C7" s="194">
        <v>86.05</v>
      </c>
      <c r="D7" s="194">
        <f>F7/C7</f>
        <v>50.743660662405581</v>
      </c>
      <c r="E7" s="195">
        <f>N6</f>
        <v>342.43299999999999</v>
      </c>
      <c r="F7" s="193">
        <v>4366.4920000000002</v>
      </c>
      <c r="G7" s="111">
        <v>27</v>
      </c>
      <c r="H7" s="111">
        <f>SUM(E7:G7)</f>
        <v>4735.9250000000002</v>
      </c>
      <c r="I7" s="15"/>
      <c r="J7" s="193">
        <v>2430</v>
      </c>
      <c r="K7" s="196">
        <v>101</v>
      </c>
      <c r="L7" s="111">
        <v>1875</v>
      </c>
      <c r="M7" s="111">
        <f>SUM(J7:L7)</f>
        <v>4406</v>
      </c>
      <c r="N7" s="111">
        <f>H7-M7</f>
        <v>329.92500000000018</v>
      </c>
      <c r="P7" s="182"/>
    </row>
    <row r="8" spans="1:23" ht="16.5" customHeight="1">
      <c r="A8" s="15" t="s">
        <v>37</v>
      </c>
      <c r="B8" s="194">
        <v>81.135000000000005</v>
      </c>
      <c r="C8" s="194">
        <v>80.313000000000002</v>
      </c>
      <c r="D8" s="194">
        <f>F8/C8</f>
        <v>53.548865065431499</v>
      </c>
      <c r="E8" s="195">
        <f>N7</f>
        <v>329.92500000000018</v>
      </c>
      <c r="F8" s="193">
        <v>4300.67</v>
      </c>
      <c r="G8" s="111">
        <v>20</v>
      </c>
      <c r="H8" s="111">
        <f>SUM(E8:G8)</f>
        <v>4650.5950000000003</v>
      </c>
      <c r="I8" s="15"/>
      <c r="J8" s="193">
        <v>2555</v>
      </c>
      <c r="K8" s="196">
        <v>111</v>
      </c>
      <c r="L8" s="111">
        <v>1685</v>
      </c>
      <c r="M8" s="111">
        <f>SUM(J8:L8)</f>
        <v>4351</v>
      </c>
      <c r="N8" s="111">
        <f>H8-M8</f>
        <v>299.59500000000025</v>
      </c>
      <c r="P8" s="182"/>
      <c r="Q8" s="182"/>
    </row>
    <row r="9" spans="1:23" ht="16.5" customHeight="1">
      <c r="A9" s="15"/>
      <c r="B9" s="15"/>
      <c r="C9" s="15"/>
      <c r="D9" s="15"/>
      <c r="E9" s="28"/>
      <c r="F9" s="28"/>
      <c r="G9" s="29"/>
      <c r="H9" s="28"/>
      <c r="I9" s="28"/>
      <c r="J9" s="29"/>
      <c r="K9" s="29"/>
      <c r="L9" s="29"/>
      <c r="M9" s="29"/>
      <c r="N9" s="29"/>
    </row>
    <row r="10" spans="1:23" ht="16.5" customHeight="1">
      <c r="A10" s="30" t="s">
        <v>35</v>
      </c>
      <c r="B10" s="80"/>
      <c r="C10" s="80"/>
      <c r="D10" s="80"/>
      <c r="E10" s="32"/>
      <c r="F10" s="32"/>
      <c r="G10" s="6"/>
      <c r="H10" s="13"/>
      <c r="I10" s="80"/>
      <c r="J10" s="13"/>
      <c r="K10" s="31"/>
      <c r="L10" s="6"/>
      <c r="M10" s="6"/>
      <c r="N10" s="13"/>
      <c r="R10" s="109"/>
      <c r="S10" s="110"/>
    </row>
    <row r="11" spans="1:23" ht="16.5" customHeight="1">
      <c r="A11" s="15" t="s">
        <v>38</v>
      </c>
      <c r="B11" s="80"/>
      <c r="C11" s="80"/>
      <c r="D11" s="80"/>
      <c r="E11" s="32"/>
      <c r="F11" s="32"/>
      <c r="G11" s="101">
        <f>(37479.5*36.74371)/1000000</f>
        <v>1.3771358789450001</v>
      </c>
      <c r="H11" s="13"/>
      <c r="I11" s="80"/>
      <c r="J11" s="6">
        <f>((5242931*0.907184741)*36.74371)/1000000</f>
        <v>174.76436512731999</v>
      </c>
      <c r="K11" s="31"/>
      <c r="L11" s="101">
        <f>(2498517*36.74371)/1000000</f>
        <v>91.80478407807</v>
      </c>
      <c r="M11" s="6"/>
      <c r="N11" s="13"/>
      <c r="Q11" s="83"/>
      <c r="R11" s="109"/>
      <c r="S11" s="110"/>
    </row>
    <row r="12" spans="1:23" ht="16.5" customHeight="1">
      <c r="A12" s="15" t="s">
        <v>39</v>
      </c>
      <c r="B12" s="80"/>
      <c r="C12" s="80"/>
      <c r="D12" s="80"/>
      <c r="E12" s="32"/>
      <c r="F12" s="32"/>
      <c r="G12" s="101">
        <f>(19292.3*36.74371)/1000000</f>
        <v>0.70887067643300006</v>
      </c>
      <c r="H12" s="13"/>
      <c r="I12" s="80"/>
      <c r="J12" s="6">
        <f>((6041685*0.907184741)*36.74371)/1000000</f>
        <v>201.38949822613577</v>
      </c>
      <c r="K12" s="31"/>
      <c r="L12" s="101">
        <f>(9421880*36.74371)/1000000</f>
        <v>346.19482637480002</v>
      </c>
      <c r="M12" s="6"/>
      <c r="N12" s="13"/>
      <c r="Q12" s="83"/>
      <c r="R12" s="109"/>
      <c r="S12" s="110"/>
    </row>
    <row r="13" spans="1:23" ht="16.5" customHeight="1">
      <c r="A13" s="15" t="s">
        <v>40</v>
      </c>
      <c r="B13" s="80"/>
      <c r="C13" s="80"/>
      <c r="D13" s="80"/>
      <c r="E13" s="32"/>
      <c r="F13" s="32"/>
      <c r="G13" s="101">
        <f>(46710.4*36.74371)/1000000</f>
        <v>1.7163133915840001</v>
      </c>
      <c r="H13" s="13"/>
      <c r="I13" s="80"/>
      <c r="J13" s="6">
        <f>((6002708*0.907184741)*36.74371)/1000000</f>
        <v>200.09026490424628</v>
      </c>
      <c r="K13" s="31"/>
      <c r="L13" s="101">
        <f>(7467116.3*36.74371)/1000000</f>
        <v>274.36955586347301</v>
      </c>
      <c r="M13" s="6"/>
      <c r="N13" s="102"/>
      <c r="Q13" s="83"/>
      <c r="R13" s="109"/>
      <c r="S13" s="110"/>
    </row>
    <row r="14" spans="1:23" ht="16.5" customHeight="1">
      <c r="A14" s="15" t="s">
        <v>41</v>
      </c>
      <c r="B14" s="80"/>
      <c r="C14" s="80"/>
      <c r="D14" s="80"/>
      <c r="E14" s="32">
        <v>264.18400000000003</v>
      </c>
      <c r="F14" s="59">
        <v>4162.0569999999998</v>
      </c>
      <c r="G14" s="101">
        <f>SUM(G11:G13)</f>
        <v>3.8023199469620002</v>
      </c>
      <c r="H14" s="13">
        <f>SUM(E14:G14)</f>
        <v>4430.0433199469617</v>
      </c>
      <c r="I14" s="80"/>
      <c r="J14" s="6">
        <f>SUM(J11:J13)</f>
        <v>576.24412825770207</v>
      </c>
      <c r="K14" s="31">
        <f>M14-L14-J14</f>
        <v>140.71102537291654</v>
      </c>
      <c r="L14" s="101">
        <f>SUM(L11:L13)</f>
        <v>712.36916631634301</v>
      </c>
      <c r="M14" s="6">
        <f>H14-N14</f>
        <v>1429.3243199469616</v>
      </c>
      <c r="N14" s="103">
        <v>3000.7190000000001</v>
      </c>
      <c r="R14" s="109"/>
      <c r="S14" s="110"/>
    </row>
    <row r="15" spans="1:23" ht="16.5" customHeight="1">
      <c r="A15" s="15" t="s">
        <v>42</v>
      </c>
      <c r="B15" s="80"/>
      <c r="C15" s="80"/>
      <c r="D15" s="80"/>
      <c r="E15" s="32"/>
      <c r="F15" s="32"/>
      <c r="G15" s="101">
        <f>(18636.8*36.74371)/1000000</f>
        <v>0.68478517452799992</v>
      </c>
      <c r="H15" s="13"/>
      <c r="I15" s="80"/>
      <c r="J15" s="6">
        <f>((6128558*0.907184741)*36.74371)/1000000</f>
        <v>204.28526486729618</v>
      </c>
      <c r="K15" s="31"/>
      <c r="L15" s="101">
        <f>(4771690.5*36.74371)/1000000</f>
        <v>175.32961194175499</v>
      </c>
      <c r="M15" s="6"/>
      <c r="N15" s="103"/>
      <c r="R15" s="109"/>
      <c r="S15" s="110"/>
    </row>
    <row r="16" spans="1:23" ht="16.5" customHeight="1">
      <c r="A16" s="15" t="s">
        <v>43</v>
      </c>
      <c r="B16" s="80"/>
      <c r="C16" s="80"/>
      <c r="D16" s="80"/>
      <c r="E16" s="32"/>
      <c r="F16" s="32"/>
      <c r="G16" s="101">
        <f>(25841.8*36.74371)/1000000</f>
        <v>0.94952360507800004</v>
      </c>
      <c r="H16" s="13"/>
      <c r="I16" s="80"/>
      <c r="J16" s="6">
        <f>((5828390*0.907184741)*36.74371)/1000000</f>
        <v>194.27966495542674</v>
      </c>
      <c r="K16" s="31"/>
      <c r="L16" s="101">
        <f>(5866274.7*36.74371)/1000000</f>
        <v>215.548696357137</v>
      </c>
      <c r="M16" s="6"/>
      <c r="N16" s="103"/>
      <c r="Q16" s="34"/>
      <c r="R16" s="109"/>
      <c r="S16" s="110"/>
    </row>
    <row r="17" spans="1:24" ht="16.5" customHeight="1">
      <c r="A17" s="15" t="s">
        <v>44</v>
      </c>
      <c r="B17" s="80"/>
      <c r="C17" s="80"/>
      <c r="D17" s="80"/>
      <c r="E17" s="32"/>
      <c r="F17" s="32"/>
      <c r="G17" s="101">
        <f>(24303.4*36.74371)/1000000</f>
        <v>0.89299708161400004</v>
      </c>
      <c r="H17" s="13"/>
      <c r="I17" s="80"/>
      <c r="J17" s="6">
        <f>((5803253*0.907184741)*36.74371)/1000000</f>
        <v>193.4417649628071</v>
      </c>
      <c r="K17" s="31"/>
      <c r="L17" s="101">
        <f>(5282181.2*36.74371)/1000000</f>
        <v>194.08693418025203</v>
      </c>
      <c r="M17" s="6"/>
      <c r="N17" s="103"/>
      <c r="Q17" s="83"/>
      <c r="R17" s="109"/>
      <c r="S17" s="110"/>
    </row>
    <row r="18" spans="1:24" ht="16.5" customHeight="1">
      <c r="A18" s="15" t="s">
        <v>45</v>
      </c>
      <c r="B18" s="80"/>
      <c r="C18" s="80"/>
      <c r="D18" s="80"/>
      <c r="E18" s="32">
        <f>N14</f>
        <v>3000.7190000000001</v>
      </c>
      <c r="F18" s="32"/>
      <c r="G18" s="101">
        <f>SUM(G15:G17)</f>
        <v>2.5273058612200003</v>
      </c>
      <c r="H18" s="13">
        <f>SUM(E18:G18)</f>
        <v>3003.2463058612202</v>
      </c>
      <c r="I18" s="80"/>
      <c r="J18" s="6">
        <f>SUM(J15:J17)</f>
        <v>592.00669478553004</v>
      </c>
      <c r="K18" s="31">
        <f>M18-L18-J18</f>
        <v>-18.549631403453873</v>
      </c>
      <c r="L18" s="101">
        <f>SUM(L15:L17)</f>
        <v>584.96524247914397</v>
      </c>
      <c r="M18" s="6">
        <f>H18-N18</f>
        <v>1158.4223058612201</v>
      </c>
      <c r="N18" s="103">
        <v>1844.8240000000001</v>
      </c>
      <c r="O18" s="183"/>
      <c r="P18" s="34"/>
      <c r="R18" s="109"/>
      <c r="S18" s="110"/>
    </row>
    <row r="19" spans="1:24" ht="16.5" customHeight="1">
      <c r="A19" s="15" t="s">
        <v>46</v>
      </c>
      <c r="B19" s="80"/>
      <c r="C19" s="80"/>
      <c r="D19" s="80"/>
      <c r="E19" s="32"/>
      <c r="F19" s="32"/>
      <c r="G19" s="101">
        <f>(144231.4*36.74371)/1000000</f>
        <v>5.299596734494</v>
      </c>
      <c r="H19" s="13"/>
      <c r="I19" s="80"/>
      <c r="J19" s="6">
        <f>((6106056*0.907184741)*36.74371)/1000000</f>
        <v>203.53519820723619</v>
      </c>
      <c r="K19" s="31"/>
      <c r="L19" s="101">
        <f>(3189631.1*36.74371)/1000000</f>
        <v>117.198880145381</v>
      </c>
      <c r="M19" s="6"/>
      <c r="N19" s="103"/>
      <c r="Q19" s="83"/>
      <c r="R19" s="109"/>
      <c r="S19" s="110"/>
    </row>
    <row r="20" spans="1:24" ht="16.5" customHeight="1">
      <c r="A20" s="15" t="s">
        <v>47</v>
      </c>
      <c r="B20" s="80"/>
      <c r="C20" s="80"/>
      <c r="D20" s="80"/>
      <c r="E20" s="32"/>
      <c r="F20" s="32"/>
      <c r="G20" s="101">
        <f>(57161.8*36.74371)/1000000</f>
        <v>2.1003366022780003</v>
      </c>
      <c r="H20" s="13"/>
      <c r="I20" s="80"/>
      <c r="J20" s="6">
        <f>((5327076*0.907184741)*36.74371)/1000000</f>
        <v>177.56919843594798</v>
      </c>
      <c r="K20" s="31"/>
      <c r="L20" s="101">
        <f>(1783416.4*36.74371)/1000000</f>
        <v>65.529335010843994</v>
      </c>
      <c r="M20" s="6"/>
      <c r="N20" s="103"/>
      <c r="R20" s="109"/>
      <c r="S20" s="109"/>
    </row>
    <row r="21" spans="1:24" ht="16.5" customHeight="1">
      <c r="A21" s="15" t="s">
        <v>48</v>
      </c>
      <c r="B21" s="80"/>
      <c r="C21" s="80"/>
      <c r="D21" s="80"/>
      <c r="E21" s="32"/>
      <c r="F21" s="32"/>
      <c r="G21" s="101">
        <f>(32561.4*36.74371)/1000000</f>
        <v>1.1964266387940001</v>
      </c>
      <c r="H21" s="13"/>
      <c r="I21" s="80"/>
      <c r="J21" s="6">
        <f>((5748779*0.907184741)*36.74371)/1000000</f>
        <v>191.62596497880088</v>
      </c>
      <c r="K21" s="31"/>
      <c r="L21" s="101">
        <f>(1376752.8*36.74371)/1000000</f>
        <v>50.587005624888</v>
      </c>
      <c r="M21" s="6"/>
      <c r="N21" s="103"/>
      <c r="P21" s="80"/>
      <c r="Q21" s="83"/>
      <c r="R21" s="109"/>
      <c r="S21" s="109"/>
    </row>
    <row r="22" spans="1:24" ht="16.5" customHeight="1">
      <c r="A22" s="15" t="s">
        <v>49</v>
      </c>
      <c r="B22" s="80"/>
      <c r="C22" s="80"/>
      <c r="D22" s="80"/>
      <c r="E22" s="32">
        <f>N18</f>
        <v>1844.8240000000001</v>
      </c>
      <c r="F22" s="32"/>
      <c r="G22" s="101">
        <f>SUM(G19:G21)</f>
        <v>8.596359975566001</v>
      </c>
      <c r="H22" s="13">
        <f>SUM(E22:G22)</f>
        <v>1853.420359975566</v>
      </c>
      <c r="I22" s="80"/>
      <c r="J22" s="6">
        <f>SUM(J19:J21)</f>
        <v>572.73036162198503</v>
      </c>
      <c r="K22" s="13">
        <f>M22-L22-J22</f>
        <v>77.324777572468065</v>
      </c>
      <c r="L22" s="101">
        <f>SUM(L19:L21)</f>
        <v>233.315220781113</v>
      </c>
      <c r="M22" s="6">
        <f>H22-N22</f>
        <v>883.37035997556609</v>
      </c>
      <c r="N22" s="13">
        <v>970.05</v>
      </c>
      <c r="P22" s="80"/>
      <c r="R22" s="109"/>
      <c r="S22" s="109"/>
    </row>
    <row r="23" spans="1:24" ht="16.5" customHeight="1">
      <c r="A23" s="15" t="s">
        <v>50</v>
      </c>
      <c r="B23" s="80"/>
      <c r="C23" s="80"/>
      <c r="D23" s="80"/>
      <c r="E23" s="32"/>
      <c r="F23" s="32"/>
      <c r="G23" s="101">
        <f>(31168.4*36.74371)/1000000</f>
        <v>1.1452426507640001</v>
      </c>
      <c r="H23" s="13"/>
      <c r="I23" s="80"/>
      <c r="J23" s="6">
        <f>((5504777*0.907184741)*36.74371)/1000000</f>
        <v>183.49256505044087</v>
      </c>
      <c r="K23" s="13"/>
      <c r="L23" s="101">
        <f>(1407564.3*36.74371)/1000000</f>
        <v>51.719134445553003</v>
      </c>
      <c r="M23" s="6"/>
      <c r="N23" s="13"/>
    </row>
    <row r="24" spans="1:24" ht="16.5" customHeight="1">
      <c r="A24" s="15" t="s">
        <v>51</v>
      </c>
      <c r="B24" s="80"/>
      <c r="C24" s="80"/>
      <c r="D24" s="80"/>
      <c r="E24" s="32"/>
      <c r="F24" s="32"/>
      <c r="G24" s="101">
        <f>(59814.7*36.74371)/1000000</f>
        <v>2.197813990537</v>
      </c>
      <c r="H24" s="13"/>
      <c r="I24" s="80"/>
      <c r="J24" s="6">
        <f>((5798234*0.907184741)*36.74371)/1000000</f>
        <v>193.2744649642807</v>
      </c>
      <c r="K24" s="13"/>
      <c r="L24" s="101">
        <f>(1490841.6*36.74371)/1000000</f>
        <v>54.779051406336002</v>
      </c>
      <c r="M24" s="6"/>
      <c r="N24" s="13"/>
      <c r="Q24" s="83"/>
    </row>
    <row r="25" spans="1:24" ht="16.5" customHeight="1">
      <c r="A25" s="15" t="s">
        <v>52</v>
      </c>
      <c r="B25" s="80"/>
      <c r="C25" s="80"/>
      <c r="D25" s="80"/>
      <c r="E25" s="32"/>
      <c r="F25" s="32"/>
      <c r="G25" s="101">
        <f>(69722.7*36.74371)/1000000</f>
        <v>2.5618706692169999</v>
      </c>
      <c r="H25" s="13"/>
      <c r="I25" s="80"/>
      <c r="J25" s="6">
        <f>((5026648*0.907184741)*36.74371)/1000000</f>
        <v>167.55493185748824</v>
      </c>
      <c r="K25" s="13"/>
      <c r="L25" s="101">
        <f>(1709852.1*36.74371)/1000000</f>
        <v>62.826309705291003</v>
      </c>
      <c r="M25" s="6"/>
      <c r="N25" s="13"/>
    </row>
    <row r="26" spans="1:24" ht="16.5" customHeight="1">
      <c r="A26" s="15" t="s">
        <v>53</v>
      </c>
      <c r="B26" s="80"/>
      <c r="C26" s="80"/>
      <c r="D26" s="80"/>
      <c r="E26" s="32">
        <f>N22</f>
        <v>970.05</v>
      </c>
      <c r="F26" s="32"/>
      <c r="G26" s="101">
        <f>SUM(G23:G25)</f>
        <v>5.9049273105179996</v>
      </c>
      <c r="H26" s="13">
        <f>SUM(E26:G26)</f>
        <v>975.95492731051797</v>
      </c>
      <c r="I26" s="80"/>
      <c r="J26" s="6">
        <f>SUM(J23:J25)</f>
        <v>544.32196187220984</v>
      </c>
      <c r="K26" s="31">
        <f>M26-J26-L26</f>
        <v>-80.12453011887186</v>
      </c>
      <c r="L26" s="101">
        <f>SUM(L23:L25)</f>
        <v>169.32449555718</v>
      </c>
      <c r="M26" s="6">
        <f>H26-N26</f>
        <v>633.52192731051798</v>
      </c>
      <c r="N26" s="96">
        <v>342.43299999999999</v>
      </c>
      <c r="Q26" s="119"/>
    </row>
    <row r="27" spans="1:24" ht="16.5" customHeight="1">
      <c r="A27" s="15" t="s">
        <v>29</v>
      </c>
      <c r="B27" s="80"/>
      <c r="C27" s="80"/>
      <c r="D27" s="80"/>
      <c r="E27" s="32"/>
      <c r="F27" s="32"/>
      <c r="G27" s="157">
        <f>(566924.6*36.74371)/1000000</f>
        <v>20.830913094265998</v>
      </c>
      <c r="H27" s="90"/>
      <c r="I27" s="91"/>
      <c r="J27" s="111">
        <f>SUM(J14,J18,J22,J26)</f>
        <v>2285.303146537427</v>
      </c>
      <c r="K27" s="6"/>
      <c r="L27" s="37">
        <f>(46265.718*36.74371)/1000</f>
        <v>1699.97412513378</v>
      </c>
      <c r="M27" s="6"/>
      <c r="N27" s="13"/>
      <c r="Q27" s="83"/>
    </row>
    <row r="28" spans="1:24" ht="16.5" customHeight="1">
      <c r="A28" s="15"/>
      <c r="B28" s="80"/>
      <c r="C28" s="80"/>
      <c r="D28" s="80"/>
      <c r="E28" s="32"/>
      <c r="F28" s="32"/>
      <c r="G28" s="101"/>
      <c r="H28" s="125"/>
      <c r="I28" s="123"/>
      <c r="J28" s="156"/>
      <c r="K28" s="126"/>
      <c r="L28" s="101"/>
      <c r="M28" s="6"/>
      <c r="N28" s="13"/>
      <c r="R28" s="80"/>
    </row>
    <row r="29" spans="1:24" ht="16.5" customHeight="1">
      <c r="A29" s="30" t="s">
        <v>54</v>
      </c>
      <c r="B29" s="80"/>
      <c r="C29" s="80"/>
      <c r="D29" s="80"/>
      <c r="E29" s="32"/>
      <c r="F29" s="32"/>
      <c r="G29" s="101"/>
      <c r="H29" s="125"/>
      <c r="I29" s="123"/>
      <c r="J29" s="125"/>
      <c r="K29" s="126"/>
      <c r="L29" s="101"/>
      <c r="M29" s="6"/>
      <c r="N29" s="13"/>
      <c r="Q29" s="80"/>
      <c r="V29" s="93"/>
      <c r="X29" s="94"/>
    </row>
    <row r="30" spans="1:24" ht="16.5" customHeight="1">
      <c r="A30" s="15" t="s">
        <v>38</v>
      </c>
      <c r="B30" s="80"/>
      <c r="C30" s="80"/>
      <c r="D30" s="80"/>
      <c r="E30" s="32"/>
      <c r="F30" s="32"/>
      <c r="G30" s="101">
        <f>(83562.5*36.74371)/1000000</f>
        <v>3.070396266875</v>
      </c>
      <c r="H30" s="13"/>
      <c r="I30" s="80"/>
      <c r="J30" s="6">
        <f>((5595095*0.907185)*36.74371)/1000000</f>
        <v>186.5032182703211</v>
      </c>
      <c r="K30" s="31"/>
      <c r="L30" s="101">
        <f>(3114160.4*36.74371)/1000000</f>
        <v>114.425806631084</v>
      </c>
      <c r="M30" s="6"/>
      <c r="N30" s="13"/>
      <c r="T30" s="92"/>
    </row>
    <row r="31" spans="1:24" s="122" customFormat="1" ht="16.5" customHeight="1">
      <c r="A31" s="117" t="s">
        <v>39</v>
      </c>
      <c r="B31" s="123"/>
      <c r="C31" s="123"/>
      <c r="D31" s="123"/>
      <c r="E31" s="124"/>
      <c r="F31" s="124"/>
      <c r="G31" s="101">
        <f>(20864.5*36.74371)/1000000</f>
        <v>0.76663913729499999</v>
      </c>
      <c r="H31" s="125"/>
      <c r="I31" s="123"/>
      <c r="J31" s="6">
        <f>((6473504*0.907185)*36.74371)/1000000</f>
        <v>215.78352637190193</v>
      </c>
      <c r="K31" s="126"/>
      <c r="L31" s="101">
        <f>(9418049.2*36.74371)/1000000</f>
        <v>346.05406857053197</v>
      </c>
      <c r="M31" s="101"/>
      <c r="N31" s="125"/>
      <c r="T31" s="127"/>
    </row>
    <row r="32" spans="1:24" ht="16.5" customHeight="1">
      <c r="A32" s="15" t="s">
        <v>40</v>
      </c>
      <c r="B32" s="80"/>
      <c r="C32" s="80"/>
      <c r="D32" s="80"/>
      <c r="E32" s="32"/>
      <c r="F32" s="32"/>
      <c r="G32" s="136">
        <f>(41573*36.74371)/1000000</f>
        <v>1.5275462558299999</v>
      </c>
      <c r="H32" s="13"/>
      <c r="I32" s="80"/>
      <c r="J32" s="6">
        <f>((6301225*0.907185)*36.74371)/1000000</f>
        <v>210.04089144963655</v>
      </c>
      <c r="K32" s="31"/>
      <c r="L32" s="136">
        <f>((10085242.9)*36.74371)/1000000</f>
        <v>370.56924039715904</v>
      </c>
      <c r="M32" s="6"/>
      <c r="N32" s="13"/>
      <c r="T32" s="92"/>
    </row>
    <row r="33" spans="1:20" ht="16.5" customHeight="1">
      <c r="A33" s="15" t="s">
        <v>41</v>
      </c>
      <c r="B33" s="80"/>
      <c r="C33" s="80"/>
      <c r="D33" s="80"/>
      <c r="E33" s="32">
        <f>N26</f>
        <v>342.43299999999999</v>
      </c>
      <c r="F33" s="59">
        <v>4366.4920000000002</v>
      </c>
      <c r="G33" s="101">
        <f>SUM(G30:G32)</f>
        <v>5.3645816599999998</v>
      </c>
      <c r="H33" s="13">
        <f>SUM(E33:G33)</f>
        <v>4714.2895816600003</v>
      </c>
      <c r="I33" s="80"/>
      <c r="J33" s="6">
        <f>SUM(J30:J32)</f>
        <v>612.32763609185963</v>
      </c>
      <c r="K33" s="31">
        <f>M33-L33-J33</f>
        <v>170.62782996936585</v>
      </c>
      <c r="L33" s="101">
        <f>SUM(L30:L32)</f>
        <v>831.04911559877496</v>
      </c>
      <c r="M33" s="6">
        <f>H33-N33</f>
        <v>1614.0045816600004</v>
      </c>
      <c r="N33" s="103">
        <v>3100.2849999999999</v>
      </c>
      <c r="P33" s="34"/>
      <c r="R33" s="109"/>
      <c r="S33" s="109"/>
    </row>
    <row r="34" spans="1:20" ht="16.5" customHeight="1">
      <c r="A34" s="15" t="s">
        <v>42</v>
      </c>
      <c r="B34" s="80"/>
      <c r="C34" s="80"/>
      <c r="D34" s="80"/>
      <c r="E34" s="32"/>
      <c r="F34" s="59"/>
      <c r="G34" s="136">
        <f>(52324.1*36.74371)/1000000</f>
        <v>1.922581556411</v>
      </c>
      <c r="H34" s="13"/>
      <c r="I34" s="80"/>
      <c r="J34" s="6">
        <f>((6531043*0.907185)*36.74371)/1000000</f>
        <v>217.70149356925177</v>
      </c>
      <c r="K34" s="31"/>
      <c r="L34" s="136">
        <f>(7482420.8*36.74371)/1000000</f>
        <v>274.93189997316802</v>
      </c>
      <c r="M34" s="6"/>
      <c r="N34" s="103"/>
      <c r="P34" s="34"/>
      <c r="R34" s="109"/>
      <c r="S34" s="109"/>
    </row>
    <row r="35" spans="1:20" ht="16.5" customHeight="1">
      <c r="A35" s="15" t="s">
        <v>43</v>
      </c>
      <c r="B35" s="80"/>
      <c r="C35" s="80"/>
      <c r="D35" s="80"/>
      <c r="E35" s="32"/>
      <c r="F35" s="59"/>
      <c r="G35" s="136">
        <f>(61026*36.74371)/1000000</f>
        <v>2.2423216464599998</v>
      </c>
      <c r="H35" s="13"/>
      <c r="I35" s="80"/>
      <c r="J35" s="6">
        <f>((6376635*0.907185)*36.74371)/1000000</f>
        <v>212.55455881181089</v>
      </c>
      <c r="K35" s="31"/>
      <c r="L35" s="136">
        <f>(5211687.1*36.74371)/1000000</f>
        <v>191.49671941314099</v>
      </c>
      <c r="M35" s="6"/>
      <c r="N35" s="103"/>
      <c r="P35" s="34"/>
      <c r="Q35" s="34"/>
      <c r="R35" s="87"/>
      <c r="S35" s="109"/>
    </row>
    <row r="36" spans="1:20" s="122" customFormat="1" ht="16.5" customHeight="1">
      <c r="A36" s="117" t="s">
        <v>44</v>
      </c>
      <c r="B36" s="123"/>
      <c r="C36" s="123"/>
      <c r="D36" s="123"/>
      <c r="E36" s="124"/>
      <c r="F36" s="137"/>
      <c r="G36" s="136">
        <f>(66815.2*36.74371)/1000000</f>
        <v>2.4550383323920002</v>
      </c>
      <c r="H36" s="125"/>
      <c r="I36" s="123"/>
      <c r="J36" s="101">
        <f>((5687304*0.907185)*36.74371)/1000000</f>
        <v>189.57685245409957</v>
      </c>
      <c r="K36" s="126"/>
      <c r="L36" s="136">
        <f>(3117201.8*36.74371)/1000000</f>
        <v>114.53755895067799</v>
      </c>
      <c r="M36" s="101"/>
      <c r="N36" s="138"/>
      <c r="P36" s="139"/>
      <c r="Q36" s="139"/>
      <c r="R36" s="140"/>
      <c r="S36" s="141"/>
    </row>
    <row r="37" spans="1:20" s="122" customFormat="1" ht="16.5" customHeight="1">
      <c r="A37" s="117" t="s">
        <v>45</v>
      </c>
      <c r="B37" s="123"/>
      <c r="C37" s="123"/>
      <c r="D37" s="123"/>
      <c r="E37" s="124">
        <f>N33</f>
        <v>3100.2849999999999</v>
      </c>
      <c r="F37" s="137"/>
      <c r="G37" s="136">
        <f>SUM(G34:G36)</f>
        <v>6.619941535263</v>
      </c>
      <c r="H37" s="125">
        <f>SUM(E37:G37)</f>
        <v>3106.9049415352629</v>
      </c>
      <c r="I37" s="136">
        <f>SUM(I34:I36)</f>
        <v>0</v>
      </c>
      <c r="J37" s="136">
        <f>SUM(J34:J36)</f>
        <v>619.83290483516225</v>
      </c>
      <c r="K37" s="31">
        <f>M37-L37-J37</f>
        <v>-4.8181416368863665</v>
      </c>
      <c r="L37" s="101">
        <f>SUM(L34:L36)</f>
        <v>580.96617833698701</v>
      </c>
      <c r="M37" s="101">
        <f>H37-N37</f>
        <v>1195.9809415352629</v>
      </c>
      <c r="N37" s="103">
        <v>1910.924</v>
      </c>
      <c r="O37" s="184"/>
      <c r="P37" s="139"/>
      <c r="Q37" s="139"/>
      <c r="R37" s="140"/>
      <c r="S37" s="141"/>
    </row>
    <row r="38" spans="1:20" ht="16.5" customHeight="1">
      <c r="A38" s="15" t="s">
        <v>46</v>
      </c>
      <c r="B38" s="80"/>
      <c r="C38" s="80"/>
      <c r="D38" s="80"/>
      <c r="E38" s="32"/>
      <c r="F38" s="59"/>
      <c r="G38" s="136">
        <f>(47350.9*36.74371)/1000000</f>
        <v>1.739847737839</v>
      </c>
      <c r="H38" s="13"/>
      <c r="I38" s="99"/>
      <c r="J38" s="6">
        <f>((6202642*0.907185)*36.74371)/1000000</f>
        <v>206.75479054040389</v>
      </c>
      <c r="K38" s="31"/>
      <c r="L38" s="136">
        <f>(3498236.8*36.74371)/1000000</f>
        <v>128.53819849052798</v>
      </c>
      <c r="M38" s="6"/>
      <c r="N38" s="103"/>
      <c r="P38" s="34"/>
      <c r="Q38" s="34"/>
      <c r="R38" s="148"/>
      <c r="S38" s="109"/>
    </row>
    <row r="39" spans="1:20" ht="16.5" customHeight="1">
      <c r="A39" s="15" t="s">
        <v>47</v>
      </c>
      <c r="B39" s="80"/>
      <c r="C39" s="80"/>
      <c r="D39" s="80"/>
      <c r="E39" s="32"/>
      <c r="F39" s="59"/>
      <c r="G39" s="136">
        <f>(79328.8*36.74371)/1000000</f>
        <v>2.914834421848</v>
      </c>
      <c r="H39" s="13"/>
      <c r="I39" s="99"/>
      <c r="J39" s="6">
        <f>((6071540*0.907185)*36.74371)/1000000</f>
        <v>202.38472266458126</v>
      </c>
      <c r="K39" s="31"/>
      <c r="L39" s="136">
        <f>(2179781.36*36.74371)/1000000</f>
        <v>80.093254155245603</v>
      </c>
      <c r="M39" s="6"/>
      <c r="N39" s="103"/>
      <c r="P39" s="34"/>
      <c r="Q39" s="34"/>
      <c r="R39" s="148"/>
      <c r="S39" s="109"/>
    </row>
    <row r="40" spans="1:20" ht="16.5" customHeight="1">
      <c r="A40" s="15" t="s">
        <v>48</v>
      </c>
      <c r="B40" s="80"/>
      <c r="C40" s="80"/>
      <c r="D40" s="80"/>
      <c r="E40" s="32"/>
      <c r="F40" s="59"/>
      <c r="G40" s="99">
        <f>(69258.4*36.74371)/1000000</f>
        <v>2.5448105646639996</v>
      </c>
      <c r="H40" s="13"/>
      <c r="I40" s="99"/>
      <c r="J40" s="6">
        <f>((6111115*0.907185)*36.74371)/1000000</f>
        <v>203.70388969624886</v>
      </c>
      <c r="K40" s="31"/>
      <c r="L40" s="99">
        <f>(1595274.8*36.74371)/1000000</f>
        <v>58.616314621508003</v>
      </c>
      <c r="M40" s="6"/>
      <c r="N40" s="103"/>
      <c r="P40" s="34"/>
      <c r="Q40" s="34"/>
      <c r="R40" s="148"/>
      <c r="S40" s="109"/>
    </row>
    <row r="41" spans="1:20" ht="16.5" customHeight="1">
      <c r="A41" s="15" t="s">
        <v>49</v>
      </c>
      <c r="B41" s="80"/>
      <c r="C41" s="80"/>
      <c r="D41" s="80"/>
      <c r="E41" s="32">
        <f>N37</f>
        <v>1910.924</v>
      </c>
      <c r="F41" s="32"/>
      <c r="G41" s="6">
        <f>SUM(G38:G40)</f>
        <v>7.1994927243509999</v>
      </c>
      <c r="H41" s="13">
        <f>SUM(E41:G41)</f>
        <v>1918.1234927243511</v>
      </c>
      <c r="I41" s="80"/>
      <c r="J41" s="6">
        <f>SUM(J38:J40)</f>
        <v>612.84340290123407</v>
      </c>
      <c r="K41" s="13">
        <f>M41-L41-J41</f>
        <v>30.368322555835448</v>
      </c>
      <c r="L41" s="101">
        <f>SUM(L38:L40)</f>
        <v>267.24776726728157</v>
      </c>
      <c r="M41" s="6">
        <f>H41-N41</f>
        <v>910.45949272435109</v>
      </c>
      <c r="N41" s="13">
        <v>1007.664</v>
      </c>
      <c r="P41" s="34"/>
      <c r="Q41" s="34"/>
      <c r="R41" s="148"/>
      <c r="S41" s="109"/>
    </row>
    <row r="42" spans="1:20" ht="16.5" customHeight="1">
      <c r="A42" s="15" t="s">
        <v>50</v>
      </c>
      <c r="B42" s="80"/>
      <c r="C42" s="80"/>
      <c r="D42" s="80"/>
      <c r="E42" s="32"/>
      <c r="F42" s="32"/>
      <c r="G42" s="99">
        <f>(49589.3*36.74371)/1000000</f>
        <v>1.8220948583030001</v>
      </c>
      <c r="H42" s="13"/>
      <c r="I42" s="80"/>
      <c r="J42" s="6">
        <f>((5907743*0.907185)*36.74371)/1000000</f>
        <v>196.92482115387881</v>
      </c>
      <c r="K42" s="13"/>
      <c r="L42" s="99">
        <f>(1500645.9*36.74371)/1000000</f>
        <v>55.139297762288997</v>
      </c>
      <c r="M42" s="6"/>
      <c r="N42" s="13"/>
      <c r="P42" s="34"/>
      <c r="Q42" s="34"/>
      <c r="R42" s="148"/>
      <c r="S42" s="109"/>
    </row>
    <row r="43" spans="1:20" ht="16.5" customHeight="1">
      <c r="A43" s="15" t="s">
        <v>51</v>
      </c>
      <c r="B43" s="80"/>
      <c r="C43" s="80"/>
      <c r="D43" s="80"/>
      <c r="E43" s="32"/>
      <c r="F43" s="32"/>
      <c r="G43" s="99">
        <f>(121615.8*36.74371)/1000000</f>
        <v>4.4686156866180005</v>
      </c>
      <c r="H43" s="13"/>
      <c r="I43" s="80"/>
      <c r="J43" s="6">
        <f>((6142743*0.907185)*36.74371)/1000000</f>
        <v>204.75815665462108</v>
      </c>
      <c r="K43" s="13"/>
      <c r="L43" s="99">
        <f>(1750769.9*36.74371)/1000000</f>
        <v>64.329781482328997</v>
      </c>
      <c r="M43" s="6"/>
      <c r="N43" s="13"/>
      <c r="P43" s="34"/>
      <c r="Q43" s="34"/>
      <c r="R43" s="148"/>
      <c r="S43" s="109"/>
    </row>
    <row r="44" spans="1:20" ht="16.5" customHeight="1">
      <c r="A44" s="76" t="s">
        <v>55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77"/>
      <c r="M44" s="66"/>
      <c r="N44" s="66"/>
      <c r="T44" s="92"/>
    </row>
    <row r="45" spans="1:20" ht="16.5" customHeight="1">
      <c r="A45" s="15" t="s">
        <v>56</v>
      </c>
      <c r="B45" s="15"/>
      <c r="C45" s="15"/>
      <c r="D45" s="15"/>
      <c r="E45" s="35"/>
      <c r="F45" s="35"/>
      <c r="G45" s="35"/>
      <c r="H45" s="35"/>
      <c r="I45" s="35"/>
      <c r="J45" s="35"/>
      <c r="K45" s="35"/>
      <c r="L45" s="35"/>
      <c r="M45" s="35"/>
      <c r="N45" s="35"/>
      <c r="T45" s="92"/>
    </row>
    <row r="46" spans="1:20" ht="16.5" customHeight="1">
      <c r="A46" s="20" t="s">
        <v>57</v>
      </c>
      <c r="B46" s="36">
        <f>Contents!A18</f>
        <v>45916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T46" s="92"/>
    </row>
    <row r="47" spans="1:20" ht="16.5" customHeight="1">
      <c r="T47" s="92"/>
    </row>
    <row r="48" spans="1:20" ht="16.5" customHeight="1">
      <c r="J48" s="34"/>
      <c r="K48" s="34"/>
      <c r="L48" s="83"/>
      <c r="M48" s="87"/>
      <c r="T48" s="92"/>
    </row>
    <row r="49" spans="5:73" ht="16.5" customHeight="1">
      <c r="J49" s="34"/>
      <c r="K49" s="89"/>
      <c r="L49" s="34"/>
      <c r="M49" s="34"/>
      <c r="P49" s="34"/>
      <c r="T49" s="92"/>
    </row>
    <row r="50" spans="5:73" ht="16.5" customHeight="1">
      <c r="J50" s="34"/>
      <c r="L50" s="135"/>
      <c r="T50" s="92"/>
    </row>
    <row r="51" spans="5:73" ht="16.5" customHeight="1">
      <c r="J51" s="34"/>
      <c r="L51" s="121"/>
      <c r="T51" s="92"/>
    </row>
    <row r="52" spans="5:73" ht="16.5" customHeight="1">
      <c r="J52" s="34"/>
      <c r="L52" s="34"/>
      <c r="T52" s="92"/>
    </row>
    <row r="53" spans="5:73" ht="16.5" customHeight="1">
      <c r="J53" s="34"/>
      <c r="L53" s="34"/>
      <c r="T53" s="92"/>
    </row>
    <row r="54" spans="5:73" ht="16.5" customHeight="1">
      <c r="T54" s="92"/>
    </row>
    <row r="55" spans="5:73" ht="16.5" customHeight="1">
      <c r="T55" s="92"/>
    </row>
    <row r="56" spans="5:73" ht="16.5" customHeight="1">
      <c r="T56" s="92"/>
    </row>
    <row r="57" spans="5:73" ht="16.5" customHeight="1">
      <c r="E57" s="87"/>
      <c r="T57" s="92"/>
    </row>
    <row r="58" spans="5:73" ht="16.5" customHeight="1"/>
    <row r="59" spans="5:73" ht="16.5" customHeight="1"/>
    <row r="60" spans="5:73" ht="16.5" customHeight="1"/>
    <row r="61" spans="5:73" ht="16.5" customHeight="1"/>
    <row r="62" spans="5:73" ht="16.5" customHeight="1">
      <c r="O62" s="80"/>
      <c r="P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</row>
    <row r="63" spans="5:73">
      <c r="O63" s="80"/>
      <c r="P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</row>
    <row r="64" spans="5:73">
      <c r="O64" s="80"/>
      <c r="P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</row>
    <row r="65" spans="15:73">
      <c r="O65" s="80"/>
      <c r="P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</row>
    <row r="66" spans="15:73">
      <c r="O66" s="80"/>
      <c r="P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</row>
    <row r="67" spans="15:73">
      <c r="O67" s="80"/>
      <c r="P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</row>
    <row r="68" spans="15:73">
      <c r="O68" s="80"/>
      <c r="P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</row>
    <row r="69" spans="15:73">
      <c r="O69" s="80"/>
      <c r="P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</row>
    <row r="70" spans="15:73">
      <c r="O70" s="80"/>
      <c r="P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</row>
    <row r="71" spans="15:73">
      <c r="O71" s="80"/>
      <c r="P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</row>
    <row r="72" spans="15:73">
      <c r="O72" s="80"/>
      <c r="P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</row>
    <row r="73" spans="15:73">
      <c r="O73" s="80"/>
      <c r="P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</row>
    <row r="74" spans="15:73">
      <c r="O74" s="80"/>
      <c r="P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</row>
    <row r="75" spans="15:73">
      <c r="O75" s="80"/>
      <c r="P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</row>
    <row r="76" spans="15:73">
      <c r="O76" s="80"/>
      <c r="P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15:73">
      <c r="O77" s="80"/>
      <c r="P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15:73">
      <c r="O78" s="80"/>
      <c r="P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</row>
    <row r="79" spans="15:73">
      <c r="O79" s="80"/>
      <c r="P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</row>
    <row r="80" spans="15:73">
      <c r="O80" s="80"/>
      <c r="P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</row>
    <row r="81" spans="15:73">
      <c r="O81" s="80"/>
      <c r="P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</row>
    <row r="82" spans="15:73">
      <c r="O82" s="80"/>
      <c r="P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</row>
    <row r="83" spans="15:73">
      <c r="O83" s="80"/>
      <c r="P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</row>
    <row r="84" spans="15:73">
      <c r="O84" s="80"/>
      <c r="P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</row>
    <row r="85" spans="15:73">
      <c r="O85" s="80"/>
      <c r="P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</row>
    <row r="86" spans="15:73">
      <c r="O86" s="80"/>
      <c r="P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</row>
    <row r="87" spans="15:73">
      <c r="O87" s="80"/>
      <c r="P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</row>
    <row r="88" spans="15:73">
      <c r="O88" s="80"/>
      <c r="P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</row>
    <row r="89" spans="15:73">
      <c r="O89" s="80"/>
      <c r="P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</row>
    <row r="90" spans="15:73"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</row>
    <row r="91" spans="15:73"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</row>
    <row r="92" spans="15:73"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</row>
    <row r="93" spans="15:73"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</row>
    <row r="94" spans="15:73"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</row>
    <row r="95" spans="15:73"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</row>
    <row r="96" spans="15:73"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</row>
    <row r="97" spans="15:73"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</row>
    <row r="98" spans="15:73"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</row>
    <row r="99" spans="15:73"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</row>
    <row r="100" spans="15:73"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</row>
    <row r="101" spans="15:73"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</row>
    <row r="102" spans="15:73"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</row>
    <row r="103" spans="15:73"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</row>
    <row r="104" spans="15:73"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</row>
    <row r="105" spans="15:73"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</row>
    <row r="106" spans="15:73"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</row>
    <row r="107" spans="15:73"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</row>
    <row r="108" spans="15:73"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</row>
    <row r="109" spans="15:73"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</row>
    <row r="110" spans="15:73"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</row>
    <row r="111" spans="15:73"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</row>
    <row r="112" spans="15:73"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</row>
    <row r="113" spans="15:73"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</row>
    <row r="114" spans="15:73"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</row>
    <row r="115" spans="15:73"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</row>
    <row r="116" spans="15:73"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</row>
    <row r="117" spans="15:73"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</row>
    <row r="118" spans="15:73"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</row>
    <row r="119" spans="15:73"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</row>
    <row r="120" spans="15:73"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</row>
    <row r="121" spans="15:73"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</row>
    <row r="122" spans="15:73"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</row>
    <row r="123" spans="15:73"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</row>
    <row r="124" spans="15:73"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</row>
    <row r="125" spans="15:73"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</row>
    <row r="126" spans="15:73"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</row>
    <row r="127" spans="15:73"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</row>
    <row r="128" spans="15:73"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</row>
    <row r="129" spans="15:73"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</row>
    <row r="130" spans="15:73"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</row>
    <row r="131" spans="15:73"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</row>
    <row r="132" spans="15:73"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</row>
    <row r="133" spans="15:73"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</row>
    <row r="134" spans="15:73"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</row>
    <row r="135" spans="15:73"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</row>
    <row r="136" spans="15:73"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</row>
    <row r="137" spans="15:73"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</row>
    <row r="138" spans="15:73"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</row>
    <row r="139" spans="15:73"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</row>
    <row r="140" spans="15:73"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</row>
    <row r="141" spans="15:73"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</row>
    <row r="142" spans="15:73"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</row>
    <row r="143" spans="15:73"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</row>
    <row r="144" spans="15:73"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</row>
    <row r="145" spans="15:73"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</row>
    <row r="146" spans="15:73"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</row>
    <row r="147" spans="15:73"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</row>
    <row r="148" spans="15:73"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</row>
    <row r="149" spans="15:73"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</row>
    <row r="150" spans="15:73"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</row>
    <row r="151" spans="15:73"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</row>
    <row r="152" spans="15:73"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</row>
    <row r="153" spans="15:73"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</row>
    <row r="154" spans="15:73"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</row>
    <row r="155" spans="15:73"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</row>
    <row r="156" spans="15:73"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</row>
    <row r="157" spans="15:73"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</row>
    <row r="158" spans="15:73"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</row>
    <row r="159" spans="15:73"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</row>
    <row r="160" spans="15:73"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</row>
    <row r="161" spans="15:73"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</row>
    <row r="162" spans="15:73"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</row>
    <row r="163" spans="15:73"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</row>
    <row r="164" spans="15:73"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</row>
    <row r="165" spans="15:73"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</row>
    <row r="166" spans="15:73"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</row>
    <row r="167" spans="15:73"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</row>
    <row r="168" spans="15:73"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</row>
    <row r="169" spans="15:73"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</row>
    <row r="170" spans="15:73"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</row>
    <row r="171" spans="15:73"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</row>
    <row r="172" spans="15:73"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</row>
    <row r="173" spans="15:73"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</row>
    <row r="174" spans="15:73"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</row>
    <row r="175" spans="15:73"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</row>
    <row r="176" spans="15:73"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</row>
    <row r="177" spans="15:73"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</row>
    <row r="178" spans="15:73"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</row>
    <row r="179" spans="15:73"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</row>
    <row r="180" spans="15:73"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</row>
    <row r="181" spans="15:73"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</row>
    <row r="182" spans="15:73"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</row>
    <row r="183" spans="15:73"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</row>
    <row r="184" spans="15:73"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</row>
    <row r="185" spans="15:73"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</row>
    <row r="186" spans="15:73"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</row>
    <row r="187" spans="15:73"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</row>
    <row r="188" spans="15:73"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</row>
    <row r="189" spans="15:73"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</row>
    <row r="190" spans="15:73"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</row>
    <row r="191" spans="15:73"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</row>
    <row r="192" spans="15:73"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</row>
    <row r="193" spans="15:73"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</row>
    <row r="194" spans="15:73"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</row>
    <row r="195" spans="15:73"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</row>
    <row r="196" spans="15:73"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</row>
    <row r="197" spans="15:73"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</row>
    <row r="198" spans="15:73"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</row>
    <row r="199" spans="15:73"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</row>
    <row r="200" spans="15:73"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</row>
    <row r="201" spans="15:73"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</row>
    <row r="202" spans="15:73"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</row>
    <row r="203" spans="15:73"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</row>
    <row r="204" spans="15:73"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</row>
    <row r="205" spans="15:73"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</row>
    <row r="206" spans="15:73"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</row>
    <row r="207" spans="15:73"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</row>
    <row r="208" spans="15:73"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</row>
    <row r="209" spans="15:73"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</row>
    <row r="210" spans="15:73"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</row>
    <row r="211" spans="15:73"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</row>
    <row r="212" spans="15:73"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</row>
    <row r="213" spans="15:73"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</row>
    <row r="214" spans="15:73"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</row>
    <row r="215" spans="15:73"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</row>
    <row r="216" spans="15:73"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</row>
    <row r="217" spans="15:73"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</row>
    <row r="218" spans="15:73"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</row>
    <row r="219" spans="15:73"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</row>
    <row r="220" spans="15:73"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</row>
    <row r="221" spans="15:73"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</row>
    <row r="222" spans="15:73"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</row>
    <row r="223" spans="15:73"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</row>
    <row r="224" spans="15:73"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</row>
    <row r="225" spans="15:73"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</row>
    <row r="226" spans="15:73"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</row>
    <row r="227" spans="15:73"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80"/>
      <c r="BQ227" s="80"/>
      <c r="BR227" s="80"/>
      <c r="BS227" s="80"/>
      <c r="BT227" s="80"/>
      <c r="BU227" s="80"/>
    </row>
    <row r="228" spans="15:73"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  <c r="BK228" s="80"/>
      <c r="BL228" s="80"/>
      <c r="BM228" s="80"/>
      <c r="BN228" s="80"/>
      <c r="BO228" s="80"/>
      <c r="BP228" s="80"/>
      <c r="BQ228" s="80"/>
      <c r="BR228" s="80"/>
      <c r="BS228" s="80"/>
      <c r="BT228" s="80"/>
      <c r="BU228" s="80"/>
    </row>
    <row r="229" spans="15:73"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</row>
    <row r="230" spans="15:73"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  <c r="BK230" s="80"/>
      <c r="BL230" s="80"/>
      <c r="BM230" s="80"/>
      <c r="BN230" s="80"/>
      <c r="BO230" s="80"/>
      <c r="BP230" s="80"/>
      <c r="BQ230" s="80"/>
      <c r="BR230" s="80"/>
      <c r="BS230" s="80"/>
      <c r="BT230" s="80"/>
      <c r="BU230" s="80"/>
    </row>
    <row r="231" spans="15:73"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0"/>
      <c r="BQ231" s="80"/>
      <c r="BR231" s="80"/>
      <c r="BS231" s="80"/>
      <c r="BT231" s="80"/>
      <c r="BU231" s="80"/>
    </row>
    <row r="232" spans="15:73"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</row>
    <row r="233" spans="15:73"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  <c r="BK233" s="80"/>
      <c r="BL233" s="80"/>
      <c r="BM233" s="80"/>
      <c r="BN233" s="80"/>
      <c r="BO233" s="80"/>
      <c r="BP233" s="80"/>
      <c r="BQ233" s="80"/>
      <c r="BR233" s="80"/>
      <c r="BS233" s="80"/>
      <c r="BT233" s="80"/>
      <c r="BU233" s="80"/>
    </row>
    <row r="234" spans="15:73"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80"/>
      <c r="BU234" s="80"/>
    </row>
    <row r="235" spans="15:73"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0"/>
      <c r="BR235" s="80"/>
      <c r="BS235" s="80"/>
      <c r="BT235" s="80"/>
      <c r="BU235" s="80"/>
    </row>
    <row r="236" spans="15:73"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0"/>
      <c r="BQ236" s="80"/>
      <c r="BR236" s="80"/>
      <c r="BS236" s="80"/>
      <c r="BT236" s="80"/>
      <c r="BU236" s="80"/>
    </row>
    <row r="237" spans="15:73"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0"/>
      <c r="BQ237" s="80"/>
      <c r="BR237" s="80"/>
      <c r="BS237" s="80"/>
      <c r="BT237" s="80"/>
      <c r="BU237" s="80"/>
    </row>
    <row r="238" spans="15:73"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</row>
    <row r="239" spans="15:73"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</row>
    <row r="240" spans="15:73"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</row>
    <row r="241" spans="15:73"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</row>
    <row r="242" spans="15:73"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</row>
    <row r="243" spans="15:73"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</row>
    <row r="244" spans="15:73"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</row>
    <row r="245" spans="15:73"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</row>
    <row r="246" spans="15:73"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</row>
    <row r="247" spans="15:73"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</row>
    <row r="248" spans="15:73"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</row>
    <row r="249" spans="15:73"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</row>
    <row r="250" spans="15:73"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</row>
    <row r="251" spans="15:73"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</row>
    <row r="252" spans="15:73"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</row>
    <row r="253" spans="15:73"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</row>
    <row r="254" spans="15:73"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</row>
    <row r="255" spans="15:73"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</row>
    <row r="256" spans="15:73"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</row>
    <row r="257" spans="15:73"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</row>
    <row r="258" spans="15:73"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</row>
    <row r="259" spans="15:73"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</row>
    <row r="260" spans="15:73"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</row>
    <row r="261" spans="15:73"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</row>
    <row r="262" spans="15:73"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</row>
    <row r="263" spans="15:73"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</row>
    <row r="264" spans="15:73"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</row>
    <row r="265" spans="15:73"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</row>
    <row r="266" spans="15:73"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</row>
    <row r="267" spans="15:73"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</row>
    <row r="268" spans="15:73"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</row>
    <row r="269" spans="15:73"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</row>
    <row r="270" spans="15:73"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</row>
    <row r="271" spans="15:73"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</row>
    <row r="272" spans="15:73"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T272" s="80"/>
      <c r="BU272" s="80"/>
    </row>
    <row r="273" spans="15:73"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  <c r="BK273" s="80"/>
      <c r="BL273" s="80"/>
      <c r="BM273" s="80"/>
      <c r="BN273" s="80"/>
      <c r="BO273" s="80"/>
      <c r="BP273" s="80"/>
      <c r="BQ273" s="80"/>
      <c r="BR273" s="80"/>
      <c r="BS273" s="80"/>
      <c r="BT273" s="80"/>
      <c r="BU273" s="80"/>
    </row>
    <row r="274" spans="15:73"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80"/>
      <c r="BU274" s="80"/>
    </row>
    <row r="275" spans="15:73"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  <c r="BK275" s="80"/>
      <c r="BL275" s="80"/>
      <c r="BM275" s="80"/>
      <c r="BN275" s="80"/>
      <c r="BO275" s="80"/>
      <c r="BP275" s="80"/>
      <c r="BQ275" s="80"/>
      <c r="BR275" s="80"/>
      <c r="BS275" s="80"/>
      <c r="BT275" s="80"/>
      <c r="BU275" s="80"/>
    </row>
    <row r="276" spans="15:73"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  <c r="BK276" s="80"/>
      <c r="BL276" s="80"/>
      <c r="BM276" s="80"/>
      <c r="BN276" s="80"/>
      <c r="BO276" s="80"/>
      <c r="BP276" s="80"/>
      <c r="BQ276" s="80"/>
      <c r="BR276" s="80"/>
      <c r="BS276" s="80"/>
      <c r="BT276" s="80"/>
      <c r="BU276" s="80"/>
    </row>
    <row r="277" spans="15:73"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  <c r="BK277" s="80"/>
      <c r="BL277" s="80"/>
      <c r="BM277" s="80"/>
      <c r="BN277" s="80"/>
      <c r="BO277" s="80"/>
      <c r="BP277" s="80"/>
      <c r="BQ277" s="80"/>
      <c r="BR277" s="80"/>
      <c r="BS277" s="80"/>
      <c r="BT277" s="80"/>
      <c r="BU277" s="80"/>
    </row>
    <row r="278" spans="15:73"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  <c r="BM278" s="80"/>
      <c r="BN278" s="80"/>
      <c r="BO278" s="80"/>
      <c r="BP278" s="80"/>
      <c r="BQ278" s="80"/>
      <c r="BR278" s="80"/>
      <c r="BS278" s="80"/>
      <c r="BT278" s="80"/>
      <c r="BU278" s="80"/>
    </row>
    <row r="279" spans="15:73"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  <c r="BK279" s="80"/>
      <c r="BL279" s="80"/>
      <c r="BM279" s="80"/>
      <c r="BN279" s="80"/>
      <c r="BO279" s="80"/>
      <c r="BP279" s="80"/>
      <c r="BQ279" s="80"/>
      <c r="BR279" s="80"/>
      <c r="BS279" s="80"/>
      <c r="BT279" s="80"/>
      <c r="BU279" s="80"/>
    </row>
    <row r="280" spans="15:73"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</row>
    <row r="281" spans="15:73"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</row>
    <row r="282" spans="15:73"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</row>
    <row r="283" spans="15:73"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</row>
    <row r="284" spans="15:73"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</row>
    <row r="285" spans="15:73"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</row>
    <row r="286" spans="15:73"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</row>
    <row r="287" spans="15:73"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  <c r="BK287" s="80"/>
      <c r="BL287" s="80"/>
      <c r="BM287" s="80"/>
      <c r="BN287" s="80"/>
      <c r="BO287" s="80"/>
      <c r="BP287" s="80"/>
      <c r="BQ287" s="80"/>
      <c r="BR287" s="80"/>
      <c r="BS287" s="80"/>
      <c r="BT287" s="80"/>
      <c r="BU287" s="80"/>
    </row>
    <row r="288" spans="15:73"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0"/>
      <c r="BQ288" s="80"/>
      <c r="BR288" s="80"/>
      <c r="BS288" s="80"/>
      <c r="BT288" s="80"/>
      <c r="BU288" s="80"/>
    </row>
    <row r="289" spans="15:73"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</row>
    <row r="290" spans="15:73"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  <c r="BK290" s="80"/>
      <c r="BL290" s="80"/>
      <c r="BM290" s="80"/>
      <c r="BN290" s="80"/>
      <c r="BO290" s="80"/>
      <c r="BP290" s="80"/>
      <c r="BQ290" s="80"/>
      <c r="BR290" s="80"/>
      <c r="BS290" s="80"/>
      <c r="BT290" s="80"/>
      <c r="BU290" s="80"/>
    </row>
    <row r="291" spans="15:73"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</row>
    <row r="292" spans="15:73"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  <c r="BK292" s="80"/>
      <c r="BL292" s="80"/>
      <c r="BM292" s="80"/>
      <c r="BN292" s="80"/>
      <c r="BO292" s="80"/>
      <c r="BP292" s="80"/>
      <c r="BQ292" s="80"/>
      <c r="BR292" s="80"/>
      <c r="BS292" s="80"/>
      <c r="BT292" s="80"/>
      <c r="BU292" s="80"/>
    </row>
    <row r="293" spans="15:73"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  <c r="BK293" s="80"/>
      <c r="BL293" s="80"/>
      <c r="BM293" s="80"/>
      <c r="BN293" s="80"/>
      <c r="BO293" s="80"/>
      <c r="BP293" s="80"/>
      <c r="BQ293" s="80"/>
      <c r="BR293" s="80"/>
      <c r="BS293" s="80"/>
      <c r="BT293" s="80"/>
      <c r="BU293" s="80"/>
    </row>
    <row r="294" spans="15:73"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  <c r="BK294" s="80"/>
      <c r="BL294" s="80"/>
      <c r="BM294" s="80"/>
      <c r="BN294" s="80"/>
      <c r="BO294" s="80"/>
      <c r="BP294" s="80"/>
      <c r="BQ294" s="80"/>
      <c r="BR294" s="80"/>
      <c r="BS294" s="80"/>
      <c r="BT294" s="80"/>
      <c r="BU294" s="80"/>
    </row>
    <row r="295" spans="15:73"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  <c r="BK295" s="80"/>
      <c r="BL295" s="80"/>
      <c r="BM295" s="80"/>
      <c r="BN295" s="80"/>
      <c r="BO295" s="80"/>
      <c r="BP295" s="80"/>
      <c r="BQ295" s="80"/>
      <c r="BR295" s="80"/>
      <c r="BS295" s="80"/>
      <c r="BT295" s="80"/>
      <c r="BU295" s="80"/>
    </row>
    <row r="296" spans="15:73"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  <c r="BI296" s="80"/>
      <c r="BJ296" s="80"/>
      <c r="BK296" s="80"/>
      <c r="BL296" s="80"/>
      <c r="BM296" s="80"/>
      <c r="BN296" s="80"/>
      <c r="BO296" s="80"/>
      <c r="BP296" s="80"/>
      <c r="BQ296" s="80"/>
      <c r="BR296" s="80"/>
      <c r="BS296" s="80"/>
      <c r="BT296" s="80"/>
      <c r="BU296" s="80"/>
    </row>
    <row r="297" spans="15:73"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  <c r="BI297" s="80"/>
      <c r="BJ297" s="80"/>
      <c r="BK297" s="80"/>
      <c r="BL297" s="80"/>
      <c r="BM297" s="80"/>
      <c r="BN297" s="80"/>
      <c r="BO297" s="80"/>
      <c r="BP297" s="80"/>
      <c r="BQ297" s="80"/>
      <c r="BR297" s="80"/>
      <c r="BS297" s="80"/>
      <c r="BT297" s="80"/>
      <c r="BU297" s="80"/>
    </row>
    <row r="298" spans="15:73"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80"/>
      <c r="BT298" s="80"/>
      <c r="BU298" s="80"/>
    </row>
    <row r="299" spans="15:73"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  <c r="BK299" s="80"/>
      <c r="BL299" s="80"/>
      <c r="BM299" s="80"/>
      <c r="BN299" s="80"/>
      <c r="BO299" s="80"/>
      <c r="BP299" s="80"/>
      <c r="BQ299" s="80"/>
      <c r="BR299" s="80"/>
      <c r="BS299" s="80"/>
      <c r="BT299" s="80"/>
      <c r="BU299" s="80"/>
    </row>
    <row r="300" spans="15:73"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  <c r="BK300" s="80"/>
      <c r="BL300" s="80"/>
      <c r="BM300" s="80"/>
      <c r="BN300" s="80"/>
      <c r="BO300" s="80"/>
      <c r="BP300" s="80"/>
      <c r="BQ300" s="80"/>
      <c r="BR300" s="80"/>
      <c r="BS300" s="80"/>
      <c r="BT300" s="80"/>
      <c r="BU300" s="80"/>
    </row>
    <row r="301" spans="15:73"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  <c r="BE301" s="80"/>
      <c r="BF301" s="80"/>
      <c r="BG301" s="80"/>
      <c r="BH301" s="80"/>
      <c r="BI301" s="80"/>
      <c r="BJ301" s="80"/>
      <c r="BK301" s="80"/>
      <c r="BL301" s="80"/>
      <c r="BM301" s="80"/>
      <c r="BN301" s="80"/>
      <c r="BO301" s="80"/>
      <c r="BP301" s="80"/>
      <c r="BQ301" s="80"/>
      <c r="BR301" s="80"/>
      <c r="BS301" s="80"/>
      <c r="BT301" s="80"/>
      <c r="BU301" s="80"/>
    </row>
    <row r="302" spans="15:73"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  <c r="BE302" s="80"/>
      <c r="BF302" s="80"/>
      <c r="BG302" s="80"/>
      <c r="BH302" s="80"/>
      <c r="BI302" s="80"/>
      <c r="BJ302" s="80"/>
      <c r="BK302" s="80"/>
      <c r="BL302" s="80"/>
      <c r="BM302" s="80"/>
      <c r="BN302" s="80"/>
      <c r="BO302" s="80"/>
      <c r="BP302" s="80"/>
      <c r="BQ302" s="80"/>
      <c r="BR302" s="80"/>
      <c r="BS302" s="80"/>
      <c r="BT302" s="80"/>
      <c r="BU302" s="80"/>
    </row>
    <row r="303" spans="15:73"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  <c r="BI303" s="80"/>
      <c r="BJ303" s="80"/>
      <c r="BK303" s="80"/>
      <c r="BL303" s="80"/>
      <c r="BM303" s="80"/>
      <c r="BN303" s="80"/>
      <c r="BO303" s="80"/>
      <c r="BP303" s="80"/>
      <c r="BQ303" s="80"/>
      <c r="BR303" s="80"/>
      <c r="BS303" s="80"/>
      <c r="BT303" s="80"/>
      <c r="BU303" s="80"/>
    </row>
    <row r="304" spans="15:73"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  <c r="BI304" s="80"/>
      <c r="BJ304" s="80"/>
      <c r="BK304" s="80"/>
      <c r="BL304" s="80"/>
      <c r="BM304" s="80"/>
      <c r="BN304" s="80"/>
      <c r="BO304" s="80"/>
      <c r="BP304" s="80"/>
      <c r="BQ304" s="80"/>
      <c r="BR304" s="80"/>
      <c r="BS304" s="80"/>
      <c r="BT304" s="80"/>
      <c r="BU304" s="80"/>
    </row>
    <row r="305" spans="15:73"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  <c r="BI305" s="80"/>
      <c r="BJ305" s="80"/>
      <c r="BK305" s="80"/>
      <c r="BL305" s="80"/>
      <c r="BM305" s="80"/>
      <c r="BN305" s="80"/>
      <c r="BO305" s="80"/>
      <c r="BP305" s="80"/>
      <c r="BQ305" s="80"/>
      <c r="BR305" s="80"/>
      <c r="BS305" s="80"/>
      <c r="BT305" s="80"/>
      <c r="BU305" s="80"/>
    </row>
    <row r="306" spans="15:73"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  <c r="BK306" s="80"/>
      <c r="BL306" s="80"/>
      <c r="BM306" s="80"/>
      <c r="BN306" s="80"/>
      <c r="BO306" s="80"/>
      <c r="BP306" s="80"/>
      <c r="BQ306" s="80"/>
      <c r="BR306" s="80"/>
      <c r="BS306" s="80"/>
      <c r="BT306" s="80"/>
      <c r="BU306" s="80"/>
    </row>
    <row r="307" spans="15:73"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  <c r="BI307" s="80"/>
      <c r="BJ307" s="80"/>
      <c r="BK307" s="80"/>
      <c r="BL307" s="80"/>
      <c r="BM307" s="80"/>
      <c r="BN307" s="80"/>
      <c r="BO307" s="80"/>
      <c r="BP307" s="80"/>
      <c r="BQ307" s="80"/>
      <c r="BR307" s="80"/>
      <c r="BS307" s="80"/>
      <c r="BT307" s="80"/>
      <c r="BU307" s="80"/>
    </row>
    <row r="308" spans="15:73"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  <c r="BE308" s="80"/>
      <c r="BF308" s="80"/>
      <c r="BG308" s="80"/>
      <c r="BH308" s="80"/>
      <c r="BI308" s="80"/>
      <c r="BJ308" s="80"/>
      <c r="BK308" s="80"/>
      <c r="BL308" s="80"/>
      <c r="BM308" s="80"/>
      <c r="BN308" s="80"/>
      <c r="BO308" s="80"/>
      <c r="BP308" s="80"/>
      <c r="BQ308" s="80"/>
      <c r="BR308" s="80"/>
      <c r="BS308" s="80"/>
      <c r="BT308" s="80"/>
      <c r="BU308" s="80"/>
    </row>
    <row r="309" spans="15:73"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  <c r="BI309" s="80"/>
      <c r="BJ309" s="80"/>
      <c r="BK309" s="80"/>
      <c r="BL309" s="80"/>
      <c r="BM309" s="80"/>
      <c r="BN309" s="80"/>
      <c r="BO309" s="80"/>
      <c r="BP309" s="80"/>
      <c r="BQ309" s="80"/>
      <c r="BR309" s="80"/>
      <c r="BS309" s="80"/>
      <c r="BT309" s="80"/>
      <c r="BU309" s="80"/>
    </row>
    <row r="310" spans="15:73"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  <c r="BI310" s="80"/>
      <c r="BJ310" s="80"/>
      <c r="BK310" s="80"/>
      <c r="BL310" s="80"/>
      <c r="BM310" s="80"/>
      <c r="BN310" s="80"/>
      <c r="BO310" s="80"/>
      <c r="BP310" s="80"/>
      <c r="BQ310" s="80"/>
      <c r="BR310" s="80"/>
      <c r="BS310" s="80"/>
      <c r="BT310" s="80"/>
      <c r="BU310" s="80"/>
    </row>
    <row r="311" spans="15:73"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  <c r="BE311" s="80"/>
      <c r="BF311" s="80"/>
      <c r="BG311" s="80"/>
      <c r="BH311" s="80"/>
      <c r="BI311" s="80"/>
      <c r="BJ311" s="80"/>
      <c r="BK311" s="80"/>
      <c r="BL311" s="80"/>
      <c r="BM311" s="80"/>
      <c r="BN311" s="80"/>
      <c r="BO311" s="80"/>
      <c r="BP311" s="80"/>
      <c r="BQ311" s="80"/>
      <c r="BR311" s="80"/>
      <c r="BS311" s="80"/>
      <c r="BT311" s="80"/>
      <c r="BU311" s="80"/>
    </row>
    <row r="312" spans="15:73"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  <c r="BE312" s="80"/>
      <c r="BF312" s="80"/>
      <c r="BG312" s="80"/>
      <c r="BH312" s="80"/>
      <c r="BI312" s="80"/>
      <c r="BJ312" s="80"/>
      <c r="BK312" s="80"/>
      <c r="BL312" s="80"/>
      <c r="BM312" s="80"/>
      <c r="BN312" s="80"/>
      <c r="BO312" s="80"/>
      <c r="BP312" s="80"/>
      <c r="BQ312" s="80"/>
      <c r="BR312" s="80"/>
      <c r="BS312" s="80"/>
      <c r="BT312" s="80"/>
      <c r="BU312" s="80"/>
    </row>
    <row r="313" spans="15:73"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  <c r="BI313" s="80"/>
      <c r="BJ313" s="80"/>
      <c r="BK313" s="80"/>
      <c r="BL313" s="80"/>
      <c r="BM313" s="80"/>
      <c r="BN313" s="80"/>
      <c r="BO313" s="80"/>
      <c r="BP313" s="80"/>
      <c r="BQ313" s="80"/>
      <c r="BR313" s="80"/>
      <c r="BS313" s="80"/>
      <c r="BT313" s="80"/>
      <c r="BU313" s="80"/>
    </row>
    <row r="314" spans="15:73"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  <c r="BI314" s="80"/>
      <c r="BJ314" s="80"/>
      <c r="BK314" s="80"/>
      <c r="BL314" s="80"/>
      <c r="BM314" s="80"/>
      <c r="BN314" s="80"/>
      <c r="BO314" s="80"/>
      <c r="BP314" s="80"/>
      <c r="BQ314" s="80"/>
      <c r="BR314" s="80"/>
      <c r="BS314" s="80"/>
      <c r="BT314" s="80"/>
      <c r="BU314" s="80"/>
    </row>
    <row r="315" spans="15:73"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  <c r="BI315" s="80"/>
      <c r="BJ315" s="80"/>
      <c r="BK315" s="80"/>
      <c r="BL315" s="80"/>
      <c r="BM315" s="80"/>
      <c r="BN315" s="80"/>
      <c r="BO315" s="80"/>
      <c r="BP315" s="80"/>
      <c r="BQ315" s="80"/>
      <c r="BR315" s="80"/>
      <c r="BS315" s="80"/>
      <c r="BT315" s="80"/>
      <c r="BU315" s="80"/>
    </row>
    <row r="316" spans="15:73"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  <c r="BI316" s="80"/>
      <c r="BJ316" s="80"/>
      <c r="BK316" s="80"/>
      <c r="BL316" s="80"/>
      <c r="BM316" s="80"/>
      <c r="BN316" s="80"/>
      <c r="BO316" s="80"/>
      <c r="BP316" s="80"/>
      <c r="BQ316" s="80"/>
      <c r="BR316" s="80"/>
      <c r="BS316" s="80"/>
      <c r="BT316" s="80"/>
      <c r="BU316" s="80"/>
    </row>
    <row r="317" spans="15:73"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  <c r="BI317" s="80"/>
      <c r="BJ317" s="80"/>
      <c r="BK317" s="80"/>
      <c r="BL317" s="80"/>
      <c r="BM317" s="80"/>
      <c r="BN317" s="80"/>
      <c r="BO317" s="80"/>
      <c r="BP317" s="80"/>
      <c r="BQ317" s="80"/>
      <c r="BR317" s="80"/>
      <c r="BS317" s="80"/>
      <c r="BT317" s="80"/>
      <c r="BU317" s="80"/>
    </row>
    <row r="318" spans="15:73"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  <c r="BK318" s="80"/>
      <c r="BL318" s="80"/>
      <c r="BM318" s="80"/>
      <c r="BN318" s="80"/>
      <c r="BO318" s="80"/>
      <c r="BP318" s="80"/>
      <c r="BQ318" s="80"/>
      <c r="BR318" s="80"/>
      <c r="BS318" s="80"/>
      <c r="BT318" s="80"/>
      <c r="BU318" s="80"/>
    </row>
    <row r="319" spans="15:73"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  <c r="BI319" s="80"/>
      <c r="BJ319" s="80"/>
      <c r="BK319" s="80"/>
      <c r="BL319" s="80"/>
      <c r="BM319" s="80"/>
      <c r="BN319" s="80"/>
      <c r="BO319" s="80"/>
      <c r="BP319" s="80"/>
      <c r="BQ319" s="80"/>
      <c r="BR319" s="80"/>
      <c r="BS319" s="80"/>
      <c r="BT319" s="80"/>
      <c r="BU319" s="80"/>
    </row>
    <row r="320" spans="15:73"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  <c r="BI320" s="80"/>
      <c r="BJ320" s="80"/>
      <c r="BK320" s="80"/>
      <c r="BL320" s="80"/>
      <c r="BM320" s="80"/>
      <c r="BN320" s="80"/>
      <c r="BO320" s="80"/>
      <c r="BP320" s="80"/>
      <c r="BQ320" s="80"/>
      <c r="BR320" s="80"/>
      <c r="BS320" s="80"/>
      <c r="BT320" s="80"/>
      <c r="BU320" s="80"/>
    </row>
    <row r="321" spans="15:73"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  <c r="BI321" s="80"/>
      <c r="BJ321" s="80"/>
      <c r="BK321" s="80"/>
      <c r="BL321" s="80"/>
      <c r="BM321" s="80"/>
      <c r="BN321" s="80"/>
      <c r="BO321" s="80"/>
      <c r="BP321" s="80"/>
      <c r="BQ321" s="80"/>
      <c r="BR321" s="80"/>
      <c r="BS321" s="80"/>
      <c r="BT321" s="80"/>
      <c r="BU321" s="80"/>
    </row>
    <row r="322" spans="15:73"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  <c r="BI322" s="80"/>
      <c r="BJ322" s="80"/>
      <c r="BK322" s="80"/>
      <c r="BL322" s="80"/>
      <c r="BM322" s="80"/>
      <c r="BN322" s="80"/>
      <c r="BO322" s="80"/>
      <c r="BP322" s="80"/>
      <c r="BQ322" s="80"/>
      <c r="BR322" s="80"/>
      <c r="BS322" s="80"/>
      <c r="BT322" s="80"/>
      <c r="BU322" s="80"/>
    </row>
    <row r="323" spans="15:73"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  <c r="BI323" s="80"/>
      <c r="BJ323" s="80"/>
      <c r="BK323" s="80"/>
      <c r="BL323" s="80"/>
      <c r="BM323" s="80"/>
      <c r="BN323" s="80"/>
      <c r="BO323" s="80"/>
      <c r="BP323" s="80"/>
      <c r="BQ323" s="80"/>
      <c r="BR323" s="80"/>
      <c r="BS323" s="80"/>
      <c r="BT323" s="80"/>
      <c r="BU323" s="80"/>
    </row>
    <row r="324" spans="15:73"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  <c r="BI324" s="80"/>
      <c r="BJ324" s="80"/>
      <c r="BK324" s="80"/>
      <c r="BL324" s="80"/>
      <c r="BM324" s="80"/>
      <c r="BN324" s="80"/>
      <c r="BO324" s="80"/>
      <c r="BP324" s="80"/>
      <c r="BQ324" s="80"/>
      <c r="BR324" s="80"/>
      <c r="BS324" s="80"/>
      <c r="BT324" s="80"/>
      <c r="BU324" s="80"/>
    </row>
    <row r="325" spans="15:73"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  <c r="BI325" s="80"/>
      <c r="BJ325" s="80"/>
      <c r="BK325" s="80"/>
      <c r="BL325" s="80"/>
      <c r="BM325" s="80"/>
      <c r="BN325" s="80"/>
      <c r="BO325" s="80"/>
      <c r="BP325" s="80"/>
      <c r="BQ325" s="80"/>
      <c r="BR325" s="80"/>
      <c r="BS325" s="80"/>
      <c r="BT325" s="80"/>
      <c r="BU325" s="80"/>
    </row>
    <row r="326" spans="15:73"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  <c r="BI326" s="80"/>
      <c r="BJ326" s="80"/>
      <c r="BK326" s="80"/>
      <c r="BL326" s="80"/>
      <c r="BM326" s="80"/>
      <c r="BN326" s="80"/>
      <c r="BO326" s="80"/>
      <c r="BP326" s="80"/>
      <c r="BQ326" s="80"/>
      <c r="BR326" s="80"/>
      <c r="BS326" s="80"/>
      <c r="BT326" s="80"/>
      <c r="BU326" s="80"/>
    </row>
    <row r="327" spans="15:73"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  <c r="BI327" s="80"/>
      <c r="BJ327" s="80"/>
      <c r="BK327" s="80"/>
      <c r="BL327" s="80"/>
      <c r="BM327" s="80"/>
      <c r="BN327" s="80"/>
      <c r="BO327" s="80"/>
      <c r="BP327" s="80"/>
      <c r="BQ327" s="80"/>
      <c r="BR327" s="80"/>
      <c r="BS327" s="80"/>
      <c r="BT327" s="80"/>
      <c r="BU327" s="80"/>
    </row>
    <row r="328" spans="15:73"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  <c r="BI328" s="80"/>
      <c r="BJ328" s="80"/>
      <c r="BK328" s="80"/>
      <c r="BL328" s="80"/>
      <c r="BM328" s="80"/>
      <c r="BN328" s="80"/>
      <c r="BO328" s="80"/>
      <c r="BP328" s="80"/>
      <c r="BQ328" s="80"/>
      <c r="BR328" s="80"/>
      <c r="BS328" s="80"/>
      <c r="BT328" s="80"/>
      <c r="BU328" s="80"/>
    </row>
    <row r="329" spans="15:73"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  <c r="BI329" s="80"/>
      <c r="BJ329" s="80"/>
      <c r="BK329" s="80"/>
      <c r="BL329" s="80"/>
      <c r="BM329" s="80"/>
      <c r="BN329" s="80"/>
      <c r="BO329" s="80"/>
      <c r="BP329" s="80"/>
      <c r="BQ329" s="80"/>
      <c r="BR329" s="80"/>
      <c r="BS329" s="80"/>
      <c r="BT329" s="80"/>
      <c r="BU329" s="80"/>
    </row>
    <row r="330" spans="15:73"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  <c r="BI330" s="80"/>
      <c r="BJ330" s="80"/>
      <c r="BK330" s="80"/>
      <c r="BL330" s="80"/>
      <c r="BM330" s="80"/>
      <c r="BN330" s="80"/>
      <c r="BO330" s="80"/>
      <c r="BP330" s="80"/>
      <c r="BQ330" s="80"/>
      <c r="BR330" s="80"/>
      <c r="BS330" s="80"/>
      <c r="BT330" s="80"/>
      <c r="BU330" s="80"/>
    </row>
    <row r="331" spans="15:73"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  <c r="BI331" s="80"/>
      <c r="BJ331" s="80"/>
      <c r="BK331" s="80"/>
      <c r="BL331" s="80"/>
      <c r="BM331" s="80"/>
      <c r="BN331" s="80"/>
      <c r="BO331" s="80"/>
      <c r="BP331" s="80"/>
      <c r="BQ331" s="80"/>
      <c r="BR331" s="80"/>
      <c r="BS331" s="80"/>
      <c r="BT331" s="80"/>
      <c r="BU331" s="80"/>
    </row>
    <row r="332" spans="15:73"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0"/>
      <c r="BK332" s="80"/>
      <c r="BL332" s="80"/>
      <c r="BM332" s="80"/>
      <c r="BN332" s="80"/>
      <c r="BO332" s="80"/>
      <c r="BP332" s="80"/>
      <c r="BQ332" s="80"/>
      <c r="BR332" s="80"/>
      <c r="BS332" s="80"/>
      <c r="BT332" s="80"/>
      <c r="BU332" s="80"/>
    </row>
    <row r="333" spans="15:73"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  <c r="BI333" s="80"/>
      <c r="BJ333" s="80"/>
      <c r="BK333" s="80"/>
      <c r="BL333" s="80"/>
      <c r="BM333" s="80"/>
      <c r="BN333" s="80"/>
      <c r="BO333" s="80"/>
      <c r="BP333" s="80"/>
      <c r="BQ333" s="80"/>
      <c r="BR333" s="80"/>
      <c r="BS333" s="80"/>
      <c r="BT333" s="80"/>
      <c r="BU333" s="80"/>
    </row>
    <row r="334" spans="15:73"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  <c r="BI334" s="80"/>
      <c r="BJ334" s="80"/>
      <c r="BK334" s="80"/>
      <c r="BL334" s="80"/>
      <c r="BM334" s="80"/>
      <c r="BN334" s="80"/>
      <c r="BO334" s="80"/>
      <c r="BP334" s="80"/>
      <c r="BQ334" s="80"/>
      <c r="BR334" s="80"/>
      <c r="BS334" s="80"/>
      <c r="BT334" s="80"/>
      <c r="BU334" s="80"/>
    </row>
    <row r="335" spans="15:73"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  <c r="BI335" s="80"/>
      <c r="BJ335" s="80"/>
      <c r="BK335" s="80"/>
      <c r="BL335" s="80"/>
      <c r="BM335" s="80"/>
      <c r="BN335" s="80"/>
      <c r="BO335" s="80"/>
      <c r="BP335" s="80"/>
      <c r="BQ335" s="80"/>
      <c r="BR335" s="80"/>
      <c r="BS335" s="80"/>
      <c r="BT335" s="80"/>
      <c r="BU335" s="80"/>
    </row>
    <row r="336" spans="15:73"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  <c r="BI336" s="80"/>
      <c r="BJ336" s="80"/>
      <c r="BK336" s="80"/>
      <c r="BL336" s="80"/>
      <c r="BM336" s="80"/>
      <c r="BN336" s="80"/>
      <c r="BO336" s="80"/>
      <c r="BP336" s="80"/>
      <c r="BQ336" s="80"/>
      <c r="BR336" s="80"/>
      <c r="BS336" s="80"/>
      <c r="BT336" s="80"/>
      <c r="BU336" s="80"/>
    </row>
    <row r="337" spans="15:73"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0"/>
      <c r="BJ337" s="80"/>
      <c r="BK337" s="80"/>
      <c r="BL337" s="80"/>
      <c r="BM337" s="80"/>
      <c r="BN337" s="80"/>
      <c r="BO337" s="80"/>
      <c r="BP337" s="80"/>
      <c r="BQ337" s="80"/>
      <c r="BR337" s="80"/>
      <c r="BS337" s="80"/>
      <c r="BT337" s="80"/>
      <c r="BU337" s="80"/>
    </row>
    <row r="338" spans="15:73"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0"/>
      <c r="BJ338" s="80"/>
      <c r="BK338" s="80"/>
      <c r="BL338" s="80"/>
      <c r="BM338" s="80"/>
      <c r="BN338" s="80"/>
      <c r="BO338" s="80"/>
      <c r="BP338" s="80"/>
      <c r="BQ338" s="80"/>
      <c r="BR338" s="80"/>
      <c r="BS338" s="80"/>
      <c r="BT338" s="80"/>
      <c r="BU338" s="80"/>
    </row>
    <row r="339" spans="15:73"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  <c r="BI339" s="80"/>
      <c r="BJ339" s="80"/>
      <c r="BK339" s="80"/>
      <c r="BL339" s="80"/>
      <c r="BM339" s="80"/>
      <c r="BN339" s="80"/>
      <c r="BO339" s="80"/>
      <c r="BP339" s="80"/>
      <c r="BQ339" s="80"/>
      <c r="BR339" s="80"/>
      <c r="BS339" s="80"/>
      <c r="BT339" s="80"/>
      <c r="BU339" s="80"/>
    </row>
    <row r="340" spans="15:73"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  <c r="BI340" s="80"/>
      <c r="BJ340" s="80"/>
      <c r="BK340" s="80"/>
      <c r="BL340" s="80"/>
      <c r="BM340" s="80"/>
      <c r="BN340" s="80"/>
      <c r="BO340" s="80"/>
      <c r="BP340" s="80"/>
      <c r="BQ340" s="80"/>
      <c r="BR340" s="80"/>
      <c r="BS340" s="80"/>
      <c r="BT340" s="80"/>
      <c r="BU340" s="80"/>
    </row>
    <row r="341" spans="15:73"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0"/>
      <c r="BK341" s="80"/>
      <c r="BL341" s="80"/>
      <c r="BM341" s="80"/>
      <c r="BN341" s="80"/>
      <c r="BO341" s="80"/>
      <c r="BP341" s="80"/>
      <c r="BQ341" s="80"/>
      <c r="BR341" s="80"/>
      <c r="BS341" s="80"/>
      <c r="BT341" s="80"/>
      <c r="BU341" s="80"/>
    </row>
    <row r="342" spans="15:73"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  <c r="BI342" s="80"/>
      <c r="BJ342" s="80"/>
      <c r="BK342" s="80"/>
      <c r="BL342" s="80"/>
      <c r="BM342" s="80"/>
      <c r="BN342" s="80"/>
      <c r="BO342" s="80"/>
      <c r="BP342" s="80"/>
      <c r="BQ342" s="80"/>
      <c r="BR342" s="80"/>
      <c r="BS342" s="80"/>
      <c r="BT342" s="80"/>
      <c r="BU342" s="80"/>
    </row>
    <row r="343" spans="15:73"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  <c r="BI343" s="80"/>
      <c r="BJ343" s="80"/>
      <c r="BK343" s="80"/>
      <c r="BL343" s="80"/>
      <c r="BM343" s="80"/>
      <c r="BN343" s="80"/>
      <c r="BO343" s="80"/>
      <c r="BP343" s="80"/>
      <c r="BQ343" s="80"/>
      <c r="BR343" s="80"/>
      <c r="BS343" s="80"/>
      <c r="BT343" s="80"/>
      <c r="BU343" s="80"/>
    </row>
    <row r="344" spans="15:73"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  <c r="AY344" s="80"/>
      <c r="AZ344" s="80"/>
      <c r="BA344" s="80"/>
      <c r="BB344" s="80"/>
      <c r="BC344" s="80"/>
      <c r="BD344" s="80"/>
      <c r="BE344" s="80"/>
      <c r="BF344" s="80"/>
      <c r="BG344" s="80"/>
      <c r="BH344" s="80"/>
      <c r="BI344" s="80"/>
      <c r="BJ344" s="80"/>
      <c r="BK344" s="80"/>
      <c r="BL344" s="80"/>
      <c r="BM344" s="80"/>
      <c r="BN344" s="80"/>
      <c r="BO344" s="80"/>
      <c r="BP344" s="80"/>
      <c r="BQ344" s="80"/>
      <c r="BR344" s="80"/>
      <c r="BS344" s="80"/>
      <c r="BT344" s="80"/>
      <c r="BU344" s="80"/>
    </row>
    <row r="345" spans="15:73"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  <c r="BI345" s="80"/>
      <c r="BJ345" s="80"/>
      <c r="BK345" s="80"/>
      <c r="BL345" s="80"/>
      <c r="BM345" s="80"/>
      <c r="BN345" s="80"/>
      <c r="BO345" s="80"/>
      <c r="BP345" s="80"/>
      <c r="BQ345" s="80"/>
      <c r="BR345" s="80"/>
      <c r="BS345" s="80"/>
      <c r="BT345" s="80"/>
      <c r="BU345" s="80"/>
    </row>
    <row r="346" spans="15:73"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  <c r="AW346" s="80"/>
      <c r="AX346" s="80"/>
      <c r="AY346" s="80"/>
      <c r="AZ346" s="80"/>
      <c r="BA346" s="80"/>
      <c r="BB346" s="80"/>
      <c r="BC346" s="80"/>
      <c r="BD346" s="80"/>
      <c r="BE346" s="80"/>
      <c r="BF346" s="80"/>
      <c r="BG346" s="80"/>
      <c r="BH346" s="80"/>
      <c r="BI346" s="80"/>
      <c r="BJ346" s="80"/>
      <c r="BK346" s="80"/>
      <c r="BL346" s="80"/>
      <c r="BM346" s="80"/>
      <c r="BN346" s="80"/>
      <c r="BO346" s="80"/>
      <c r="BP346" s="80"/>
      <c r="BQ346" s="80"/>
      <c r="BR346" s="80"/>
      <c r="BS346" s="80"/>
      <c r="BT346" s="80"/>
      <c r="BU346" s="80"/>
    </row>
    <row r="347" spans="15:73"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  <c r="AY347" s="80"/>
      <c r="AZ347" s="80"/>
      <c r="BA347" s="80"/>
      <c r="BB347" s="80"/>
      <c r="BC347" s="80"/>
      <c r="BD347" s="80"/>
      <c r="BE347" s="80"/>
      <c r="BF347" s="80"/>
      <c r="BG347" s="80"/>
      <c r="BH347" s="80"/>
      <c r="BI347" s="80"/>
      <c r="BJ347" s="80"/>
      <c r="BK347" s="80"/>
      <c r="BL347" s="80"/>
      <c r="BM347" s="80"/>
      <c r="BN347" s="80"/>
      <c r="BO347" s="80"/>
      <c r="BP347" s="80"/>
      <c r="BQ347" s="80"/>
      <c r="BR347" s="80"/>
      <c r="BS347" s="80"/>
      <c r="BT347" s="80"/>
      <c r="BU347" s="80"/>
    </row>
    <row r="348" spans="15:73"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  <c r="AW348" s="80"/>
      <c r="AX348" s="80"/>
      <c r="AY348" s="80"/>
      <c r="AZ348" s="80"/>
      <c r="BA348" s="80"/>
      <c r="BB348" s="80"/>
      <c r="BC348" s="80"/>
      <c r="BD348" s="80"/>
      <c r="BE348" s="80"/>
      <c r="BF348" s="80"/>
      <c r="BG348" s="80"/>
      <c r="BH348" s="80"/>
      <c r="BI348" s="80"/>
      <c r="BJ348" s="80"/>
      <c r="BK348" s="80"/>
      <c r="BL348" s="80"/>
      <c r="BM348" s="80"/>
      <c r="BN348" s="80"/>
      <c r="BO348" s="80"/>
      <c r="BP348" s="80"/>
      <c r="BQ348" s="80"/>
      <c r="BR348" s="80"/>
      <c r="BS348" s="80"/>
      <c r="BT348" s="80"/>
      <c r="BU348" s="80"/>
    </row>
    <row r="349" spans="15:73"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  <c r="BE349" s="80"/>
      <c r="BF349" s="80"/>
      <c r="BG349" s="80"/>
      <c r="BH349" s="80"/>
      <c r="BI349" s="80"/>
      <c r="BJ349" s="80"/>
      <c r="BK349" s="80"/>
      <c r="BL349" s="80"/>
      <c r="BM349" s="80"/>
      <c r="BN349" s="80"/>
      <c r="BO349" s="80"/>
      <c r="BP349" s="80"/>
      <c r="BQ349" s="80"/>
      <c r="BR349" s="80"/>
      <c r="BS349" s="80"/>
      <c r="BT349" s="80"/>
      <c r="BU349" s="80"/>
    </row>
    <row r="350" spans="15:73"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  <c r="BE350" s="80"/>
      <c r="BF350" s="80"/>
      <c r="BG350" s="80"/>
      <c r="BH350" s="80"/>
      <c r="BI350" s="80"/>
      <c r="BJ350" s="80"/>
      <c r="BK350" s="80"/>
      <c r="BL350" s="80"/>
      <c r="BM350" s="80"/>
      <c r="BN350" s="80"/>
      <c r="BO350" s="80"/>
      <c r="BP350" s="80"/>
      <c r="BQ350" s="80"/>
      <c r="BR350" s="80"/>
      <c r="BS350" s="80"/>
      <c r="BT350" s="80"/>
      <c r="BU350" s="80"/>
    </row>
    <row r="351" spans="15:73"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  <c r="BE351" s="80"/>
      <c r="BF351" s="80"/>
      <c r="BG351" s="80"/>
      <c r="BH351" s="80"/>
      <c r="BI351" s="80"/>
      <c r="BJ351" s="80"/>
      <c r="BK351" s="80"/>
      <c r="BL351" s="80"/>
      <c r="BM351" s="80"/>
      <c r="BN351" s="80"/>
      <c r="BO351" s="80"/>
      <c r="BP351" s="80"/>
      <c r="BQ351" s="80"/>
      <c r="BR351" s="80"/>
      <c r="BS351" s="80"/>
      <c r="BT351" s="80"/>
      <c r="BU351" s="80"/>
    </row>
    <row r="352" spans="15:73"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  <c r="BE352" s="80"/>
      <c r="BF352" s="80"/>
      <c r="BG352" s="80"/>
      <c r="BH352" s="80"/>
      <c r="BI352" s="80"/>
      <c r="BJ352" s="80"/>
      <c r="BK352" s="80"/>
      <c r="BL352" s="80"/>
      <c r="BM352" s="80"/>
      <c r="BN352" s="80"/>
      <c r="BO352" s="80"/>
      <c r="BP352" s="80"/>
      <c r="BQ352" s="80"/>
      <c r="BR352" s="80"/>
      <c r="BS352" s="80"/>
      <c r="BT352" s="80"/>
      <c r="BU352" s="80"/>
    </row>
    <row r="353" spans="15:73"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  <c r="BE353" s="80"/>
      <c r="BF353" s="80"/>
      <c r="BG353" s="80"/>
      <c r="BH353" s="80"/>
      <c r="BI353" s="80"/>
      <c r="BJ353" s="80"/>
      <c r="BK353" s="80"/>
      <c r="BL353" s="80"/>
      <c r="BM353" s="80"/>
      <c r="BN353" s="80"/>
      <c r="BO353" s="80"/>
      <c r="BP353" s="80"/>
      <c r="BQ353" s="80"/>
      <c r="BR353" s="80"/>
      <c r="BS353" s="80"/>
      <c r="BT353" s="80"/>
      <c r="BU353" s="80"/>
    </row>
    <row r="354" spans="15:73"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  <c r="BE354" s="80"/>
      <c r="BF354" s="80"/>
      <c r="BG354" s="80"/>
      <c r="BH354" s="80"/>
      <c r="BI354" s="80"/>
      <c r="BJ354" s="80"/>
      <c r="BK354" s="80"/>
      <c r="BL354" s="80"/>
      <c r="BM354" s="80"/>
      <c r="BN354" s="80"/>
      <c r="BO354" s="80"/>
      <c r="BP354" s="80"/>
      <c r="BQ354" s="80"/>
      <c r="BR354" s="80"/>
      <c r="BS354" s="80"/>
      <c r="BT354" s="80"/>
      <c r="BU354" s="80"/>
    </row>
    <row r="355" spans="15:73"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  <c r="BE355" s="80"/>
      <c r="BF355" s="80"/>
      <c r="BG355" s="80"/>
      <c r="BH355" s="80"/>
      <c r="BI355" s="80"/>
      <c r="BJ355" s="80"/>
      <c r="BK355" s="80"/>
      <c r="BL355" s="80"/>
      <c r="BM355" s="80"/>
      <c r="BN355" s="80"/>
      <c r="BO355" s="80"/>
      <c r="BP355" s="80"/>
      <c r="BQ355" s="80"/>
      <c r="BR355" s="80"/>
      <c r="BS355" s="80"/>
      <c r="BT355" s="80"/>
      <c r="BU355" s="80"/>
    </row>
    <row r="356" spans="15:73"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  <c r="BE356" s="80"/>
      <c r="BF356" s="80"/>
      <c r="BG356" s="80"/>
      <c r="BH356" s="80"/>
      <c r="BI356" s="80"/>
      <c r="BJ356" s="80"/>
      <c r="BK356" s="80"/>
      <c r="BL356" s="80"/>
      <c r="BM356" s="80"/>
      <c r="BN356" s="80"/>
      <c r="BO356" s="80"/>
      <c r="BP356" s="80"/>
      <c r="BQ356" s="80"/>
      <c r="BR356" s="80"/>
      <c r="BS356" s="80"/>
      <c r="BT356" s="80"/>
      <c r="BU356" s="80"/>
    </row>
    <row r="357" spans="15:73"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  <c r="BE357" s="80"/>
      <c r="BF357" s="80"/>
      <c r="BG357" s="80"/>
      <c r="BH357" s="80"/>
      <c r="BI357" s="80"/>
      <c r="BJ357" s="80"/>
      <c r="BK357" s="80"/>
      <c r="BL357" s="80"/>
      <c r="BM357" s="80"/>
      <c r="BN357" s="80"/>
      <c r="BO357" s="80"/>
      <c r="BP357" s="80"/>
      <c r="BQ357" s="80"/>
      <c r="BR357" s="80"/>
      <c r="BS357" s="80"/>
      <c r="BT357" s="80"/>
      <c r="BU357" s="80"/>
    </row>
    <row r="358" spans="15:73"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  <c r="BI358" s="80"/>
      <c r="BJ358" s="80"/>
      <c r="BK358" s="80"/>
      <c r="BL358" s="80"/>
      <c r="BM358" s="80"/>
      <c r="BN358" s="80"/>
      <c r="BO358" s="80"/>
      <c r="BP358" s="80"/>
      <c r="BQ358" s="80"/>
      <c r="BR358" s="80"/>
      <c r="BS358" s="80"/>
      <c r="BT358" s="80"/>
      <c r="BU358" s="80"/>
    </row>
    <row r="359" spans="15:73"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  <c r="BI359" s="80"/>
      <c r="BJ359" s="80"/>
      <c r="BK359" s="80"/>
      <c r="BL359" s="80"/>
      <c r="BM359" s="80"/>
      <c r="BN359" s="80"/>
      <c r="BO359" s="80"/>
      <c r="BP359" s="80"/>
      <c r="BQ359" s="80"/>
      <c r="BR359" s="80"/>
      <c r="BS359" s="80"/>
      <c r="BT359" s="80"/>
      <c r="BU359" s="80"/>
    </row>
    <row r="360" spans="15:73"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  <c r="BI360" s="80"/>
      <c r="BJ360" s="80"/>
      <c r="BK360" s="80"/>
      <c r="BL360" s="80"/>
      <c r="BM360" s="80"/>
      <c r="BN360" s="80"/>
      <c r="BO360" s="80"/>
      <c r="BP360" s="80"/>
      <c r="BQ360" s="80"/>
      <c r="BR360" s="80"/>
      <c r="BS360" s="80"/>
      <c r="BT360" s="80"/>
      <c r="BU360" s="80"/>
    </row>
    <row r="361" spans="15:73"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  <c r="BI361" s="80"/>
      <c r="BJ361" s="80"/>
      <c r="BK361" s="80"/>
      <c r="BL361" s="80"/>
      <c r="BM361" s="80"/>
      <c r="BN361" s="80"/>
      <c r="BO361" s="80"/>
      <c r="BP361" s="80"/>
      <c r="BQ361" s="80"/>
      <c r="BR361" s="80"/>
      <c r="BS361" s="80"/>
      <c r="BT361" s="80"/>
      <c r="BU361" s="80"/>
    </row>
    <row r="362" spans="15:73"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  <c r="BI362" s="80"/>
      <c r="BJ362" s="80"/>
      <c r="BK362" s="80"/>
      <c r="BL362" s="80"/>
      <c r="BM362" s="80"/>
      <c r="BN362" s="80"/>
      <c r="BO362" s="80"/>
      <c r="BP362" s="80"/>
      <c r="BQ362" s="80"/>
      <c r="BR362" s="80"/>
      <c r="BS362" s="80"/>
      <c r="BT362" s="80"/>
      <c r="BU362" s="80"/>
    </row>
    <row r="363" spans="15:73"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  <c r="BI363" s="80"/>
      <c r="BJ363" s="80"/>
      <c r="BK363" s="80"/>
      <c r="BL363" s="80"/>
      <c r="BM363" s="80"/>
      <c r="BN363" s="80"/>
      <c r="BO363" s="80"/>
      <c r="BP363" s="80"/>
      <c r="BQ363" s="80"/>
      <c r="BR363" s="80"/>
      <c r="BS363" s="80"/>
      <c r="BT363" s="80"/>
      <c r="BU363" s="80"/>
    </row>
    <row r="364" spans="15:73"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  <c r="BI364" s="80"/>
      <c r="BJ364" s="80"/>
      <c r="BK364" s="80"/>
      <c r="BL364" s="80"/>
      <c r="BM364" s="80"/>
      <c r="BN364" s="80"/>
      <c r="BO364" s="80"/>
      <c r="BP364" s="80"/>
      <c r="BQ364" s="80"/>
      <c r="BR364" s="80"/>
      <c r="BS364" s="80"/>
      <c r="BT364" s="80"/>
      <c r="BU364" s="80"/>
    </row>
    <row r="365" spans="15:73"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  <c r="BI365" s="80"/>
      <c r="BJ365" s="80"/>
      <c r="BK365" s="80"/>
      <c r="BL365" s="80"/>
      <c r="BM365" s="80"/>
      <c r="BN365" s="80"/>
      <c r="BO365" s="80"/>
      <c r="BP365" s="80"/>
      <c r="BQ365" s="80"/>
      <c r="BR365" s="80"/>
      <c r="BS365" s="80"/>
      <c r="BT365" s="80"/>
      <c r="BU365" s="80"/>
    </row>
    <row r="366" spans="15:73"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  <c r="BI366" s="80"/>
      <c r="BJ366" s="80"/>
      <c r="BK366" s="80"/>
      <c r="BL366" s="80"/>
      <c r="BM366" s="80"/>
      <c r="BN366" s="80"/>
      <c r="BO366" s="80"/>
      <c r="BP366" s="80"/>
      <c r="BQ366" s="80"/>
      <c r="BR366" s="80"/>
      <c r="BS366" s="80"/>
      <c r="BT366" s="80"/>
      <c r="BU366" s="80"/>
    </row>
    <row r="367" spans="15:73"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  <c r="BI367" s="80"/>
      <c r="BJ367" s="80"/>
      <c r="BK367" s="80"/>
      <c r="BL367" s="80"/>
      <c r="BM367" s="80"/>
      <c r="BN367" s="80"/>
      <c r="BO367" s="80"/>
      <c r="BP367" s="80"/>
      <c r="BQ367" s="80"/>
      <c r="BR367" s="80"/>
      <c r="BS367" s="80"/>
      <c r="BT367" s="80"/>
      <c r="BU367" s="80"/>
    </row>
    <row r="368" spans="15:73"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  <c r="BI368" s="80"/>
      <c r="BJ368" s="80"/>
      <c r="BK368" s="80"/>
      <c r="BL368" s="80"/>
      <c r="BM368" s="80"/>
      <c r="BN368" s="80"/>
      <c r="BO368" s="80"/>
      <c r="BP368" s="80"/>
      <c r="BQ368" s="80"/>
      <c r="BR368" s="80"/>
      <c r="BS368" s="80"/>
      <c r="BT368" s="80"/>
      <c r="BU368" s="80"/>
    </row>
    <row r="369" spans="15:73"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  <c r="BI369" s="80"/>
      <c r="BJ369" s="80"/>
      <c r="BK369" s="80"/>
      <c r="BL369" s="80"/>
      <c r="BM369" s="80"/>
      <c r="BN369" s="80"/>
      <c r="BO369" s="80"/>
      <c r="BP369" s="80"/>
      <c r="BQ369" s="80"/>
      <c r="BR369" s="80"/>
      <c r="BS369" s="80"/>
      <c r="BT369" s="80"/>
      <c r="BU369" s="80"/>
    </row>
    <row r="370" spans="15:73"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  <c r="BE370" s="80"/>
      <c r="BF370" s="80"/>
      <c r="BG370" s="80"/>
      <c r="BH370" s="80"/>
      <c r="BI370" s="80"/>
      <c r="BJ370" s="80"/>
      <c r="BK370" s="80"/>
      <c r="BL370" s="80"/>
      <c r="BM370" s="80"/>
      <c r="BN370" s="80"/>
      <c r="BO370" s="80"/>
      <c r="BP370" s="80"/>
      <c r="BQ370" s="80"/>
      <c r="BR370" s="80"/>
      <c r="BS370" s="80"/>
      <c r="BT370" s="80"/>
      <c r="BU370" s="80"/>
    </row>
    <row r="371" spans="15:73"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  <c r="BE371" s="80"/>
      <c r="BF371" s="80"/>
      <c r="BG371" s="80"/>
      <c r="BH371" s="80"/>
      <c r="BI371" s="80"/>
      <c r="BJ371" s="80"/>
      <c r="BK371" s="80"/>
      <c r="BL371" s="80"/>
      <c r="BM371" s="80"/>
      <c r="BN371" s="80"/>
      <c r="BO371" s="80"/>
      <c r="BP371" s="80"/>
      <c r="BQ371" s="80"/>
      <c r="BR371" s="80"/>
      <c r="BS371" s="80"/>
      <c r="BT371" s="80"/>
      <c r="BU371" s="80"/>
    </row>
    <row r="372" spans="15:73"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  <c r="BI372" s="80"/>
      <c r="BJ372" s="80"/>
      <c r="BK372" s="80"/>
      <c r="BL372" s="80"/>
      <c r="BM372" s="80"/>
      <c r="BN372" s="80"/>
      <c r="BO372" s="80"/>
      <c r="BP372" s="80"/>
      <c r="BQ372" s="80"/>
      <c r="BR372" s="80"/>
      <c r="BS372" s="80"/>
      <c r="BT372" s="80"/>
      <c r="BU372" s="80"/>
    </row>
    <row r="373" spans="15:73"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  <c r="BE373" s="80"/>
      <c r="BF373" s="80"/>
      <c r="BG373" s="80"/>
      <c r="BH373" s="80"/>
      <c r="BI373" s="80"/>
      <c r="BJ373" s="80"/>
      <c r="BK373" s="80"/>
      <c r="BL373" s="80"/>
      <c r="BM373" s="80"/>
      <c r="BN373" s="80"/>
      <c r="BO373" s="80"/>
      <c r="BP373" s="80"/>
      <c r="BQ373" s="80"/>
      <c r="BR373" s="80"/>
      <c r="BS373" s="80"/>
      <c r="BT373" s="80"/>
      <c r="BU373" s="80"/>
    </row>
    <row r="374" spans="15:73"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  <c r="BC374" s="80"/>
      <c r="BD374" s="80"/>
      <c r="BE374" s="80"/>
      <c r="BF374" s="80"/>
      <c r="BG374" s="80"/>
      <c r="BH374" s="80"/>
      <c r="BI374" s="80"/>
      <c r="BJ374" s="80"/>
      <c r="BK374" s="80"/>
      <c r="BL374" s="80"/>
      <c r="BM374" s="80"/>
      <c r="BN374" s="80"/>
      <c r="BO374" s="80"/>
      <c r="BP374" s="80"/>
      <c r="BQ374" s="80"/>
      <c r="BR374" s="80"/>
      <c r="BS374" s="80"/>
      <c r="BT374" s="80"/>
      <c r="BU374" s="80"/>
    </row>
    <row r="375" spans="15:73"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  <c r="AY375" s="80"/>
      <c r="AZ375" s="80"/>
      <c r="BA375" s="80"/>
      <c r="BB375" s="80"/>
      <c r="BC375" s="80"/>
      <c r="BD375" s="80"/>
      <c r="BE375" s="80"/>
      <c r="BF375" s="80"/>
      <c r="BG375" s="80"/>
      <c r="BH375" s="80"/>
      <c r="BI375" s="80"/>
      <c r="BJ375" s="80"/>
      <c r="BK375" s="80"/>
      <c r="BL375" s="80"/>
      <c r="BM375" s="80"/>
      <c r="BN375" s="80"/>
      <c r="BO375" s="80"/>
      <c r="BP375" s="80"/>
      <c r="BQ375" s="80"/>
      <c r="BR375" s="80"/>
      <c r="BS375" s="80"/>
      <c r="BT375" s="80"/>
      <c r="BU375" s="80"/>
    </row>
    <row r="376" spans="15:73"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  <c r="AW376" s="80"/>
      <c r="AX376" s="80"/>
      <c r="AY376" s="80"/>
      <c r="AZ376" s="80"/>
      <c r="BA376" s="80"/>
      <c r="BB376" s="80"/>
      <c r="BC376" s="80"/>
      <c r="BD376" s="80"/>
      <c r="BE376" s="80"/>
      <c r="BF376" s="80"/>
      <c r="BG376" s="80"/>
      <c r="BH376" s="80"/>
      <c r="BI376" s="80"/>
      <c r="BJ376" s="80"/>
      <c r="BK376" s="80"/>
      <c r="BL376" s="80"/>
      <c r="BM376" s="80"/>
      <c r="BN376" s="80"/>
      <c r="BO376" s="80"/>
      <c r="BP376" s="80"/>
      <c r="BQ376" s="80"/>
      <c r="BR376" s="80"/>
      <c r="BS376" s="80"/>
      <c r="BT376" s="80"/>
      <c r="BU376" s="80"/>
    </row>
    <row r="377" spans="15:73"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  <c r="BE377" s="80"/>
      <c r="BF377" s="80"/>
      <c r="BG377" s="80"/>
      <c r="BH377" s="80"/>
      <c r="BI377" s="80"/>
      <c r="BJ377" s="80"/>
      <c r="BK377" s="80"/>
      <c r="BL377" s="80"/>
      <c r="BM377" s="80"/>
      <c r="BN377" s="80"/>
      <c r="BO377" s="80"/>
      <c r="BP377" s="80"/>
      <c r="BQ377" s="80"/>
      <c r="BR377" s="80"/>
      <c r="BS377" s="80"/>
      <c r="BT377" s="80"/>
      <c r="BU377" s="80"/>
    </row>
    <row r="378" spans="15:73"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  <c r="AY378" s="80"/>
      <c r="AZ378" s="80"/>
      <c r="BA378" s="80"/>
      <c r="BB378" s="80"/>
      <c r="BC378" s="80"/>
      <c r="BD378" s="80"/>
      <c r="BE378" s="80"/>
      <c r="BF378" s="80"/>
      <c r="BG378" s="80"/>
      <c r="BH378" s="80"/>
      <c r="BI378" s="80"/>
      <c r="BJ378" s="80"/>
      <c r="BK378" s="80"/>
      <c r="BL378" s="80"/>
      <c r="BM378" s="80"/>
      <c r="BN378" s="80"/>
      <c r="BO378" s="80"/>
      <c r="BP378" s="80"/>
      <c r="BQ378" s="80"/>
      <c r="BR378" s="80"/>
      <c r="BS378" s="80"/>
      <c r="BT378" s="80"/>
      <c r="BU378" s="80"/>
    </row>
    <row r="379" spans="15:73"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  <c r="AY379" s="80"/>
      <c r="AZ379" s="80"/>
      <c r="BA379" s="80"/>
      <c r="BB379" s="80"/>
      <c r="BC379" s="80"/>
      <c r="BD379" s="80"/>
      <c r="BE379" s="80"/>
      <c r="BF379" s="80"/>
      <c r="BG379" s="80"/>
      <c r="BH379" s="80"/>
      <c r="BI379" s="80"/>
      <c r="BJ379" s="80"/>
      <c r="BK379" s="80"/>
      <c r="BL379" s="80"/>
      <c r="BM379" s="80"/>
      <c r="BN379" s="80"/>
      <c r="BO379" s="80"/>
      <c r="BP379" s="80"/>
      <c r="BQ379" s="80"/>
      <c r="BR379" s="80"/>
      <c r="BS379" s="80"/>
      <c r="BT379" s="80"/>
      <c r="BU379" s="80"/>
    </row>
    <row r="380" spans="15:73"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  <c r="AY380" s="80"/>
      <c r="AZ380" s="80"/>
      <c r="BA380" s="80"/>
      <c r="BB380" s="80"/>
      <c r="BC380" s="80"/>
      <c r="BD380" s="80"/>
      <c r="BE380" s="80"/>
      <c r="BF380" s="80"/>
      <c r="BG380" s="80"/>
      <c r="BH380" s="80"/>
      <c r="BI380" s="80"/>
      <c r="BJ380" s="80"/>
      <c r="BK380" s="80"/>
      <c r="BL380" s="80"/>
      <c r="BM380" s="80"/>
      <c r="BN380" s="80"/>
      <c r="BO380" s="80"/>
      <c r="BP380" s="80"/>
      <c r="BQ380" s="80"/>
      <c r="BR380" s="80"/>
      <c r="BS380" s="80"/>
      <c r="BT380" s="80"/>
      <c r="BU380" s="80"/>
    </row>
    <row r="381" spans="15:73"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  <c r="BG381" s="80"/>
      <c r="BH381" s="80"/>
      <c r="BI381" s="80"/>
      <c r="BJ381" s="80"/>
      <c r="BK381" s="80"/>
      <c r="BL381" s="80"/>
      <c r="BM381" s="80"/>
      <c r="BN381" s="80"/>
      <c r="BO381" s="80"/>
      <c r="BP381" s="80"/>
      <c r="BQ381" s="80"/>
      <c r="BR381" s="80"/>
      <c r="BS381" s="80"/>
      <c r="BT381" s="80"/>
      <c r="BU381" s="80"/>
    </row>
    <row r="382" spans="15:73"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  <c r="BC382" s="80"/>
      <c r="BD382" s="80"/>
      <c r="BE382" s="80"/>
      <c r="BF382" s="80"/>
      <c r="BG382" s="80"/>
      <c r="BH382" s="80"/>
      <c r="BI382" s="80"/>
      <c r="BJ382" s="80"/>
      <c r="BK382" s="80"/>
      <c r="BL382" s="80"/>
      <c r="BM382" s="80"/>
      <c r="BN382" s="80"/>
      <c r="BO382" s="80"/>
      <c r="BP382" s="80"/>
      <c r="BQ382" s="80"/>
      <c r="BR382" s="80"/>
      <c r="BS382" s="80"/>
      <c r="BT382" s="80"/>
      <c r="BU382" s="80"/>
    </row>
    <row r="383" spans="15:73"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  <c r="BC383" s="80"/>
      <c r="BD383" s="80"/>
      <c r="BE383" s="80"/>
      <c r="BF383" s="80"/>
      <c r="BG383" s="80"/>
      <c r="BH383" s="80"/>
      <c r="BI383" s="80"/>
      <c r="BJ383" s="80"/>
      <c r="BK383" s="80"/>
      <c r="BL383" s="80"/>
      <c r="BM383" s="80"/>
      <c r="BN383" s="80"/>
      <c r="BO383" s="80"/>
      <c r="BP383" s="80"/>
      <c r="BQ383" s="80"/>
      <c r="BR383" s="80"/>
      <c r="BS383" s="80"/>
      <c r="BT383" s="80"/>
      <c r="BU383" s="80"/>
    </row>
    <row r="384" spans="15:73"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  <c r="BC384" s="80"/>
      <c r="BD384" s="80"/>
      <c r="BE384" s="80"/>
      <c r="BF384" s="80"/>
      <c r="BG384" s="80"/>
      <c r="BH384" s="80"/>
      <c r="BI384" s="80"/>
      <c r="BJ384" s="80"/>
      <c r="BK384" s="80"/>
      <c r="BL384" s="80"/>
      <c r="BM384" s="80"/>
      <c r="BN384" s="80"/>
      <c r="BO384" s="80"/>
      <c r="BP384" s="80"/>
      <c r="BQ384" s="80"/>
      <c r="BR384" s="80"/>
      <c r="BS384" s="80"/>
      <c r="BT384" s="80"/>
      <c r="BU384" s="80"/>
    </row>
    <row r="385" spans="15:73"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  <c r="BE385" s="80"/>
      <c r="BF385" s="80"/>
      <c r="BG385" s="80"/>
      <c r="BH385" s="80"/>
      <c r="BI385" s="80"/>
      <c r="BJ385" s="80"/>
      <c r="BK385" s="80"/>
      <c r="BL385" s="80"/>
      <c r="BM385" s="80"/>
      <c r="BN385" s="80"/>
      <c r="BO385" s="80"/>
      <c r="BP385" s="80"/>
      <c r="BQ385" s="80"/>
      <c r="BR385" s="80"/>
      <c r="BS385" s="80"/>
      <c r="BT385" s="80"/>
      <c r="BU385" s="80"/>
    </row>
    <row r="386" spans="15:73"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  <c r="BC386" s="80"/>
      <c r="BD386" s="80"/>
      <c r="BE386" s="80"/>
      <c r="BF386" s="80"/>
      <c r="BG386" s="80"/>
      <c r="BH386" s="80"/>
      <c r="BI386" s="80"/>
      <c r="BJ386" s="80"/>
      <c r="BK386" s="80"/>
      <c r="BL386" s="80"/>
      <c r="BM386" s="80"/>
      <c r="BN386" s="80"/>
      <c r="BO386" s="80"/>
      <c r="BP386" s="80"/>
      <c r="BQ386" s="80"/>
      <c r="BR386" s="80"/>
      <c r="BS386" s="80"/>
      <c r="BT386" s="80"/>
      <c r="BU386" s="80"/>
    </row>
    <row r="387" spans="15:73"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  <c r="BC387" s="80"/>
      <c r="BD387" s="80"/>
      <c r="BE387" s="80"/>
      <c r="BF387" s="80"/>
      <c r="BG387" s="80"/>
      <c r="BH387" s="80"/>
      <c r="BI387" s="80"/>
      <c r="BJ387" s="80"/>
      <c r="BK387" s="80"/>
      <c r="BL387" s="80"/>
      <c r="BM387" s="80"/>
      <c r="BN387" s="80"/>
      <c r="BO387" s="80"/>
      <c r="BP387" s="80"/>
      <c r="BQ387" s="80"/>
      <c r="BR387" s="80"/>
      <c r="BS387" s="80"/>
      <c r="BT387" s="80"/>
      <c r="BU387" s="80"/>
    </row>
    <row r="388" spans="15:73"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  <c r="BE388" s="80"/>
      <c r="BF388" s="80"/>
      <c r="BG388" s="80"/>
      <c r="BH388" s="80"/>
      <c r="BI388" s="80"/>
      <c r="BJ388" s="80"/>
      <c r="BK388" s="80"/>
      <c r="BL388" s="80"/>
      <c r="BM388" s="80"/>
      <c r="BN388" s="80"/>
      <c r="BO388" s="80"/>
      <c r="BP388" s="80"/>
      <c r="BQ388" s="80"/>
      <c r="BR388" s="80"/>
      <c r="BS388" s="80"/>
      <c r="BT388" s="80"/>
      <c r="BU388" s="80"/>
    </row>
    <row r="389" spans="15:73"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  <c r="BC389" s="80"/>
      <c r="BD389" s="80"/>
      <c r="BE389" s="80"/>
      <c r="BF389" s="80"/>
      <c r="BG389" s="80"/>
      <c r="BH389" s="80"/>
      <c r="BI389" s="80"/>
      <c r="BJ389" s="80"/>
      <c r="BK389" s="80"/>
      <c r="BL389" s="80"/>
      <c r="BM389" s="80"/>
      <c r="BN389" s="80"/>
      <c r="BO389" s="80"/>
      <c r="BP389" s="80"/>
      <c r="BQ389" s="80"/>
      <c r="BR389" s="80"/>
      <c r="BS389" s="80"/>
      <c r="BT389" s="80"/>
      <c r="BU389" s="80"/>
    </row>
    <row r="390" spans="15:73"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  <c r="BC390" s="80"/>
      <c r="BD390" s="80"/>
      <c r="BE390" s="80"/>
      <c r="BF390" s="80"/>
      <c r="BG390" s="80"/>
      <c r="BH390" s="80"/>
      <c r="BI390" s="80"/>
      <c r="BJ390" s="80"/>
      <c r="BK390" s="80"/>
      <c r="BL390" s="80"/>
      <c r="BM390" s="80"/>
      <c r="BN390" s="80"/>
      <c r="BO390" s="80"/>
      <c r="BP390" s="80"/>
      <c r="BQ390" s="80"/>
      <c r="BR390" s="80"/>
      <c r="BS390" s="80"/>
      <c r="BT390" s="80"/>
      <c r="BU390" s="80"/>
    </row>
    <row r="391" spans="15:73"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  <c r="BC391" s="80"/>
      <c r="BD391" s="80"/>
      <c r="BE391" s="80"/>
      <c r="BF391" s="80"/>
      <c r="BG391" s="80"/>
      <c r="BH391" s="80"/>
      <c r="BI391" s="80"/>
      <c r="BJ391" s="80"/>
      <c r="BK391" s="80"/>
      <c r="BL391" s="80"/>
      <c r="BM391" s="80"/>
      <c r="BN391" s="80"/>
      <c r="BO391" s="80"/>
      <c r="BP391" s="80"/>
      <c r="BQ391" s="80"/>
      <c r="BR391" s="80"/>
      <c r="BS391" s="80"/>
      <c r="BT391" s="80"/>
      <c r="BU391" s="80"/>
    </row>
    <row r="392" spans="15:73"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  <c r="BE392" s="80"/>
      <c r="BF392" s="80"/>
      <c r="BG392" s="80"/>
      <c r="BH392" s="80"/>
      <c r="BI392" s="80"/>
      <c r="BJ392" s="80"/>
      <c r="BK392" s="80"/>
      <c r="BL392" s="80"/>
      <c r="BM392" s="80"/>
      <c r="BN392" s="80"/>
      <c r="BO392" s="80"/>
      <c r="BP392" s="80"/>
      <c r="BQ392" s="80"/>
      <c r="BR392" s="80"/>
      <c r="BS392" s="80"/>
      <c r="BT392" s="80"/>
      <c r="BU392" s="80"/>
    </row>
    <row r="393" spans="15:73"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  <c r="BC393" s="80"/>
      <c r="BD393" s="80"/>
      <c r="BE393" s="80"/>
      <c r="BF393" s="80"/>
      <c r="BG393" s="80"/>
      <c r="BH393" s="80"/>
      <c r="BI393" s="80"/>
      <c r="BJ393" s="80"/>
      <c r="BK393" s="80"/>
      <c r="BL393" s="80"/>
      <c r="BM393" s="80"/>
      <c r="BN393" s="80"/>
      <c r="BO393" s="80"/>
      <c r="BP393" s="80"/>
      <c r="BQ393" s="80"/>
      <c r="BR393" s="80"/>
      <c r="BS393" s="80"/>
      <c r="BT393" s="80"/>
      <c r="BU393" s="80"/>
    </row>
    <row r="394" spans="15:73"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  <c r="AY394" s="80"/>
      <c r="AZ394" s="80"/>
      <c r="BA394" s="80"/>
      <c r="BB394" s="80"/>
      <c r="BC394" s="80"/>
      <c r="BD394" s="80"/>
      <c r="BE394" s="80"/>
      <c r="BF394" s="80"/>
      <c r="BG394" s="80"/>
      <c r="BH394" s="80"/>
      <c r="BI394" s="80"/>
      <c r="BJ394" s="80"/>
      <c r="BK394" s="80"/>
      <c r="BL394" s="80"/>
      <c r="BM394" s="80"/>
      <c r="BN394" s="80"/>
      <c r="BO394" s="80"/>
      <c r="BP394" s="80"/>
      <c r="BQ394" s="80"/>
      <c r="BR394" s="80"/>
      <c r="BS394" s="80"/>
      <c r="BT394" s="80"/>
      <c r="BU394" s="80"/>
    </row>
    <row r="395" spans="15:73"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  <c r="BC395" s="80"/>
      <c r="BD395" s="80"/>
      <c r="BE395" s="80"/>
      <c r="BF395" s="80"/>
      <c r="BG395" s="80"/>
      <c r="BH395" s="80"/>
      <c r="BI395" s="80"/>
      <c r="BJ395" s="80"/>
      <c r="BK395" s="80"/>
      <c r="BL395" s="80"/>
      <c r="BM395" s="80"/>
      <c r="BN395" s="80"/>
      <c r="BO395" s="80"/>
      <c r="BP395" s="80"/>
      <c r="BQ395" s="80"/>
      <c r="BR395" s="80"/>
      <c r="BS395" s="80"/>
      <c r="BT395" s="80"/>
      <c r="BU395" s="80"/>
    </row>
    <row r="396" spans="15:73"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  <c r="BE396" s="80"/>
      <c r="BF396" s="80"/>
      <c r="BG396" s="80"/>
      <c r="BH396" s="80"/>
      <c r="BI396" s="80"/>
      <c r="BJ396" s="80"/>
      <c r="BK396" s="80"/>
      <c r="BL396" s="80"/>
      <c r="BM396" s="80"/>
      <c r="BN396" s="80"/>
      <c r="BO396" s="80"/>
      <c r="BP396" s="80"/>
      <c r="BQ396" s="80"/>
      <c r="BR396" s="80"/>
      <c r="BS396" s="80"/>
      <c r="BT396" s="80"/>
      <c r="BU396" s="80"/>
    </row>
    <row r="397" spans="15:73"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  <c r="AY397" s="80"/>
      <c r="AZ397" s="80"/>
      <c r="BA397" s="80"/>
      <c r="BB397" s="80"/>
      <c r="BC397" s="80"/>
      <c r="BD397" s="80"/>
      <c r="BE397" s="80"/>
      <c r="BF397" s="80"/>
      <c r="BG397" s="80"/>
      <c r="BH397" s="80"/>
      <c r="BI397" s="80"/>
      <c r="BJ397" s="80"/>
      <c r="BK397" s="80"/>
      <c r="BL397" s="80"/>
      <c r="BM397" s="80"/>
      <c r="BN397" s="80"/>
      <c r="BO397" s="80"/>
      <c r="BP397" s="80"/>
      <c r="BQ397" s="80"/>
      <c r="BR397" s="80"/>
      <c r="BS397" s="80"/>
      <c r="BT397" s="80"/>
      <c r="BU397" s="80"/>
    </row>
    <row r="398" spans="15:73"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  <c r="AY398" s="80"/>
      <c r="AZ398" s="80"/>
      <c r="BA398" s="80"/>
      <c r="BB398" s="80"/>
      <c r="BC398" s="80"/>
      <c r="BD398" s="80"/>
      <c r="BE398" s="80"/>
      <c r="BF398" s="80"/>
      <c r="BG398" s="80"/>
      <c r="BH398" s="80"/>
      <c r="BI398" s="80"/>
      <c r="BJ398" s="80"/>
      <c r="BK398" s="80"/>
      <c r="BL398" s="80"/>
      <c r="BM398" s="80"/>
      <c r="BN398" s="80"/>
      <c r="BO398" s="80"/>
      <c r="BP398" s="80"/>
      <c r="BQ398" s="80"/>
      <c r="BR398" s="80"/>
      <c r="BS398" s="80"/>
      <c r="BT398" s="80"/>
      <c r="BU398" s="80"/>
    </row>
    <row r="399" spans="15:73"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  <c r="AY399" s="80"/>
      <c r="AZ399" s="80"/>
      <c r="BA399" s="80"/>
      <c r="BB399" s="80"/>
      <c r="BC399" s="80"/>
      <c r="BD399" s="80"/>
      <c r="BE399" s="80"/>
      <c r="BF399" s="80"/>
      <c r="BG399" s="80"/>
      <c r="BH399" s="80"/>
      <c r="BI399" s="80"/>
      <c r="BJ399" s="80"/>
      <c r="BK399" s="80"/>
      <c r="BL399" s="80"/>
      <c r="BM399" s="80"/>
      <c r="BN399" s="80"/>
      <c r="BO399" s="80"/>
      <c r="BP399" s="80"/>
      <c r="BQ399" s="80"/>
      <c r="BR399" s="80"/>
      <c r="BS399" s="80"/>
      <c r="BT399" s="80"/>
      <c r="BU399" s="80"/>
    </row>
    <row r="400" spans="15:73"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  <c r="BE400" s="80"/>
      <c r="BF400" s="80"/>
      <c r="BG400" s="80"/>
      <c r="BH400" s="80"/>
      <c r="BI400" s="80"/>
      <c r="BJ400" s="80"/>
      <c r="BK400" s="80"/>
      <c r="BL400" s="80"/>
      <c r="BM400" s="80"/>
      <c r="BN400" s="80"/>
      <c r="BO400" s="80"/>
      <c r="BP400" s="80"/>
      <c r="BQ400" s="80"/>
      <c r="BR400" s="80"/>
      <c r="BS400" s="80"/>
      <c r="BT400" s="80"/>
      <c r="BU400" s="80"/>
    </row>
    <row r="401" spans="15:73"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80"/>
      <c r="AZ401" s="80"/>
      <c r="BA401" s="80"/>
      <c r="BB401" s="80"/>
      <c r="BC401" s="80"/>
      <c r="BD401" s="80"/>
      <c r="BE401" s="80"/>
      <c r="BF401" s="80"/>
      <c r="BG401" s="80"/>
      <c r="BH401" s="80"/>
      <c r="BI401" s="80"/>
      <c r="BJ401" s="80"/>
      <c r="BK401" s="80"/>
      <c r="BL401" s="80"/>
      <c r="BM401" s="80"/>
      <c r="BN401" s="80"/>
      <c r="BO401" s="80"/>
      <c r="BP401" s="80"/>
      <c r="BQ401" s="80"/>
      <c r="BR401" s="80"/>
      <c r="BS401" s="80"/>
      <c r="BT401" s="80"/>
      <c r="BU401" s="80"/>
    </row>
    <row r="402" spans="15:73"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  <c r="AY402" s="80"/>
      <c r="AZ402" s="80"/>
      <c r="BA402" s="80"/>
      <c r="BB402" s="80"/>
      <c r="BC402" s="80"/>
      <c r="BD402" s="80"/>
      <c r="BE402" s="80"/>
      <c r="BF402" s="80"/>
      <c r="BG402" s="80"/>
      <c r="BH402" s="80"/>
      <c r="BI402" s="80"/>
      <c r="BJ402" s="80"/>
      <c r="BK402" s="80"/>
      <c r="BL402" s="80"/>
      <c r="BM402" s="80"/>
      <c r="BN402" s="80"/>
      <c r="BO402" s="80"/>
      <c r="BP402" s="80"/>
      <c r="BQ402" s="80"/>
      <c r="BR402" s="80"/>
      <c r="BS402" s="80"/>
      <c r="BT402" s="80"/>
      <c r="BU402" s="80"/>
    </row>
    <row r="403" spans="15:73"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  <c r="AY403" s="80"/>
      <c r="AZ403" s="80"/>
      <c r="BA403" s="80"/>
      <c r="BB403" s="80"/>
      <c r="BC403" s="80"/>
      <c r="BD403" s="80"/>
      <c r="BE403" s="80"/>
      <c r="BF403" s="80"/>
      <c r="BG403" s="80"/>
      <c r="BH403" s="80"/>
      <c r="BI403" s="80"/>
      <c r="BJ403" s="80"/>
      <c r="BK403" s="80"/>
      <c r="BL403" s="80"/>
      <c r="BM403" s="80"/>
      <c r="BN403" s="80"/>
      <c r="BO403" s="80"/>
      <c r="BP403" s="80"/>
      <c r="BQ403" s="80"/>
      <c r="BR403" s="80"/>
      <c r="BS403" s="80"/>
      <c r="BT403" s="80"/>
      <c r="BU403" s="80"/>
    </row>
    <row r="404" spans="15:73"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  <c r="AY404" s="80"/>
      <c r="AZ404" s="80"/>
      <c r="BA404" s="80"/>
      <c r="BB404" s="80"/>
      <c r="BC404" s="80"/>
      <c r="BD404" s="80"/>
      <c r="BE404" s="80"/>
      <c r="BF404" s="80"/>
      <c r="BG404" s="80"/>
      <c r="BH404" s="80"/>
      <c r="BI404" s="80"/>
      <c r="BJ404" s="80"/>
      <c r="BK404" s="80"/>
      <c r="BL404" s="80"/>
      <c r="BM404" s="80"/>
      <c r="BN404" s="80"/>
      <c r="BO404" s="80"/>
      <c r="BP404" s="80"/>
      <c r="BQ404" s="80"/>
      <c r="BR404" s="80"/>
      <c r="BS404" s="80"/>
      <c r="BT404" s="80"/>
      <c r="BU404" s="80"/>
    </row>
    <row r="405" spans="15:73"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  <c r="AY405" s="80"/>
      <c r="AZ405" s="80"/>
      <c r="BA405" s="80"/>
      <c r="BB405" s="80"/>
      <c r="BC405" s="80"/>
      <c r="BD405" s="80"/>
      <c r="BE405" s="80"/>
      <c r="BF405" s="80"/>
      <c r="BG405" s="80"/>
      <c r="BH405" s="80"/>
      <c r="BI405" s="80"/>
      <c r="BJ405" s="80"/>
      <c r="BK405" s="80"/>
      <c r="BL405" s="80"/>
      <c r="BM405" s="80"/>
      <c r="BN405" s="80"/>
      <c r="BO405" s="80"/>
      <c r="BP405" s="80"/>
      <c r="BQ405" s="80"/>
      <c r="BR405" s="80"/>
      <c r="BS405" s="80"/>
      <c r="BT405" s="80"/>
      <c r="BU405" s="80"/>
    </row>
    <row r="406" spans="15:73"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80"/>
      <c r="AZ406" s="80"/>
      <c r="BA406" s="80"/>
      <c r="BB406" s="80"/>
      <c r="BC406" s="80"/>
      <c r="BD406" s="80"/>
      <c r="BE406" s="80"/>
      <c r="BF406" s="80"/>
      <c r="BG406" s="80"/>
      <c r="BH406" s="80"/>
      <c r="BI406" s="80"/>
      <c r="BJ406" s="80"/>
      <c r="BK406" s="80"/>
      <c r="BL406" s="80"/>
      <c r="BM406" s="80"/>
      <c r="BN406" s="80"/>
      <c r="BO406" s="80"/>
      <c r="BP406" s="80"/>
      <c r="BQ406" s="80"/>
      <c r="BR406" s="80"/>
      <c r="BS406" s="80"/>
      <c r="BT406" s="80"/>
      <c r="BU406" s="80"/>
    </row>
    <row r="407" spans="15:73"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  <c r="BC407" s="80"/>
      <c r="BD407" s="80"/>
      <c r="BE407" s="80"/>
      <c r="BF407" s="80"/>
      <c r="BG407" s="80"/>
      <c r="BH407" s="80"/>
      <c r="BI407" s="80"/>
      <c r="BJ407" s="80"/>
      <c r="BK407" s="80"/>
      <c r="BL407" s="80"/>
      <c r="BM407" s="80"/>
      <c r="BN407" s="80"/>
      <c r="BO407" s="80"/>
      <c r="BP407" s="80"/>
      <c r="BQ407" s="80"/>
      <c r="BR407" s="80"/>
      <c r="BS407" s="80"/>
      <c r="BT407" s="80"/>
      <c r="BU407" s="80"/>
    </row>
    <row r="408" spans="15:73"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  <c r="BC408" s="80"/>
      <c r="BD408" s="80"/>
      <c r="BE408" s="80"/>
      <c r="BF408" s="80"/>
      <c r="BG408" s="80"/>
      <c r="BH408" s="80"/>
      <c r="BI408" s="80"/>
      <c r="BJ408" s="80"/>
      <c r="BK408" s="80"/>
      <c r="BL408" s="80"/>
      <c r="BM408" s="80"/>
      <c r="BN408" s="80"/>
      <c r="BO408" s="80"/>
      <c r="BP408" s="80"/>
      <c r="BQ408" s="80"/>
      <c r="BR408" s="80"/>
      <c r="BS408" s="80"/>
      <c r="BT408" s="80"/>
      <c r="BU408" s="80"/>
    </row>
    <row r="409" spans="15:73"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  <c r="BC409" s="80"/>
      <c r="BD409" s="80"/>
      <c r="BE409" s="80"/>
      <c r="BF409" s="80"/>
      <c r="BG409" s="80"/>
      <c r="BH409" s="80"/>
      <c r="BI409" s="80"/>
      <c r="BJ409" s="80"/>
      <c r="BK409" s="80"/>
      <c r="BL409" s="80"/>
      <c r="BM409" s="80"/>
      <c r="BN409" s="80"/>
      <c r="BO409" s="80"/>
      <c r="BP409" s="80"/>
      <c r="BQ409" s="80"/>
      <c r="BR409" s="80"/>
      <c r="BS409" s="80"/>
      <c r="BT409" s="80"/>
      <c r="BU409" s="80"/>
    </row>
    <row r="410" spans="15:73"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  <c r="BC410" s="80"/>
      <c r="BD410" s="80"/>
      <c r="BE410" s="80"/>
      <c r="BF410" s="80"/>
      <c r="BG410" s="80"/>
      <c r="BH410" s="80"/>
      <c r="BI410" s="80"/>
      <c r="BJ410" s="80"/>
      <c r="BK410" s="80"/>
      <c r="BL410" s="80"/>
      <c r="BM410" s="80"/>
      <c r="BN410" s="80"/>
      <c r="BO410" s="80"/>
      <c r="BP410" s="80"/>
      <c r="BQ410" s="80"/>
      <c r="BR410" s="80"/>
      <c r="BS410" s="80"/>
      <c r="BT410" s="80"/>
      <c r="BU410" s="80"/>
    </row>
    <row r="411" spans="15:73"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  <c r="BE411" s="80"/>
      <c r="BF411" s="80"/>
      <c r="BG411" s="80"/>
      <c r="BH411" s="80"/>
      <c r="BI411" s="80"/>
      <c r="BJ411" s="80"/>
      <c r="BK411" s="80"/>
      <c r="BL411" s="80"/>
      <c r="BM411" s="80"/>
      <c r="BN411" s="80"/>
      <c r="BO411" s="80"/>
      <c r="BP411" s="80"/>
      <c r="BQ411" s="80"/>
      <c r="BR411" s="80"/>
      <c r="BS411" s="80"/>
      <c r="BT411" s="80"/>
      <c r="BU411" s="80"/>
    </row>
    <row r="412" spans="15:73"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  <c r="BC412" s="80"/>
      <c r="BD412" s="80"/>
      <c r="BE412" s="80"/>
      <c r="BF412" s="80"/>
      <c r="BG412" s="80"/>
      <c r="BH412" s="80"/>
      <c r="BI412" s="80"/>
      <c r="BJ412" s="80"/>
      <c r="BK412" s="80"/>
      <c r="BL412" s="80"/>
      <c r="BM412" s="80"/>
      <c r="BN412" s="80"/>
      <c r="BO412" s="80"/>
      <c r="BP412" s="80"/>
      <c r="BQ412" s="80"/>
      <c r="BR412" s="80"/>
      <c r="BS412" s="80"/>
      <c r="BT412" s="80"/>
      <c r="BU412" s="80"/>
    </row>
    <row r="413" spans="15:73"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  <c r="BC413" s="80"/>
      <c r="BD413" s="80"/>
      <c r="BE413" s="80"/>
      <c r="BF413" s="80"/>
      <c r="BG413" s="80"/>
      <c r="BH413" s="80"/>
      <c r="BI413" s="80"/>
      <c r="BJ413" s="80"/>
      <c r="BK413" s="80"/>
      <c r="BL413" s="80"/>
      <c r="BM413" s="80"/>
      <c r="BN413" s="80"/>
      <c r="BO413" s="80"/>
      <c r="BP413" s="80"/>
      <c r="BQ413" s="80"/>
      <c r="BR413" s="80"/>
      <c r="BS413" s="80"/>
      <c r="BT413" s="80"/>
      <c r="BU413" s="80"/>
    </row>
    <row r="414" spans="15:73"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  <c r="AY414" s="80"/>
      <c r="AZ414" s="80"/>
      <c r="BA414" s="80"/>
      <c r="BB414" s="80"/>
      <c r="BC414" s="80"/>
      <c r="BD414" s="80"/>
      <c r="BE414" s="80"/>
      <c r="BF414" s="80"/>
      <c r="BG414" s="80"/>
      <c r="BH414" s="80"/>
      <c r="BI414" s="80"/>
      <c r="BJ414" s="80"/>
      <c r="BK414" s="80"/>
      <c r="BL414" s="80"/>
      <c r="BM414" s="80"/>
      <c r="BN414" s="80"/>
      <c r="BO414" s="80"/>
      <c r="BP414" s="80"/>
      <c r="BQ414" s="80"/>
      <c r="BR414" s="80"/>
      <c r="BS414" s="80"/>
      <c r="BT414" s="80"/>
      <c r="BU414" s="80"/>
    </row>
    <row r="415" spans="15:73"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  <c r="BE415" s="80"/>
      <c r="BF415" s="80"/>
      <c r="BG415" s="80"/>
      <c r="BH415" s="80"/>
      <c r="BI415" s="80"/>
      <c r="BJ415" s="80"/>
      <c r="BK415" s="80"/>
      <c r="BL415" s="80"/>
      <c r="BM415" s="80"/>
      <c r="BN415" s="80"/>
      <c r="BO415" s="80"/>
      <c r="BP415" s="80"/>
      <c r="BQ415" s="80"/>
      <c r="BR415" s="80"/>
      <c r="BS415" s="80"/>
      <c r="BT415" s="80"/>
      <c r="BU415" s="80"/>
    </row>
    <row r="416" spans="15:73"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  <c r="AY416" s="80"/>
      <c r="AZ416" s="80"/>
      <c r="BA416" s="80"/>
      <c r="BB416" s="80"/>
      <c r="BC416" s="80"/>
      <c r="BD416" s="80"/>
      <c r="BE416" s="80"/>
      <c r="BF416" s="80"/>
      <c r="BG416" s="80"/>
      <c r="BH416" s="80"/>
      <c r="BI416" s="80"/>
      <c r="BJ416" s="80"/>
      <c r="BK416" s="80"/>
      <c r="BL416" s="80"/>
      <c r="BM416" s="80"/>
      <c r="BN416" s="80"/>
      <c r="BO416" s="80"/>
      <c r="BP416" s="80"/>
      <c r="BQ416" s="80"/>
      <c r="BR416" s="80"/>
      <c r="BS416" s="80"/>
      <c r="BT416" s="80"/>
      <c r="BU416" s="80"/>
    </row>
    <row r="417" spans="15:73"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  <c r="BC417" s="80"/>
      <c r="BD417" s="80"/>
      <c r="BE417" s="80"/>
      <c r="BF417" s="80"/>
      <c r="BG417" s="80"/>
      <c r="BH417" s="80"/>
      <c r="BI417" s="80"/>
      <c r="BJ417" s="80"/>
      <c r="BK417" s="80"/>
      <c r="BL417" s="80"/>
      <c r="BM417" s="80"/>
      <c r="BN417" s="80"/>
      <c r="BO417" s="80"/>
      <c r="BP417" s="80"/>
      <c r="BQ417" s="80"/>
      <c r="BR417" s="80"/>
      <c r="BS417" s="80"/>
      <c r="BT417" s="80"/>
      <c r="BU417" s="80"/>
    </row>
    <row r="418" spans="15:73"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  <c r="AY418" s="80"/>
      <c r="AZ418" s="80"/>
      <c r="BA418" s="80"/>
      <c r="BB418" s="80"/>
      <c r="BC418" s="80"/>
      <c r="BD418" s="80"/>
      <c r="BE418" s="80"/>
      <c r="BF418" s="80"/>
      <c r="BG418" s="80"/>
      <c r="BH418" s="80"/>
      <c r="BI418" s="80"/>
      <c r="BJ418" s="80"/>
      <c r="BK418" s="80"/>
      <c r="BL418" s="80"/>
      <c r="BM418" s="80"/>
      <c r="BN418" s="80"/>
      <c r="BO418" s="80"/>
      <c r="BP418" s="80"/>
      <c r="BQ418" s="80"/>
      <c r="BR418" s="80"/>
      <c r="BS418" s="80"/>
      <c r="BT418" s="80"/>
      <c r="BU418" s="80"/>
    </row>
    <row r="419" spans="15:73"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  <c r="AY419" s="80"/>
      <c r="AZ419" s="80"/>
      <c r="BA419" s="80"/>
      <c r="BB419" s="80"/>
      <c r="BC419" s="80"/>
      <c r="BD419" s="80"/>
      <c r="BE419" s="80"/>
      <c r="BF419" s="80"/>
      <c r="BG419" s="80"/>
      <c r="BH419" s="80"/>
      <c r="BI419" s="80"/>
      <c r="BJ419" s="80"/>
      <c r="BK419" s="80"/>
      <c r="BL419" s="80"/>
      <c r="BM419" s="80"/>
      <c r="BN419" s="80"/>
      <c r="BO419" s="80"/>
      <c r="BP419" s="80"/>
      <c r="BQ419" s="80"/>
      <c r="BR419" s="80"/>
      <c r="BS419" s="80"/>
      <c r="BT419" s="80"/>
      <c r="BU419" s="80"/>
    </row>
    <row r="420" spans="15:73"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  <c r="BC420" s="80"/>
      <c r="BD420" s="80"/>
      <c r="BE420" s="80"/>
      <c r="BF420" s="80"/>
      <c r="BG420" s="80"/>
      <c r="BH420" s="80"/>
      <c r="BI420" s="80"/>
      <c r="BJ420" s="80"/>
      <c r="BK420" s="80"/>
      <c r="BL420" s="80"/>
      <c r="BM420" s="80"/>
      <c r="BN420" s="80"/>
      <c r="BO420" s="80"/>
      <c r="BP420" s="80"/>
      <c r="BQ420" s="80"/>
      <c r="BR420" s="80"/>
      <c r="BS420" s="80"/>
      <c r="BT420" s="80"/>
      <c r="BU420" s="80"/>
    </row>
    <row r="421" spans="15:73"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  <c r="AY421" s="80"/>
      <c r="AZ421" s="80"/>
      <c r="BA421" s="80"/>
      <c r="BB421" s="80"/>
      <c r="BC421" s="80"/>
      <c r="BD421" s="80"/>
      <c r="BE421" s="80"/>
      <c r="BF421" s="80"/>
      <c r="BG421" s="80"/>
      <c r="BH421" s="80"/>
      <c r="BI421" s="80"/>
      <c r="BJ421" s="80"/>
      <c r="BK421" s="80"/>
      <c r="BL421" s="80"/>
      <c r="BM421" s="80"/>
      <c r="BN421" s="80"/>
      <c r="BO421" s="80"/>
      <c r="BP421" s="80"/>
      <c r="BQ421" s="80"/>
      <c r="BR421" s="80"/>
      <c r="BS421" s="80"/>
      <c r="BT421" s="80"/>
      <c r="BU421" s="80"/>
    </row>
    <row r="422" spans="15:73"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  <c r="AW422" s="80"/>
      <c r="AX422" s="80"/>
      <c r="AY422" s="80"/>
      <c r="AZ422" s="80"/>
      <c r="BA422" s="80"/>
      <c r="BB422" s="80"/>
      <c r="BC422" s="80"/>
      <c r="BD422" s="80"/>
      <c r="BE422" s="80"/>
      <c r="BF422" s="80"/>
      <c r="BG422" s="80"/>
      <c r="BH422" s="80"/>
      <c r="BI422" s="80"/>
      <c r="BJ422" s="80"/>
      <c r="BK422" s="80"/>
      <c r="BL422" s="80"/>
      <c r="BM422" s="80"/>
      <c r="BN422" s="80"/>
      <c r="BO422" s="80"/>
      <c r="BP422" s="80"/>
      <c r="BQ422" s="80"/>
      <c r="BR422" s="80"/>
      <c r="BS422" s="80"/>
      <c r="BT422" s="80"/>
      <c r="BU422" s="80"/>
    </row>
    <row r="423" spans="15:73"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  <c r="AW423" s="80"/>
      <c r="AX423" s="80"/>
      <c r="AY423" s="80"/>
      <c r="AZ423" s="80"/>
      <c r="BA423" s="80"/>
      <c r="BB423" s="80"/>
      <c r="BC423" s="80"/>
      <c r="BD423" s="80"/>
      <c r="BE423" s="80"/>
      <c r="BF423" s="80"/>
      <c r="BG423" s="80"/>
      <c r="BH423" s="80"/>
      <c r="BI423" s="80"/>
      <c r="BJ423" s="80"/>
      <c r="BK423" s="80"/>
      <c r="BL423" s="80"/>
      <c r="BM423" s="80"/>
      <c r="BN423" s="80"/>
      <c r="BO423" s="80"/>
      <c r="BP423" s="80"/>
      <c r="BQ423" s="80"/>
      <c r="BR423" s="80"/>
      <c r="BS423" s="80"/>
      <c r="BT423" s="80"/>
      <c r="BU423" s="80"/>
    </row>
    <row r="424" spans="15:73"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  <c r="AW424" s="80"/>
      <c r="AX424" s="80"/>
      <c r="AY424" s="80"/>
      <c r="AZ424" s="80"/>
      <c r="BA424" s="80"/>
      <c r="BB424" s="80"/>
      <c r="BC424" s="80"/>
      <c r="BD424" s="80"/>
      <c r="BE424" s="80"/>
      <c r="BF424" s="80"/>
      <c r="BG424" s="80"/>
      <c r="BH424" s="80"/>
      <c r="BI424" s="80"/>
      <c r="BJ424" s="80"/>
      <c r="BK424" s="80"/>
      <c r="BL424" s="80"/>
      <c r="BM424" s="80"/>
      <c r="BN424" s="80"/>
      <c r="BO424" s="80"/>
      <c r="BP424" s="80"/>
      <c r="BQ424" s="80"/>
      <c r="BR424" s="80"/>
      <c r="BS424" s="80"/>
      <c r="BT424" s="80"/>
      <c r="BU424" s="80"/>
    </row>
    <row r="425" spans="15:73"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  <c r="AY425" s="80"/>
      <c r="AZ425" s="80"/>
      <c r="BA425" s="80"/>
      <c r="BB425" s="80"/>
      <c r="BC425" s="80"/>
      <c r="BD425" s="80"/>
      <c r="BE425" s="80"/>
      <c r="BF425" s="80"/>
      <c r="BG425" s="80"/>
      <c r="BH425" s="80"/>
      <c r="BI425" s="80"/>
      <c r="BJ425" s="80"/>
      <c r="BK425" s="80"/>
      <c r="BL425" s="80"/>
      <c r="BM425" s="80"/>
      <c r="BN425" s="80"/>
      <c r="BO425" s="80"/>
      <c r="BP425" s="80"/>
      <c r="BQ425" s="80"/>
      <c r="BR425" s="80"/>
      <c r="BS425" s="80"/>
      <c r="BT425" s="80"/>
      <c r="BU425" s="80"/>
    </row>
    <row r="426" spans="15:73"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  <c r="AW426" s="80"/>
      <c r="AX426" s="80"/>
      <c r="AY426" s="80"/>
      <c r="AZ426" s="80"/>
      <c r="BA426" s="80"/>
      <c r="BB426" s="80"/>
      <c r="BC426" s="80"/>
      <c r="BD426" s="80"/>
      <c r="BE426" s="80"/>
      <c r="BF426" s="80"/>
      <c r="BG426" s="80"/>
      <c r="BH426" s="80"/>
      <c r="BI426" s="80"/>
      <c r="BJ426" s="80"/>
      <c r="BK426" s="80"/>
      <c r="BL426" s="80"/>
      <c r="BM426" s="80"/>
      <c r="BN426" s="80"/>
      <c r="BO426" s="80"/>
      <c r="BP426" s="80"/>
      <c r="BQ426" s="80"/>
      <c r="BR426" s="80"/>
      <c r="BS426" s="80"/>
      <c r="BT426" s="80"/>
      <c r="BU426" s="80"/>
    </row>
    <row r="427" spans="15:73"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  <c r="AW427" s="80"/>
      <c r="AX427" s="80"/>
      <c r="AY427" s="80"/>
      <c r="AZ427" s="80"/>
      <c r="BA427" s="80"/>
      <c r="BB427" s="80"/>
      <c r="BC427" s="80"/>
      <c r="BD427" s="80"/>
      <c r="BE427" s="80"/>
      <c r="BF427" s="80"/>
      <c r="BG427" s="80"/>
      <c r="BH427" s="80"/>
      <c r="BI427" s="80"/>
      <c r="BJ427" s="80"/>
      <c r="BK427" s="80"/>
      <c r="BL427" s="80"/>
      <c r="BM427" s="80"/>
      <c r="BN427" s="80"/>
      <c r="BO427" s="80"/>
      <c r="BP427" s="80"/>
      <c r="BQ427" s="80"/>
      <c r="BR427" s="80"/>
      <c r="BS427" s="80"/>
      <c r="BT427" s="80"/>
      <c r="BU427" s="80"/>
    </row>
    <row r="428" spans="15:73"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  <c r="AY428" s="80"/>
      <c r="AZ428" s="80"/>
      <c r="BA428" s="80"/>
      <c r="BB428" s="80"/>
      <c r="BC428" s="80"/>
      <c r="BD428" s="80"/>
      <c r="BE428" s="80"/>
      <c r="BF428" s="80"/>
      <c r="BG428" s="80"/>
      <c r="BH428" s="80"/>
      <c r="BI428" s="80"/>
      <c r="BJ428" s="80"/>
      <c r="BK428" s="80"/>
      <c r="BL428" s="80"/>
      <c r="BM428" s="80"/>
      <c r="BN428" s="80"/>
      <c r="BO428" s="80"/>
      <c r="BP428" s="80"/>
      <c r="BQ428" s="80"/>
      <c r="BR428" s="80"/>
      <c r="BS428" s="80"/>
      <c r="BT428" s="80"/>
      <c r="BU428" s="80"/>
    </row>
    <row r="429" spans="15:73"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  <c r="AY429" s="80"/>
      <c r="AZ429" s="80"/>
      <c r="BA429" s="80"/>
      <c r="BB429" s="80"/>
      <c r="BC429" s="80"/>
      <c r="BD429" s="80"/>
      <c r="BE429" s="80"/>
      <c r="BF429" s="80"/>
      <c r="BG429" s="80"/>
      <c r="BH429" s="80"/>
      <c r="BI429" s="80"/>
      <c r="BJ429" s="80"/>
      <c r="BK429" s="80"/>
      <c r="BL429" s="80"/>
      <c r="BM429" s="80"/>
      <c r="BN429" s="80"/>
      <c r="BO429" s="80"/>
      <c r="BP429" s="80"/>
      <c r="BQ429" s="80"/>
      <c r="BR429" s="80"/>
      <c r="BS429" s="80"/>
      <c r="BT429" s="80"/>
      <c r="BU429" s="80"/>
    </row>
    <row r="430" spans="15:73"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  <c r="AY430" s="80"/>
      <c r="AZ430" s="80"/>
      <c r="BA430" s="80"/>
      <c r="BB430" s="80"/>
      <c r="BC430" s="80"/>
      <c r="BD430" s="80"/>
      <c r="BE430" s="80"/>
      <c r="BF430" s="80"/>
      <c r="BG430" s="80"/>
      <c r="BH430" s="80"/>
      <c r="BI430" s="80"/>
      <c r="BJ430" s="80"/>
      <c r="BK430" s="80"/>
      <c r="BL430" s="80"/>
      <c r="BM430" s="80"/>
      <c r="BN430" s="80"/>
      <c r="BO430" s="80"/>
      <c r="BP430" s="80"/>
      <c r="BQ430" s="80"/>
      <c r="BR430" s="80"/>
      <c r="BS430" s="80"/>
      <c r="BT430" s="80"/>
      <c r="BU430" s="80"/>
    </row>
    <row r="431" spans="15:73"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  <c r="AY431" s="80"/>
      <c r="AZ431" s="80"/>
      <c r="BA431" s="80"/>
      <c r="BB431" s="80"/>
      <c r="BC431" s="80"/>
      <c r="BD431" s="80"/>
      <c r="BE431" s="80"/>
      <c r="BF431" s="80"/>
      <c r="BG431" s="80"/>
      <c r="BH431" s="80"/>
      <c r="BI431" s="80"/>
      <c r="BJ431" s="80"/>
      <c r="BK431" s="80"/>
      <c r="BL431" s="80"/>
      <c r="BM431" s="80"/>
      <c r="BN431" s="80"/>
      <c r="BO431" s="80"/>
      <c r="BP431" s="80"/>
      <c r="BQ431" s="80"/>
      <c r="BR431" s="80"/>
      <c r="BS431" s="80"/>
      <c r="BT431" s="80"/>
      <c r="BU431" s="80"/>
    </row>
    <row r="432" spans="15:73"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  <c r="BC432" s="80"/>
      <c r="BD432" s="80"/>
      <c r="BE432" s="80"/>
      <c r="BF432" s="80"/>
      <c r="BG432" s="80"/>
      <c r="BH432" s="80"/>
      <c r="BI432" s="80"/>
      <c r="BJ432" s="80"/>
      <c r="BK432" s="80"/>
      <c r="BL432" s="80"/>
      <c r="BM432" s="80"/>
      <c r="BN432" s="80"/>
      <c r="BO432" s="80"/>
      <c r="BP432" s="80"/>
      <c r="BQ432" s="80"/>
      <c r="BR432" s="80"/>
      <c r="BS432" s="80"/>
      <c r="BT432" s="80"/>
      <c r="BU432" s="80"/>
    </row>
    <row r="433" spans="15:73"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  <c r="BC433" s="80"/>
      <c r="BD433" s="80"/>
      <c r="BE433" s="80"/>
      <c r="BF433" s="80"/>
      <c r="BG433" s="80"/>
      <c r="BH433" s="80"/>
      <c r="BI433" s="80"/>
      <c r="BJ433" s="80"/>
      <c r="BK433" s="80"/>
      <c r="BL433" s="80"/>
      <c r="BM433" s="80"/>
      <c r="BN433" s="80"/>
      <c r="BO433" s="80"/>
      <c r="BP433" s="80"/>
      <c r="BQ433" s="80"/>
      <c r="BR433" s="80"/>
      <c r="BS433" s="80"/>
      <c r="BT433" s="80"/>
      <c r="BU433" s="80"/>
    </row>
    <row r="434" spans="15:73"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  <c r="BC434" s="80"/>
      <c r="BD434" s="80"/>
      <c r="BE434" s="80"/>
      <c r="BF434" s="80"/>
      <c r="BG434" s="80"/>
      <c r="BH434" s="80"/>
      <c r="BI434" s="80"/>
      <c r="BJ434" s="80"/>
      <c r="BK434" s="80"/>
      <c r="BL434" s="80"/>
      <c r="BM434" s="80"/>
      <c r="BN434" s="80"/>
      <c r="BO434" s="80"/>
      <c r="BP434" s="80"/>
      <c r="BQ434" s="80"/>
      <c r="BR434" s="80"/>
      <c r="BS434" s="80"/>
      <c r="BT434" s="80"/>
      <c r="BU434" s="80"/>
    </row>
    <row r="435" spans="15:73"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  <c r="BC435" s="80"/>
      <c r="BD435" s="80"/>
      <c r="BE435" s="80"/>
      <c r="BF435" s="80"/>
      <c r="BG435" s="80"/>
      <c r="BH435" s="80"/>
      <c r="BI435" s="80"/>
      <c r="BJ435" s="80"/>
      <c r="BK435" s="80"/>
      <c r="BL435" s="80"/>
      <c r="BM435" s="80"/>
      <c r="BN435" s="80"/>
      <c r="BO435" s="80"/>
      <c r="BP435" s="80"/>
      <c r="BQ435" s="80"/>
      <c r="BR435" s="80"/>
      <c r="BS435" s="80"/>
      <c r="BT435" s="80"/>
      <c r="BU435" s="80"/>
    </row>
    <row r="436" spans="15:73"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  <c r="BC436" s="80"/>
      <c r="BD436" s="80"/>
      <c r="BE436" s="80"/>
      <c r="BF436" s="80"/>
      <c r="BG436" s="80"/>
      <c r="BH436" s="80"/>
      <c r="BI436" s="80"/>
      <c r="BJ436" s="80"/>
      <c r="BK436" s="80"/>
      <c r="BL436" s="80"/>
      <c r="BM436" s="80"/>
      <c r="BN436" s="80"/>
      <c r="BO436" s="80"/>
      <c r="BP436" s="80"/>
      <c r="BQ436" s="80"/>
      <c r="BR436" s="80"/>
      <c r="BS436" s="80"/>
      <c r="BT436" s="80"/>
      <c r="BU436" s="80"/>
    </row>
    <row r="437" spans="15:73"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  <c r="BC437" s="80"/>
      <c r="BD437" s="80"/>
      <c r="BE437" s="80"/>
      <c r="BF437" s="80"/>
      <c r="BG437" s="80"/>
      <c r="BH437" s="80"/>
      <c r="BI437" s="80"/>
      <c r="BJ437" s="80"/>
      <c r="BK437" s="80"/>
      <c r="BL437" s="80"/>
      <c r="BM437" s="80"/>
      <c r="BN437" s="80"/>
      <c r="BO437" s="80"/>
      <c r="BP437" s="80"/>
      <c r="BQ437" s="80"/>
      <c r="BR437" s="80"/>
      <c r="BS437" s="80"/>
      <c r="BT437" s="80"/>
      <c r="BU437" s="80"/>
    </row>
    <row r="438" spans="15:73"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  <c r="BC438" s="80"/>
      <c r="BD438" s="80"/>
      <c r="BE438" s="80"/>
      <c r="BF438" s="80"/>
      <c r="BG438" s="80"/>
      <c r="BH438" s="80"/>
      <c r="BI438" s="80"/>
      <c r="BJ438" s="80"/>
      <c r="BK438" s="80"/>
      <c r="BL438" s="80"/>
      <c r="BM438" s="80"/>
      <c r="BN438" s="80"/>
      <c r="BO438" s="80"/>
      <c r="BP438" s="80"/>
      <c r="BQ438" s="80"/>
      <c r="BR438" s="80"/>
      <c r="BS438" s="80"/>
      <c r="BT438" s="80"/>
      <c r="BU438" s="80"/>
    </row>
    <row r="439" spans="15:73"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  <c r="BE439" s="80"/>
      <c r="BF439" s="80"/>
      <c r="BG439" s="80"/>
      <c r="BH439" s="80"/>
      <c r="BI439" s="80"/>
      <c r="BJ439" s="80"/>
      <c r="BK439" s="80"/>
      <c r="BL439" s="80"/>
      <c r="BM439" s="80"/>
      <c r="BN439" s="80"/>
      <c r="BO439" s="80"/>
      <c r="BP439" s="80"/>
      <c r="BQ439" s="80"/>
      <c r="BR439" s="80"/>
      <c r="BS439" s="80"/>
      <c r="BT439" s="80"/>
      <c r="BU439" s="80"/>
    </row>
    <row r="440" spans="15:73"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  <c r="BC440" s="80"/>
      <c r="BD440" s="80"/>
      <c r="BE440" s="80"/>
      <c r="BF440" s="80"/>
      <c r="BG440" s="80"/>
      <c r="BH440" s="80"/>
      <c r="BI440" s="80"/>
      <c r="BJ440" s="80"/>
      <c r="BK440" s="80"/>
      <c r="BL440" s="80"/>
      <c r="BM440" s="80"/>
      <c r="BN440" s="80"/>
      <c r="BO440" s="80"/>
      <c r="BP440" s="80"/>
      <c r="BQ440" s="80"/>
      <c r="BR440" s="80"/>
      <c r="BS440" s="80"/>
      <c r="BT440" s="80"/>
      <c r="BU440" s="80"/>
    </row>
    <row r="441" spans="15:73"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  <c r="BC441" s="80"/>
      <c r="BD441" s="80"/>
      <c r="BE441" s="80"/>
      <c r="BF441" s="80"/>
      <c r="BG441" s="80"/>
      <c r="BH441" s="80"/>
      <c r="BI441" s="80"/>
      <c r="BJ441" s="80"/>
      <c r="BK441" s="80"/>
      <c r="BL441" s="80"/>
      <c r="BM441" s="80"/>
      <c r="BN441" s="80"/>
      <c r="BO441" s="80"/>
      <c r="BP441" s="80"/>
      <c r="BQ441" s="80"/>
      <c r="BR441" s="80"/>
      <c r="BS441" s="80"/>
      <c r="BT441" s="80"/>
      <c r="BU441" s="80"/>
    </row>
    <row r="442" spans="15:73"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  <c r="BC442" s="80"/>
      <c r="BD442" s="80"/>
      <c r="BE442" s="80"/>
      <c r="BF442" s="80"/>
      <c r="BG442" s="80"/>
      <c r="BH442" s="80"/>
      <c r="BI442" s="80"/>
      <c r="BJ442" s="80"/>
      <c r="BK442" s="80"/>
      <c r="BL442" s="80"/>
      <c r="BM442" s="80"/>
      <c r="BN442" s="80"/>
      <c r="BO442" s="80"/>
      <c r="BP442" s="80"/>
      <c r="BQ442" s="80"/>
      <c r="BR442" s="80"/>
      <c r="BS442" s="80"/>
      <c r="BT442" s="80"/>
      <c r="BU442" s="80"/>
    </row>
    <row r="443" spans="15:73"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  <c r="BC443" s="80"/>
      <c r="BD443" s="80"/>
      <c r="BE443" s="80"/>
      <c r="BF443" s="80"/>
      <c r="BG443" s="80"/>
      <c r="BH443" s="80"/>
      <c r="BI443" s="80"/>
      <c r="BJ443" s="80"/>
      <c r="BK443" s="80"/>
      <c r="BL443" s="80"/>
      <c r="BM443" s="80"/>
      <c r="BN443" s="80"/>
      <c r="BO443" s="80"/>
      <c r="BP443" s="80"/>
      <c r="BQ443" s="80"/>
      <c r="BR443" s="80"/>
      <c r="BS443" s="80"/>
      <c r="BT443" s="80"/>
      <c r="BU443" s="80"/>
    </row>
    <row r="444" spans="15:73"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  <c r="BE444" s="80"/>
      <c r="BF444" s="80"/>
      <c r="BG444" s="80"/>
      <c r="BH444" s="80"/>
      <c r="BI444" s="80"/>
      <c r="BJ444" s="80"/>
      <c r="BK444" s="80"/>
      <c r="BL444" s="80"/>
      <c r="BM444" s="80"/>
      <c r="BN444" s="80"/>
      <c r="BO444" s="80"/>
      <c r="BP444" s="80"/>
      <c r="BQ444" s="80"/>
      <c r="BR444" s="80"/>
      <c r="BS444" s="80"/>
      <c r="BT444" s="80"/>
      <c r="BU444" s="80"/>
    </row>
    <row r="445" spans="15:73"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  <c r="BC445" s="80"/>
      <c r="BD445" s="80"/>
      <c r="BE445" s="80"/>
      <c r="BF445" s="80"/>
      <c r="BG445" s="80"/>
      <c r="BH445" s="80"/>
      <c r="BI445" s="80"/>
      <c r="BJ445" s="80"/>
      <c r="BK445" s="80"/>
      <c r="BL445" s="80"/>
      <c r="BM445" s="80"/>
      <c r="BN445" s="80"/>
      <c r="BO445" s="80"/>
      <c r="BP445" s="80"/>
      <c r="BQ445" s="80"/>
      <c r="BR445" s="80"/>
      <c r="BS445" s="80"/>
      <c r="BT445" s="80"/>
      <c r="BU445" s="80"/>
    </row>
    <row r="446" spans="15:73"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  <c r="BC446" s="80"/>
      <c r="BD446" s="80"/>
      <c r="BE446" s="80"/>
      <c r="BF446" s="80"/>
      <c r="BG446" s="80"/>
      <c r="BH446" s="80"/>
      <c r="BI446" s="80"/>
      <c r="BJ446" s="80"/>
      <c r="BK446" s="80"/>
      <c r="BL446" s="80"/>
      <c r="BM446" s="80"/>
      <c r="BN446" s="80"/>
      <c r="BO446" s="80"/>
      <c r="BP446" s="80"/>
      <c r="BQ446" s="80"/>
      <c r="BR446" s="80"/>
      <c r="BS446" s="80"/>
      <c r="BT446" s="80"/>
      <c r="BU446" s="80"/>
    </row>
    <row r="447" spans="15:73"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  <c r="AW447" s="80"/>
      <c r="AX447" s="80"/>
      <c r="AY447" s="80"/>
      <c r="AZ447" s="80"/>
      <c r="BA447" s="80"/>
      <c r="BB447" s="80"/>
      <c r="BC447" s="80"/>
      <c r="BD447" s="80"/>
      <c r="BE447" s="80"/>
      <c r="BF447" s="80"/>
      <c r="BG447" s="80"/>
      <c r="BH447" s="80"/>
      <c r="BI447" s="80"/>
      <c r="BJ447" s="80"/>
      <c r="BK447" s="80"/>
      <c r="BL447" s="80"/>
      <c r="BM447" s="80"/>
      <c r="BN447" s="80"/>
      <c r="BO447" s="80"/>
      <c r="BP447" s="80"/>
      <c r="BQ447" s="80"/>
      <c r="BR447" s="80"/>
      <c r="BS447" s="80"/>
      <c r="BT447" s="80"/>
      <c r="BU447" s="80"/>
    </row>
    <row r="448" spans="15:73"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  <c r="AY448" s="80"/>
      <c r="AZ448" s="80"/>
      <c r="BA448" s="80"/>
      <c r="BB448" s="80"/>
      <c r="BC448" s="80"/>
      <c r="BD448" s="80"/>
      <c r="BE448" s="80"/>
      <c r="BF448" s="80"/>
      <c r="BG448" s="80"/>
      <c r="BH448" s="80"/>
      <c r="BI448" s="80"/>
      <c r="BJ448" s="80"/>
      <c r="BK448" s="80"/>
      <c r="BL448" s="80"/>
      <c r="BM448" s="80"/>
      <c r="BN448" s="80"/>
      <c r="BO448" s="80"/>
      <c r="BP448" s="80"/>
      <c r="BQ448" s="80"/>
      <c r="BR448" s="80"/>
      <c r="BS448" s="80"/>
      <c r="BT448" s="80"/>
      <c r="BU448" s="80"/>
    </row>
    <row r="449" spans="15:73"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  <c r="AW449" s="80"/>
      <c r="AX449" s="80"/>
      <c r="AY449" s="80"/>
      <c r="AZ449" s="80"/>
      <c r="BA449" s="80"/>
      <c r="BB449" s="80"/>
      <c r="BC449" s="80"/>
      <c r="BD449" s="80"/>
      <c r="BE449" s="80"/>
      <c r="BF449" s="80"/>
      <c r="BG449" s="80"/>
      <c r="BH449" s="80"/>
      <c r="BI449" s="80"/>
      <c r="BJ449" s="80"/>
      <c r="BK449" s="80"/>
      <c r="BL449" s="80"/>
      <c r="BM449" s="80"/>
      <c r="BN449" s="80"/>
      <c r="BO449" s="80"/>
      <c r="BP449" s="80"/>
      <c r="BQ449" s="80"/>
      <c r="BR449" s="80"/>
      <c r="BS449" s="80"/>
      <c r="BT449" s="80"/>
      <c r="BU449" s="80"/>
    </row>
    <row r="450" spans="15:73"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  <c r="AW450" s="80"/>
      <c r="AX450" s="80"/>
      <c r="AY450" s="80"/>
      <c r="AZ450" s="80"/>
      <c r="BA450" s="80"/>
      <c r="BB450" s="80"/>
      <c r="BC450" s="80"/>
      <c r="BD450" s="80"/>
      <c r="BE450" s="80"/>
      <c r="BF450" s="80"/>
      <c r="BG450" s="80"/>
      <c r="BH450" s="80"/>
      <c r="BI450" s="80"/>
      <c r="BJ450" s="80"/>
      <c r="BK450" s="80"/>
      <c r="BL450" s="80"/>
      <c r="BM450" s="80"/>
      <c r="BN450" s="80"/>
      <c r="BO450" s="80"/>
      <c r="BP450" s="80"/>
      <c r="BQ450" s="80"/>
      <c r="BR450" s="80"/>
      <c r="BS450" s="80"/>
      <c r="BT450" s="80"/>
      <c r="BU450" s="80"/>
    </row>
    <row r="451" spans="15:73"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  <c r="AW451" s="80"/>
      <c r="AX451" s="80"/>
      <c r="AY451" s="80"/>
      <c r="AZ451" s="80"/>
      <c r="BA451" s="80"/>
      <c r="BB451" s="80"/>
      <c r="BC451" s="80"/>
      <c r="BD451" s="80"/>
      <c r="BE451" s="80"/>
      <c r="BF451" s="80"/>
      <c r="BG451" s="80"/>
      <c r="BH451" s="80"/>
      <c r="BI451" s="80"/>
      <c r="BJ451" s="80"/>
      <c r="BK451" s="80"/>
      <c r="BL451" s="80"/>
      <c r="BM451" s="80"/>
      <c r="BN451" s="80"/>
      <c r="BO451" s="80"/>
      <c r="BP451" s="80"/>
      <c r="BQ451" s="80"/>
      <c r="BR451" s="80"/>
      <c r="BS451" s="80"/>
      <c r="BT451" s="80"/>
      <c r="BU451" s="80"/>
    </row>
    <row r="452" spans="15:73"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  <c r="AW452" s="80"/>
      <c r="AX452" s="80"/>
      <c r="AY452" s="80"/>
      <c r="AZ452" s="80"/>
      <c r="BA452" s="80"/>
      <c r="BB452" s="80"/>
      <c r="BC452" s="80"/>
      <c r="BD452" s="80"/>
      <c r="BE452" s="80"/>
      <c r="BF452" s="80"/>
      <c r="BG452" s="80"/>
      <c r="BH452" s="80"/>
      <c r="BI452" s="80"/>
      <c r="BJ452" s="80"/>
      <c r="BK452" s="80"/>
      <c r="BL452" s="80"/>
      <c r="BM452" s="80"/>
      <c r="BN452" s="80"/>
      <c r="BO452" s="80"/>
      <c r="BP452" s="80"/>
      <c r="BQ452" s="80"/>
      <c r="BR452" s="80"/>
      <c r="BS452" s="80"/>
      <c r="BT452" s="80"/>
      <c r="BU452" s="80"/>
    </row>
    <row r="453" spans="15:73"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  <c r="AV453" s="80"/>
      <c r="AW453" s="80"/>
      <c r="AX453" s="80"/>
      <c r="AY453" s="80"/>
      <c r="AZ453" s="80"/>
      <c r="BA453" s="80"/>
      <c r="BB453" s="80"/>
      <c r="BC453" s="80"/>
      <c r="BD453" s="80"/>
      <c r="BE453" s="80"/>
      <c r="BF453" s="80"/>
      <c r="BG453" s="80"/>
      <c r="BH453" s="80"/>
      <c r="BI453" s="80"/>
      <c r="BJ453" s="80"/>
      <c r="BK453" s="80"/>
      <c r="BL453" s="80"/>
      <c r="BM453" s="80"/>
      <c r="BN453" s="80"/>
      <c r="BO453" s="80"/>
      <c r="BP453" s="80"/>
      <c r="BQ453" s="80"/>
      <c r="BR453" s="80"/>
      <c r="BS453" s="80"/>
      <c r="BT453" s="80"/>
      <c r="BU453" s="80"/>
    </row>
    <row r="454" spans="15:73"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  <c r="AV454" s="80"/>
      <c r="AW454" s="80"/>
      <c r="AX454" s="80"/>
      <c r="AY454" s="80"/>
      <c r="AZ454" s="80"/>
      <c r="BA454" s="80"/>
      <c r="BB454" s="80"/>
      <c r="BC454" s="80"/>
      <c r="BD454" s="80"/>
      <c r="BE454" s="80"/>
      <c r="BF454" s="80"/>
      <c r="BG454" s="80"/>
      <c r="BH454" s="80"/>
      <c r="BI454" s="80"/>
      <c r="BJ454" s="80"/>
      <c r="BK454" s="80"/>
      <c r="BL454" s="80"/>
      <c r="BM454" s="80"/>
      <c r="BN454" s="80"/>
      <c r="BO454" s="80"/>
      <c r="BP454" s="80"/>
      <c r="BQ454" s="80"/>
      <c r="BR454" s="80"/>
      <c r="BS454" s="80"/>
      <c r="BT454" s="80"/>
      <c r="BU454" s="80"/>
    </row>
    <row r="455" spans="15:73"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  <c r="BC455" s="80"/>
      <c r="BD455" s="80"/>
      <c r="BE455" s="80"/>
      <c r="BF455" s="80"/>
      <c r="BG455" s="80"/>
      <c r="BH455" s="80"/>
      <c r="BI455" s="80"/>
      <c r="BJ455" s="80"/>
      <c r="BK455" s="80"/>
      <c r="BL455" s="80"/>
      <c r="BM455" s="80"/>
      <c r="BN455" s="80"/>
      <c r="BO455" s="80"/>
      <c r="BP455" s="80"/>
      <c r="BQ455" s="80"/>
      <c r="BR455" s="80"/>
      <c r="BS455" s="80"/>
      <c r="BT455" s="80"/>
      <c r="BU455" s="80"/>
    </row>
    <row r="456" spans="15:73"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  <c r="AY456" s="80"/>
      <c r="AZ456" s="80"/>
      <c r="BA456" s="80"/>
      <c r="BB456" s="80"/>
      <c r="BC456" s="80"/>
      <c r="BD456" s="80"/>
      <c r="BE456" s="80"/>
      <c r="BF456" s="80"/>
      <c r="BG456" s="80"/>
      <c r="BH456" s="80"/>
      <c r="BI456" s="80"/>
      <c r="BJ456" s="80"/>
      <c r="BK456" s="80"/>
      <c r="BL456" s="80"/>
      <c r="BM456" s="80"/>
      <c r="BN456" s="80"/>
      <c r="BO456" s="80"/>
      <c r="BP456" s="80"/>
      <c r="BQ456" s="80"/>
      <c r="BR456" s="80"/>
      <c r="BS456" s="80"/>
      <c r="BT456" s="80"/>
      <c r="BU456" s="80"/>
    </row>
    <row r="457" spans="15:73"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  <c r="AY457" s="80"/>
      <c r="AZ457" s="80"/>
      <c r="BA457" s="80"/>
      <c r="BB457" s="80"/>
      <c r="BC457" s="80"/>
      <c r="BD457" s="80"/>
      <c r="BE457" s="80"/>
      <c r="BF457" s="80"/>
      <c r="BG457" s="80"/>
      <c r="BH457" s="80"/>
      <c r="BI457" s="80"/>
      <c r="BJ457" s="80"/>
      <c r="BK457" s="80"/>
      <c r="BL457" s="80"/>
      <c r="BM457" s="80"/>
      <c r="BN457" s="80"/>
      <c r="BO457" s="80"/>
      <c r="BP457" s="80"/>
      <c r="BQ457" s="80"/>
      <c r="BR457" s="80"/>
      <c r="BS457" s="80"/>
      <c r="BT457" s="80"/>
      <c r="BU457" s="80"/>
    </row>
    <row r="458" spans="15:73"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80"/>
      <c r="AZ458" s="80"/>
      <c r="BA458" s="80"/>
      <c r="BB458" s="80"/>
      <c r="BC458" s="80"/>
      <c r="BD458" s="80"/>
      <c r="BE458" s="80"/>
      <c r="BF458" s="80"/>
      <c r="BG458" s="80"/>
      <c r="BH458" s="80"/>
      <c r="BI458" s="80"/>
      <c r="BJ458" s="80"/>
      <c r="BK458" s="80"/>
      <c r="BL458" s="80"/>
      <c r="BM458" s="80"/>
      <c r="BN458" s="80"/>
      <c r="BO458" s="80"/>
      <c r="BP458" s="80"/>
      <c r="BQ458" s="80"/>
      <c r="BR458" s="80"/>
      <c r="BS458" s="80"/>
      <c r="BT458" s="80"/>
      <c r="BU458" s="80"/>
    </row>
    <row r="459" spans="15:73"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  <c r="AY459" s="80"/>
      <c r="AZ459" s="80"/>
      <c r="BA459" s="80"/>
      <c r="BB459" s="80"/>
      <c r="BC459" s="80"/>
      <c r="BD459" s="80"/>
      <c r="BE459" s="80"/>
      <c r="BF459" s="80"/>
      <c r="BG459" s="80"/>
      <c r="BH459" s="80"/>
      <c r="BI459" s="80"/>
      <c r="BJ459" s="80"/>
      <c r="BK459" s="80"/>
      <c r="BL459" s="80"/>
      <c r="BM459" s="80"/>
      <c r="BN459" s="80"/>
      <c r="BO459" s="80"/>
      <c r="BP459" s="80"/>
      <c r="BQ459" s="80"/>
      <c r="BR459" s="80"/>
      <c r="BS459" s="80"/>
      <c r="BT459" s="80"/>
      <c r="BU459" s="80"/>
    </row>
    <row r="460" spans="15:73"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  <c r="AY460" s="80"/>
      <c r="AZ460" s="80"/>
      <c r="BA460" s="80"/>
      <c r="BB460" s="80"/>
      <c r="BC460" s="80"/>
      <c r="BD460" s="80"/>
      <c r="BE460" s="80"/>
      <c r="BF460" s="80"/>
      <c r="BG460" s="80"/>
      <c r="BH460" s="80"/>
      <c r="BI460" s="80"/>
      <c r="BJ460" s="80"/>
      <c r="BK460" s="80"/>
      <c r="BL460" s="80"/>
      <c r="BM460" s="80"/>
      <c r="BN460" s="80"/>
      <c r="BO460" s="80"/>
      <c r="BP460" s="80"/>
      <c r="BQ460" s="80"/>
      <c r="BR460" s="80"/>
      <c r="BS460" s="80"/>
      <c r="BT460" s="80"/>
      <c r="BU460" s="80"/>
    </row>
    <row r="461" spans="15:73"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  <c r="AY461" s="80"/>
      <c r="AZ461" s="80"/>
      <c r="BA461" s="80"/>
      <c r="BB461" s="80"/>
      <c r="BC461" s="80"/>
      <c r="BD461" s="80"/>
      <c r="BE461" s="80"/>
      <c r="BF461" s="80"/>
      <c r="BG461" s="80"/>
      <c r="BH461" s="80"/>
      <c r="BI461" s="80"/>
      <c r="BJ461" s="80"/>
      <c r="BK461" s="80"/>
      <c r="BL461" s="80"/>
      <c r="BM461" s="80"/>
      <c r="BN461" s="80"/>
      <c r="BO461" s="80"/>
      <c r="BP461" s="80"/>
      <c r="BQ461" s="80"/>
      <c r="BR461" s="80"/>
      <c r="BS461" s="80"/>
      <c r="BT461" s="80"/>
      <c r="BU461" s="80"/>
    </row>
    <row r="462" spans="15:73"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  <c r="AY462" s="80"/>
      <c r="AZ462" s="80"/>
      <c r="BA462" s="80"/>
      <c r="BB462" s="80"/>
      <c r="BC462" s="80"/>
      <c r="BD462" s="80"/>
      <c r="BE462" s="80"/>
      <c r="BF462" s="80"/>
      <c r="BG462" s="80"/>
      <c r="BH462" s="80"/>
      <c r="BI462" s="80"/>
      <c r="BJ462" s="80"/>
      <c r="BK462" s="80"/>
      <c r="BL462" s="80"/>
      <c r="BM462" s="80"/>
      <c r="BN462" s="80"/>
      <c r="BO462" s="80"/>
      <c r="BP462" s="80"/>
      <c r="BQ462" s="80"/>
      <c r="BR462" s="80"/>
      <c r="BS462" s="80"/>
      <c r="BT462" s="80"/>
      <c r="BU462" s="80"/>
    </row>
    <row r="463" spans="15:73"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  <c r="AY463" s="80"/>
      <c r="AZ463" s="80"/>
      <c r="BA463" s="80"/>
      <c r="BB463" s="80"/>
      <c r="BC463" s="80"/>
      <c r="BD463" s="80"/>
      <c r="BE463" s="80"/>
      <c r="BF463" s="80"/>
      <c r="BG463" s="80"/>
      <c r="BH463" s="80"/>
      <c r="BI463" s="80"/>
      <c r="BJ463" s="80"/>
      <c r="BK463" s="80"/>
      <c r="BL463" s="80"/>
      <c r="BM463" s="80"/>
      <c r="BN463" s="80"/>
      <c r="BO463" s="80"/>
      <c r="BP463" s="80"/>
      <c r="BQ463" s="80"/>
      <c r="BR463" s="80"/>
      <c r="BS463" s="80"/>
      <c r="BT463" s="80"/>
      <c r="BU463" s="80"/>
    </row>
    <row r="464" spans="15:73"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  <c r="BC464" s="80"/>
      <c r="BD464" s="80"/>
      <c r="BE464" s="80"/>
      <c r="BF464" s="80"/>
      <c r="BG464" s="80"/>
      <c r="BH464" s="80"/>
      <c r="BI464" s="80"/>
      <c r="BJ464" s="80"/>
      <c r="BK464" s="80"/>
      <c r="BL464" s="80"/>
      <c r="BM464" s="80"/>
      <c r="BN464" s="80"/>
      <c r="BO464" s="80"/>
      <c r="BP464" s="80"/>
      <c r="BQ464" s="80"/>
      <c r="BR464" s="80"/>
      <c r="BS464" s="80"/>
      <c r="BT464" s="80"/>
      <c r="BU464" s="80"/>
    </row>
    <row r="465" spans="15:73"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  <c r="AY465" s="80"/>
      <c r="AZ465" s="80"/>
      <c r="BA465" s="80"/>
      <c r="BB465" s="80"/>
      <c r="BC465" s="80"/>
      <c r="BD465" s="80"/>
      <c r="BE465" s="80"/>
      <c r="BF465" s="80"/>
      <c r="BG465" s="80"/>
      <c r="BH465" s="80"/>
      <c r="BI465" s="80"/>
      <c r="BJ465" s="80"/>
      <c r="BK465" s="80"/>
      <c r="BL465" s="80"/>
      <c r="BM465" s="80"/>
      <c r="BN465" s="80"/>
      <c r="BO465" s="80"/>
      <c r="BP465" s="80"/>
      <c r="BQ465" s="80"/>
      <c r="BR465" s="80"/>
      <c r="BS465" s="80"/>
      <c r="BT465" s="80"/>
      <c r="BU465" s="80"/>
    </row>
    <row r="466" spans="15:73"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  <c r="AY466" s="80"/>
      <c r="AZ466" s="80"/>
      <c r="BA466" s="80"/>
      <c r="BB466" s="80"/>
      <c r="BC466" s="80"/>
      <c r="BD466" s="80"/>
      <c r="BE466" s="80"/>
      <c r="BF466" s="80"/>
      <c r="BG466" s="80"/>
      <c r="BH466" s="80"/>
      <c r="BI466" s="80"/>
      <c r="BJ466" s="80"/>
      <c r="BK466" s="80"/>
      <c r="BL466" s="80"/>
      <c r="BM466" s="80"/>
      <c r="BN466" s="80"/>
      <c r="BO466" s="80"/>
      <c r="BP466" s="80"/>
      <c r="BQ466" s="80"/>
      <c r="BR466" s="80"/>
      <c r="BS466" s="80"/>
      <c r="BT466" s="80"/>
      <c r="BU466" s="80"/>
    </row>
    <row r="467" spans="15:73"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  <c r="BC467" s="80"/>
      <c r="BD467" s="80"/>
      <c r="BE467" s="80"/>
      <c r="BF467" s="80"/>
      <c r="BG467" s="80"/>
      <c r="BH467" s="80"/>
      <c r="BI467" s="80"/>
      <c r="BJ467" s="80"/>
      <c r="BK467" s="80"/>
      <c r="BL467" s="80"/>
      <c r="BM467" s="80"/>
      <c r="BN467" s="80"/>
      <c r="BO467" s="80"/>
      <c r="BP467" s="80"/>
      <c r="BQ467" s="80"/>
      <c r="BR467" s="80"/>
      <c r="BS467" s="80"/>
      <c r="BT467" s="80"/>
      <c r="BU467" s="80"/>
    </row>
    <row r="468" spans="15:73"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  <c r="BE468" s="80"/>
      <c r="BF468" s="80"/>
      <c r="BG468" s="80"/>
      <c r="BH468" s="80"/>
      <c r="BI468" s="80"/>
      <c r="BJ468" s="80"/>
      <c r="BK468" s="80"/>
      <c r="BL468" s="80"/>
      <c r="BM468" s="80"/>
      <c r="BN468" s="80"/>
      <c r="BO468" s="80"/>
      <c r="BP468" s="80"/>
      <c r="BQ468" s="80"/>
      <c r="BR468" s="80"/>
      <c r="BS468" s="80"/>
      <c r="BT468" s="80"/>
      <c r="BU468" s="80"/>
    </row>
    <row r="469" spans="15:73"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  <c r="BC469" s="80"/>
      <c r="BD469" s="80"/>
      <c r="BE469" s="80"/>
      <c r="BF469" s="80"/>
      <c r="BG469" s="80"/>
      <c r="BH469" s="80"/>
      <c r="BI469" s="80"/>
      <c r="BJ469" s="80"/>
      <c r="BK469" s="80"/>
      <c r="BL469" s="80"/>
      <c r="BM469" s="80"/>
      <c r="BN469" s="80"/>
      <c r="BO469" s="80"/>
      <c r="BP469" s="80"/>
      <c r="BQ469" s="80"/>
      <c r="BR469" s="80"/>
      <c r="BS469" s="80"/>
      <c r="BT469" s="80"/>
      <c r="BU469" s="80"/>
    </row>
    <row r="470" spans="15:73"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  <c r="BC470" s="80"/>
      <c r="BD470" s="80"/>
      <c r="BE470" s="80"/>
      <c r="BF470" s="80"/>
      <c r="BG470" s="80"/>
      <c r="BH470" s="80"/>
      <c r="BI470" s="80"/>
      <c r="BJ470" s="80"/>
      <c r="BK470" s="80"/>
      <c r="BL470" s="80"/>
      <c r="BM470" s="80"/>
      <c r="BN470" s="80"/>
      <c r="BO470" s="80"/>
      <c r="BP470" s="80"/>
      <c r="BQ470" s="80"/>
      <c r="BR470" s="80"/>
      <c r="BS470" s="80"/>
      <c r="BT470" s="80"/>
      <c r="BU470" s="80"/>
    </row>
    <row r="471" spans="15:73"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  <c r="AY471" s="80"/>
      <c r="AZ471" s="80"/>
      <c r="BA471" s="80"/>
      <c r="BB471" s="80"/>
      <c r="BC471" s="80"/>
      <c r="BD471" s="80"/>
      <c r="BE471" s="80"/>
      <c r="BF471" s="80"/>
      <c r="BG471" s="80"/>
      <c r="BH471" s="80"/>
      <c r="BI471" s="80"/>
      <c r="BJ471" s="80"/>
      <c r="BK471" s="80"/>
      <c r="BL471" s="80"/>
      <c r="BM471" s="80"/>
      <c r="BN471" s="80"/>
      <c r="BO471" s="80"/>
      <c r="BP471" s="80"/>
      <c r="BQ471" s="80"/>
      <c r="BR471" s="80"/>
      <c r="BS471" s="80"/>
      <c r="BT471" s="80"/>
      <c r="BU471" s="80"/>
    </row>
    <row r="472" spans="15:73"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  <c r="AV472" s="80"/>
      <c r="AW472" s="80"/>
      <c r="AX472" s="80"/>
      <c r="AY472" s="80"/>
      <c r="AZ472" s="80"/>
      <c r="BA472" s="80"/>
      <c r="BB472" s="80"/>
      <c r="BC472" s="80"/>
      <c r="BD472" s="80"/>
      <c r="BE472" s="80"/>
      <c r="BF472" s="80"/>
      <c r="BG472" s="80"/>
      <c r="BH472" s="80"/>
      <c r="BI472" s="80"/>
      <c r="BJ472" s="80"/>
      <c r="BK472" s="80"/>
      <c r="BL472" s="80"/>
      <c r="BM472" s="80"/>
      <c r="BN472" s="80"/>
      <c r="BO472" s="80"/>
      <c r="BP472" s="80"/>
      <c r="BQ472" s="80"/>
      <c r="BR472" s="80"/>
      <c r="BS472" s="80"/>
      <c r="BT472" s="80"/>
      <c r="BU472" s="80"/>
    </row>
    <row r="473" spans="15:73"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  <c r="BE473" s="80"/>
      <c r="BF473" s="80"/>
      <c r="BG473" s="80"/>
      <c r="BH473" s="80"/>
      <c r="BI473" s="80"/>
      <c r="BJ473" s="80"/>
      <c r="BK473" s="80"/>
      <c r="BL473" s="80"/>
      <c r="BM473" s="80"/>
      <c r="BN473" s="80"/>
      <c r="BO473" s="80"/>
      <c r="BP473" s="80"/>
      <c r="BQ473" s="80"/>
      <c r="BR473" s="80"/>
      <c r="BS473" s="80"/>
      <c r="BT473" s="80"/>
      <c r="BU473" s="80"/>
    </row>
    <row r="474" spans="15:73"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  <c r="BE474" s="80"/>
      <c r="BF474" s="80"/>
      <c r="BG474" s="80"/>
      <c r="BH474" s="80"/>
      <c r="BI474" s="80"/>
      <c r="BJ474" s="80"/>
      <c r="BK474" s="80"/>
      <c r="BL474" s="80"/>
      <c r="BM474" s="80"/>
      <c r="BN474" s="80"/>
      <c r="BO474" s="80"/>
      <c r="BP474" s="80"/>
      <c r="BQ474" s="80"/>
      <c r="BR474" s="80"/>
      <c r="BS474" s="80"/>
      <c r="BT474" s="80"/>
      <c r="BU474" s="80"/>
    </row>
    <row r="475" spans="15:73"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  <c r="AV475" s="80"/>
      <c r="AW475" s="80"/>
      <c r="AX475" s="80"/>
      <c r="AY475" s="80"/>
      <c r="AZ475" s="80"/>
      <c r="BA475" s="80"/>
      <c r="BB475" s="80"/>
      <c r="BC475" s="80"/>
      <c r="BD475" s="80"/>
      <c r="BE475" s="80"/>
      <c r="BF475" s="80"/>
      <c r="BG475" s="80"/>
      <c r="BH475" s="80"/>
      <c r="BI475" s="80"/>
      <c r="BJ475" s="80"/>
      <c r="BK475" s="80"/>
      <c r="BL475" s="80"/>
      <c r="BM475" s="80"/>
      <c r="BN475" s="80"/>
      <c r="BO475" s="80"/>
      <c r="BP475" s="80"/>
      <c r="BQ475" s="80"/>
      <c r="BR475" s="80"/>
      <c r="BS475" s="80"/>
      <c r="BT475" s="80"/>
      <c r="BU475" s="80"/>
    </row>
    <row r="476" spans="15:73"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  <c r="AV476" s="80"/>
      <c r="AW476" s="80"/>
      <c r="AX476" s="80"/>
      <c r="AY476" s="80"/>
      <c r="AZ476" s="80"/>
      <c r="BA476" s="80"/>
      <c r="BB476" s="80"/>
      <c r="BC476" s="80"/>
      <c r="BD476" s="80"/>
      <c r="BE476" s="80"/>
      <c r="BF476" s="80"/>
      <c r="BG476" s="80"/>
      <c r="BH476" s="80"/>
      <c r="BI476" s="80"/>
      <c r="BJ476" s="80"/>
      <c r="BK476" s="80"/>
      <c r="BL476" s="80"/>
      <c r="BM476" s="80"/>
      <c r="BN476" s="80"/>
      <c r="BO476" s="80"/>
      <c r="BP476" s="80"/>
      <c r="BQ476" s="80"/>
      <c r="BR476" s="80"/>
      <c r="BS476" s="80"/>
      <c r="BT476" s="80"/>
      <c r="BU476" s="80"/>
    </row>
    <row r="477" spans="15:73"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  <c r="AV477" s="80"/>
      <c r="AW477" s="80"/>
      <c r="AX477" s="80"/>
      <c r="AY477" s="80"/>
      <c r="AZ477" s="80"/>
      <c r="BA477" s="80"/>
      <c r="BB477" s="80"/>
      <c r="BC477" s="80"/>
      <c r="BD477" s="80"/>
      <c r="BE477" s="80"/>
      <c r="BF477" s="80"/>
      <c r="BG477" s="80"/>
      <c r="BH477" s="80"/>
      <c r="BI477" s="80"/>
      <c r="BJ477" s="80"/>
      <c r="BK477" s="80"/>
      <c r="BL477" s="80"/>
      <c r="BM477" s="80"/>
      <c r="BN477" s="80"/>
      <c r="BO477" s="80"/>
      <c r="BP477" s="80"/>
      <c r="BQ477" s="80"/>
      <c r="BR477" s="80"/>
      <c r="BS477" s="80"/>
      <c r="BT477" s="80"/>
      <c r="BU477" s="80"/>
    </row>
    <row r="478" spans="15:73"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  <c r="AV478" s="80"/>
      <c r="AW478" s="80"/>
      <c r="AX478" s="80"/>
      <c r="AY478" s="80"/>
      <c r="AZ478" s="80"/>
      <c r="BA478" s="80"/>
      <c r="BB478" s="80"/>
      <c r="BC478" s="80"/>
      <c r="BD478" s="80"/>
      <c r="BE478" s="80"/>
      <c r="BF478" s="80"/>
      <c r="BG478" s="80"/>
      <c r="BH478" s="80"/>
      <c r="BI478" s="80"/>
      <c r="BJ478" s="80"/>
      <c r="BK478" s="80"/>
      <c r="BL478" s="80"/>
      <c r="BM478" s="80"/>
      <c r="BN478" s="80"/>
      <c r="BO478" s="80"/>
      <c r="BP478" s="80"/>
      <c r="BQ478" s="80"/>
      <c r="BR478" s="80"/>
      <c r="BS478" s="80"/>
      <c r="BT478" s="80"/>
      <c r="BU478" s="80"/>
    </row>
    <row r="479" spans="15:73"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  <c r="AY479" s="80"/>
      <c r="AZ479" s="80"/>
      <c r="BA479" s="80"/>
      <c r="BB479" s="80"/>
      <c r="BC479" s="80"/>
      <c r="BD479" s="80"/>
      <c r="BE479" s="80"/>
      <c r="BF479" s="80"/>
      <c r="BG479" s="80"/>
      <c r="BH479" s="80"/>
      <c r="BI479" s="80"/>
      <c r="BJ479" s="80"/>
      <c r="BK479" s="80"/>
      <c r="BL479" s="80"/>
      <c r="BM479" s="80"/>
      <c r="BN479" s="80"/>
      <c r="BO479" s="80"/>
      <c r="BP479" s="80"/>
      <c r="BQ479" s="80"/>
      <c r="BR479" s="80"/>
      <c r="BS479" s="80"/>
      <c r="BT479" s="80"/>
      <c r="BU479" s="80"/>
    </row>
    <row r="480" spans="15:73"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80"/>
      <c r="AZ480" s="80"/>
      <c r="BA480" s="80"/>
      <c r="BB480" s="80"/>
      <c r="BC480" s="80"/>
      <c r="BD480" s="80"/>
      <c r="BE480" s="80"/>
      <c r="BF480" s="80"/>
      <c r="BG480" s="80"/>
      <c r="BH480" s="80"/>
      <c r="BI480" s="80"/>
      <c r="BJ480" s="80"/>
      <c r="BK480" s="80"/>
      <c r="BL480" s="80"/>
      <c r="BM480" s="80"/>
      <c r="BN480" s="80"/>
      <c r="BO480" s="80"/>
      <c r="BP480" s="80"/>
      <c r="BQ480" s="80"/>
      <c r="BR480" s="80"/>
      <c r="BS480" s="80"/>
      <c r="BT480" s="80"/>
      <c r="BU480" s="80"/>
    </row>
    <row r="481" spans="15:73"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  <c r="AV481" s="80"/>
      <c r="AW481" s="80"/>
      <c r="AX481" s="80"/>
      <c r="AY481" s="80"/>
      <c r="AZ481" s="80"/>
      <c r="BA481" s="80"/>
      <c r="BB481" s="80"/>
      <c r="BC481" s="80"/>
      <c r="BD481" s="80"/>
      <c r="BE481" s="80"/>
      <c r="BF481" s="80"/>
      <c r="BG481" s="80"/>
      <c r="BH481" s="80"/>
      <c r="BI481" s="80"/>
      <c r="BJ481" s="80"/>
      <c r="BK481" s="80"/>
      <c r="BL481" s="80"/>
      <c r="BM481" s="80"/>
      <c r="BN481" s="80"/>
      <c r="BO481" s="80"/>
      <c r="BP481" s="80"/>
      <c r="BQ481" s="80"/>
      <c r="BR481" s="80"/>
      <c r="BS481" s="80"/>
      <c r="BT481" s="80"/>
      <c r="BU481" s="80"/>
    </row>
    <row r="482" spans="15:73"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  <c r="AV482" s="80"/>
      <c r="AW482" s="80"/>
      <c r="AX482" s="80"/>
      <c r="AY482" s="80"/>
      <c r="AZ482" s="80"/>
      <c r="BA482" s="80"/>
      <c r="BB482" s="80"/>
      <c r="BC482" s="80"/>
      <c r="BD482" s="80"/>
      <c r="BE482" s="80"/>
      <c r="BF482" s="80"/>
      <c r="BG482" s="80"/>
      <c r="BH482" s="80"/>
      <c r="BI482" s="80"/>
      <c r="BJ482" s="80"/>
      <c r="BK482" s="80"/>
      <c r="BL482" s="80"/>
      <c r="BM482" s="80"/>
      <c r="BN482" s="80"/>
      <c r="BO482" s="80"/>
      <c r="BP482" s="80"/>
      <c r="BQ482" s="80"/>
      <c r="BR482" s="80"/>
      <c r="BS482" s="80"/>
      <c r="BT482" s="80"/>
      <c r="BU482" s="80"/>
    </row>
    <row r="483" spans="15:73"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  <c r="AY483" s="80"/>
      <c r="AZ483" s="80"/>
      <c r="BA483" s="80"/>
      <c r="BB483" s="80"/>
      <c r="BC483" s="80"/>
      <c r="BD483" s="80"/>
      <c r="BE483" s="80"/>
      <c r="BF483" s="80"/>
      <c r="BG483" s="80"/>
      <c r="BH483" s="80"/>
      <c r="BI483" s="80"/>
      <c r="BJ483" s="80"/>
      <c r="BK483" s="80"/>
      <c r="BL483" s="80"/>
      <c r="BM483" s="80"/>
      <c r="BN483" s="80"/>
      <c r="BO483" s="80"/>
      <c r="BP483" s="80"/>
      <c r="BQ483" s="80"/>
      <c r="BR483" s="80"/>
      <c r="BS483" s="80"/>
      <c r="BT483" s="80"/>
      <c r="BU483" s="80"/>
    </row>
    <row r="484" spans="15:73"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  <c r="AV484" s="80"/>
      <c r="AW484" s="80"/>
      <c r="AX484" s="80"/>
      <c r="AY484" s="80"/>
      <c r="AZ484" s="80"/>
      <c r="BA484" s="80"/>
      <c r="BB484" s="80"/>
      <c r="BC484" s="80"/>
      <c r="BD484" s="80"/>
      <c r="BE484" s="80"/>
      <c r="BF484" s="80"/>
      <c r="BG484" s="80"/>
      <c r="BH484" s="80"/>
      <c r="BI484" s="80"/>
      <c r="BJ484" s="80"/>
      <c r="BK484" s="80"/>
      <c r="BL484" s="80"/>
      <c r="BM484" s="80"/>
      <c r="BN484" s="80"/>
      <c r="BO484" s="80"/>
      <c r="BP484" s="80"/>
      <c r="BQ484" s="80"/>
      <c r="BR484" s="80"/>
      <c r="BS484" s="80"/>
      <c r="BT484" s="80"/>
      <c r="BU484" s="80"/>
    </row>
    <row r="485" spans="15:73"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80"/>
      <c r="AZ485" s="80"/>
      <c r="BA485" s="80"/>
      <c r="BB485" s="80"/>
      <c r="BC485" s="80"/>
      <c r="BD485" s="80"/>
      <c r="BE485" s="80"/>
      <c r="BF485" s="80"/>
      <c r="BG485" s="80"/>
      <c r="BH485" s="80"/>
      <c r="BI485" s="80"/>
      <c r="BJ485" s="80"/>
      <c r="BK485" s="80"/>
      <c r="BL485" s="80"/>
      <c r="BM485" s="80"/>
      <c r="BN485" s="80"/>
      <c r="BO485" s="80"/>
      <c r="BP485" s="80"/>
      <c r="BQ485" s="80"/>
      <c r="BR485" s="80"/>
      <c r="BS485" s="80"/>
      <c r="BT485" s="80"/>
      <c r="BU485" s="80"/>
    </row>
    <row r="486" spans="15:73"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  <c r="BC486" s="80"/>
      <c r="BD486" s="80"/>
      <c r="BE486" s="80"/>
      <c r="BF486" s="80"/>
      <c r="BG486" s="80"/>
      <c r="BH486" s="80"/>
      <c r="BI486" s="80"/>
      <c r="BJ486" s="80"/>
      <c r="BK486" s="80"/>
      <c r="BL486" s="80"/>
      <c r="BM486" s="80"/>
      <c r="BN486" s="80"/>
      <c r="BO486" s="80"/>
      <c r="BP486" s="80"/>
      <c r="BQ486" s="80"/>
      <c r="BR486" s="80"/>
      <c r="BS486" s="80"/>
      <c r="BT486" s="80"/>
      <c r="BU486" s="80"/>
    </row>
    <row r="487" spans="15:73"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  <c r="AY487" s="80"/>
      <c r="AZ487" s="80"/>
      <c r="BA487" s="80"/>
      <c r="BB487" s="80"/>
      <c r="BC487" s="80"/>
      <c r="BD487" s="80"/>
      <c r="BE487" s="80"/>
      <c r="BF487" s="80"/>
      <c r="BG487" s="80"/>
      <c r="BH487" s="80"/>
      <c r="BI487" s="80"/>
      <c r="BJ487" s="80"/>
      <c r="BK487" s="80"/>
      <c r="BL487" s="80"/>
      <c r="BM487" s="80"/>
      <c r="BN487" s="80"/>
      <c r="BO487" s="80"/>
      <c r="BP487" s="80"/>
      <c r="BQ487" s="80"/>
      <c r="BR487" s="80"/>
      <c r="BS487" s="80"/>
      <c r="BT487" s="80"/>
      <c r="BU487" s="80"/>
    </row>
    <row r="488" spans="15:73"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  <c r="AY488" s="80"/>
      <c r="AZ488" s="80"/>
      <c r="BA488" s="80"/>
      <c r="BB488" s="80"/>
      <c r="BC488" s="80"/>
      <c r="BD488" s="80"/>
      <c r="BE488" s="80"/>
      <c r="BF488" s="80"/>
      <c r="BG488" s="80"/>
      <c r="BH488" s="80"/>
      <c r="BI488" s="80"/>
      <c r="BJ488" s="80"/>
      <c r="BK488" s="80"/>
      <c r="BL488" s="80"/>
      <c r="BM488" s="80"/>
      <c r="BN488" s="80"/>
      <c r="BO488" s="80"/>
      <c r="BP488" s="80"/>
      <c r="BQ488" s="80"/>
      <c r="BR488" s="80"/>
      <c r="BS488" s="80"/>
      <c r="BT488" s="80"/>
      <c r="BU488" s="80"/>
    </row>
    <row r="489" spans="15:73"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  <c r="AY489" s="80"/>
      <c r="AZ489" s="80"/>
      <c r="BA489" s="80"/>
      <c r="BB489" s="80"/>
      <c r="BC489" s="80"/>
      <c r="BD489" s="80"/>
      <c r="BE489" s="80"/>
      <c r="BF489" s="80"/>
      <c r="BG489" s="80"/>
      <c r="BH489" s="80"/>
      <c r="BI489" s="80"/>
      <c r="BJ489" s="80"/>
      <c r="BK489" s="80"/>
      <c r="BL489" s="80"/>
      <c r="BM489" s="80"/>
      <c r="BN489" s="80"/>
      <c r="BO489" s="80"/>
      <c r="BP489" s="80"/>
      <c r="BQ489" s="80"/>
      <c r="BR489" s="80"/>
      <c r="BS489" s="80"/>
      <c r="BT489" s="80"/>
      <c r="BU489" s="80"/>
    </row>
    <row r="490" spans="15:73"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  <c r="AY490" s="80"/>
      <c r="AZ490" s="80"/>
      <c r="BA490" s="80"/>
      <c r="BB490" s="80"/>
      <c r="BC490" s="80"/>
      <c r="BD490" s="80"/>
      <c r="BE490" s="80"/>
      <c r="BF490" s="80"/>
      <c r="BG490" s="80"/>
      <c r="BH490" s="80"/>
      <c r="BI490" s="80"/>
      <c r="BJ490" s="80"/>
      <c r="BK490" s="80"/>
      <c r="BL490" s="80"/>
      <c r="BM490" s="80"/>
      <c r="BN490" s="80"/>
      <c r="BO490" s="80"/>
      <c r="BP490" s="80"/>
      <c r="BQ490" s="80"/>
      <c r="BR490" s="80"/>
      <c r="BS490" s="80"/>
      <c r="BT490" s="80"/>
      <c r="BU490" s="80"/>
    </row>
    <row r="491" spans="15:73"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  <c r="BC491" s="80"/>
      <c r="BD491" s="80"/>
      <c r="BE491" s="80"/>
      <c r="BF491" s="80"/>
      <c r="BG491" s="80"/>
      <c r="BH491" s="80"/>
      <c r="BI491" s="80"/>
      <c r="BJ491" s="80"/>
      <c r="BK491" s="80"/>
      <c r="BL491" s="80"/>
      <c r="BM491" s="80"/>
      <c r="BN491" s="80"/>
      <c r="BO491" s="80"/>
      <c r="BP491" s="80"/>
      <c r="BQ491" s="80"/>
      <c r="BR491" s="80"/>
      <c r="BS491" s="80"/>
      <c r="BT491" s="80"/>
      <c r="BU491" s="80"/>
    </row>
    <row r="492" spans="15:73"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  <c r="AY492" s="80"/>
      <c r="AZ492" s="80"/>
      <c r="BA492" s="80"/>
      <c r="BB492" s="80"/>
      <c r="BC492" s="80"/>
      <c r="BD492" s="80"/>
      <c r="BE492" s="80"/>
      <c r="BF492" s="80"/>
      <c r="BG492" s="80"/>
      <c r="BH492" s="80"/>
      <c r="BI492" s="80"/>
      <c r="BJ492" s="80"/>
      <c r="BK492" s="80"/>
      <c r="BL492" s="80"/>
      <c r="BM492" s="80"/>
      <c r="BN492" s="80"/>
      <c r="BO492" s="80"/>
      <c r="BP492" s="80"/>
      <c r="BQ492" s="80"/>
      <c r="BR492" s="80"/>
      <c r="BS492" s="80"/>
      <c r="BT492" s="80"/>
      <c r="BU492" s="80"/>
    </row>
    <row r="493" spans="15:73"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  <c r="AY493" s="80"/>
      <c r="AZ493" s="80"/>
      <c r="BA493" s="80"/>
      <c r="BB493" s="80"/>
      <c r="BC493" s="80"/>
      <c r="BD493" s="80"/>
      <c r="BE493" s="80"/>
      <c r="BF493" s="80"/>
      <c r="BG493" s="80"/>
      <c r="BH493" s="80"/>
      <c r="BI493" s="80"/>
      <c r="BJ493" s="80"/>
      <c r="BK493" s="80"/>
      <c r="BL493" s="80"/>
      <c r="BM493" s="80"/>
      <c r="BN493" s="80"/>
      <c r="BO493" s="80"/>
      <c r="BP493" s="80"/>
      <c r="BQ493" s="80"/>
      <c r="BR493" s="80"/>
      <c r="BS493" s="80"/>
      <c r="BT493" s="80"/>
      <c r="BU493" s="80"/>
    </row>
    <row r="494" spans="15:73"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  <c r="AY494" s="80"/>
      <c r="AZ494" s="80"/>
      <c r="BA494" s="80"/>
      <c r="BB494" s="80"/>
      <c r="BC494" s="80"/>
      <c r="BD494" s="80"/>
      <c r="BE494" s="80"/>
      <c r="BF494" s="80"/>
      <c r="BG494" s="80"/>
      <c r="BH494" s="80"/>
      <c r="BI494" s="80"/>
      <c r="BJ494" s="80"/>
      <c r="BK494" s="80"/>
      <c r="BL494" s="80"/>
      <c r="BM494" s="80"/>
      <c r="BN494" s="80"/>
      <c r="BO494" s="80"/>
      <c r="BP494" s="80"/>
      <c r="BQ494" s="80"/>
      <c r="BR494" s="80"/>
      <c r="BS494" s="80"/>
      <c r="BT494" s="80"/>
      <c r="BU494" s="80"/>
    </row>
    <row r="495" spans="15:73"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  <c r="AV495" s="80"/>
      <c r="AW495" s="80"/>
      <c r="AX495" s="80"/>
      <c r="AY495" s="80"/>
      <c r="AZ495" s="80"/>
      <c r="BA495" s="80"/>
      <c r="BB495" s="80"/>
      <c r="BC495" s="80"/>
      <c r="BD495" s="80"/>
      <c r="BE495" s="80"/>
      <c r="BF495" s="80"/>
      <c r="BG495" s="80"/>
      <c r="BH495" s="80"/>
      <c r="BI495" s="80"/>
      <c r="BJ495" s="80"/>
      <c r="BK495" s="80"/>
      <c r="BL495" s="80"/>
      <c r="BM495" s="80"/>
      <c r="BN495" s="80"/>
      <c r="BO495" s="80"/>
      <c r="BP495" s="80"/>
      <c r="BQ495" s="80"/>
      <c r="BR495" s="80"/>
      <c r="BS495" s="80"/>
      <c r="BT495" s="80"/>
      <c r="BU495" s="80"/>
    </row>
    <row r="496" spans="15:73"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  <c r="AV496" s="80"/>
      <c r="AW496" s="80"/>
      <c r="AX496" s="80"/>
      <c r="AY496" s="80"/>
      <c r="AZ496" s="80"/>
      <c r="BA496" s="80"/>
      <c r="BB496" s="80"/>
      <c r="BC496" s="80"/>
      <c r="BD496" s="80"/>
      <c r="BE496" s="80"/>
      <c r="BF496" s="80"/>
      <c r="BG496" s="80"/>
      <c r="BH496" s="80"/>
      <c r="BI496" s="80"/>
      <c r="BJ496" s="80"/>
      <c r="BK496" s="80"/>
      <c r="BL496" s="80"/>
      <c r="BM496" s="80"/>
      <c r="BN496" s="80"/>
      <c r="BO496" s="80"/>
      <c r="BP496" s="80"/>
      <c r="BQ496" s="80"/>
      <c r="BR496" s="80"/>
      <c r="BS496" s="80"/>
      <c r="BT496" s="80"/>
      <c r="BU496" s="80"/>
    </row>
    <row r="497" spans="15:73"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  <c r="AY497" s="80"/>
      <c r="AZ497" s="80"/>
      <c r="BA497" s="80"/>
      <c r="BB497" s="80"/>
      <c r="BC497" s="80"/>
      <c r="BD497" s="80"/>
      <c r="BE497" s="80"/>
      <c r="BF497" s="80"/>
      <c r="BG497" s="80"/>
      <c r="BH497" s="80"/>
      <c r="BI497" s="80"/>
      <c r="BJ497" s="80"/>
      <c r="BK497" s="80"/>
      <c r="BL497" s="80"/>
      <c r="BM497" s="80"/>
      <c r="BN497" s="80"/>
      <c r="BO497" s="80"/>
      <c r="BP497" s="80"/>
      <c r="BQ497" s="80"/>
      <c r="BR497" s="80"/>
      <c r="BS497" s="80"/>
      <c r="BT497" s="80"/>
      <c r="BU497" s="80"/>
    </row>
    <row r="498" spans="15:73"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  <c r="AV498" s="80"/>
      <c r="AW498" s="80"/>
      <c r="AX498" s="80"/>
      <c r="AY498" s="80"/>
      <c r="AZ498" s="80"/>
      <c r="BA498" s="80"/>
      <c r="BB498" s="80"/>
      <c r="BC498" s="80"/>
      <c r="BD498" s="80"/>
      <c r="BE498" s="80"/>
      <c r="BF498" s="80"/>
      <c r="BG498" s="80"/>
      <c r="BH498" s="80"/>
      <c r="BI498" s="80"/>
      <c r="BJ498" s="80"/>
      <c r="BK498" s="80"/>
      <c r="BL498" s="80"/>
      <c r="BM498" s="80"/>
      <c r="BN498" s="80"/>
      <c r="BO498" s="80"/>
      <c r="BP498" s="80"/>
      <c r="BQ498" s="80"/>
      <c r="BR498" s="80"/>
      <c r="BS498" s="80"/>
      <c r="BT498" s="80"/>
      <c r="BU498" s="80"/>
    </row>
    <row r="499" spans="15:73"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  <c r="AV499" s="80"/>
      <c r="AW499" s="80"/>
      <c r="AX499" s="80"/>
      <c r="AY499" s="80"/>
      <c r="AZ499" s="80"/>
      <c r="BA499" s="80"/>
      <c r="BB499" s="80"/>
      <c r="BC499" s="80"/>
      <c r="BD499" s="80"/>
      <c r="BE499" s="80"/>
      <c r="BF499" s="80"/>
      <c r="BG499" s="80"/>
      <c r="BH499" s="80"/>
      <c r="BI499" s="80"/>
      <c r="BJ499" s="80"/>
      <c r="BK499" s="80"/>
      <c r="BL499" s="80"/>
      <c r="BM499" s="80"/>
      <c r="BN499" s="80"/>
      <c r="BO499" s="80"/>
      <c r="BP499" s="80"/>
      <c r="BQ499" s="80"/>
      <c r="BR499" s="80"/>
      <c r="BS499" s="80"/>
      <c r="BT499" s="80"/>
      <c r="BU499" s="80"/>
    </row>
    <row r="500" spans="15:73"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  <c r="AV500" s="80"/>
      <c r="AW500" s="80"/>
      <c r="AX500" s="80"/>
      <c r="AY500" s="80"/>
      <c r="AZ500" s="80"/>
      <c r="BA500" s="80"/>
      <c r="BB500" s="80"/>
      <c r="BC500" s="80"/>
      <c r="BD500" s="80"/>
      <c r="BE500" s="80"/>
      <c r="BF500" s="80"/>
      <c r="BG500" s="80"/>
      <c r="BH500" s="80"/>
      <c r="BI500" s="80"/>
      <c r="BJ500" s="80"/>
      <c r="BK500" s="80"/>
      <c r="BL500" s="80"/>
      <c r="BM500" s="80"/>
      <c r="BN500" s="80"/>
      <c r="BO500" s="80"/>
      <c r="BP500" s="80"/>
      <c r="BQ500" s="80"/>
      <c r="BR500" s="80"/>
      <c r="BS500" s="80"/>
      <c r="BT500" s="80"/>
      <c r="BU500" s="80"/>
    </row>
    <row r="501" spans="15:73"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  <c r="AV501" s="80"/>
      <c r="AW501" s="80"/>
      <c r="AX501" s="80"/>
      <c r="AY501" s="80"/>
      <c r="AZ501" s="80"/>
      <c r="BA501" s="80"/>
      <c r="BB501" s="80"/>
      <c r="BC501" s="80"/>
      <c r="BD501" s="80"/>
      <c r="BE501" s="80"/>
      <c r="BF501" s="80"/>
      <c r="BG501" s="80"/>
      <c r="BH501" s="80"/>
      <c r="BI501" s="80"/>
      <c r="BJ501" s="80"/>
      <c r="BK501" s="80"/>
      <c r="BL501" s="80"/>
      <c r="BM501" s="80"/>
      <c r="BN501" s="80"/>
      <c r="BO501" s="80"/>
      <c r="BP501" s="80"/>
      <c r="BQ501" s="80"/>
      <c r="BR501" s="80"/>
      <c r="BS501" s="80"/>
      <c r="BT501" s="80"/>
      <c r="BU501" s="80"/>
    </row>
    <row r="502" spans="15:73"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  <c r="AV502" s="80"/>
      <c r="AW502" s="80"/>
      <c r="AX502" s="80"/>
      <c r="AY502" s="80"/>
      <c r="AZ502" s="80"/>
      <c r="BA502" s="80"/>
      <c r="BB502" s="80"/>
      <c r="BC502" s="80"/>
      <c r="BD502" s="80"/>
      <c r="BE502" s="80"/>
      <c r="BF502" s="80"/>
      <c r="BG502" s="80"/>
      <c r="BH502" s="80"/>
      <c r="BI502" s="80"/>
      <c r="BJ502" s="80"/>
      <c r="BK502" s="80"/>
      <c r="BL502" s="80"/>
      <c r="BM502" s="80"/>
      <c r="BN502" s="80"/>
      <c r="BO502" s="80"/>
      <c r="BP502" s="80"/>
      <c r="BQ502" s="80"/>
      <c r="BR502" s="80"/>
      <c r="BS502" s="80"/>
      <c r="BT502" s="80"/>
      <c r="BU502" s="80"/>
    </row>
    <row r="503" spans="15:73"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  <c r="AY503" s="80"/>
      <c r="AZ503" s="80"/>
      <c r="BA503" s="80"/>
      <c r="BB503" s="80"/>
      <c r="BC503" s="80"/>
      <c r="BD503" s="80"/>
      <c r="BE503" s="80"/>
      <c r="BF503" s="80"/>
      <c r="BG503" s="80"/>
      <c r="BH503" s="80"/>
      <c r="BI503" s="80"/>
      <c r="BJ503" s="80"/>
      <c r="BK503" s="80"/>
      <c r="BL503" s="80"/>
      <c r="BM503" s="80"/>
      <c r="BN503" s="80"/>
      <c r="BO503" s="80"/>
      <c r="BP503" s="80"/>
      <c r="BQ503" s="80"/>
      <c r="BR503" s="80"/>
      <c r="BS503" s="80"/>
      <c r="BT503" s="80"/>
      <c r="BU503" s="80"/>
    </row>
    <row r="504" spans="15:73"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  <c r="AY504" s="80"/>
      <c r="AZ504" s="80"/>
      <c r="BA504" s="80"/>
      <c r="BB504" s="80"/>
      <c r="BC504" s="80"/>
      <c r="BD504" s="80"/>
      <c r="BE504" s="80"/>
      <c r="BF504" s="80"/>
      <c r="BG504" s="80"/>
      <c r="BH504" s="80"/>
      <c r="BI504" s="80"/>
      <c r="BJ504" s="80"/>
      <c r="BK504" s="80"/>
      <c r="BL504" s="80"/>
      <c r="BM504" s="80"/>
      <c r="BN504" s="80"/>
      <c r="BO504" s="80"/>
      <c r="BP504" s="80"/>
      <c r="BQ504" s="80"/>
      <c r="BR504" s="80"/>
      <c r="BS504" s="80"/>
      <c r="BT504" s="80"/>
      <c r="BU504" s="80"/>
    </row>
    <row r="505" spans="15:73"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  <c r="AY505" s="80"/>
      <c r="AZ505" s="80"/>
      <c r="BA505" s="80"/>
      <c r="BB505" s="80"/>
      <c r="BC505" s="80"/>
      <c r="BD505" s="80"/>
      <c r="BE505" s="80"/>
      <c r="BF505" s="80"/>
      <c r="BG505" s="80"/>
      <c r="BH505" s="80"/>
      <c r="BI505" s="80"/>
      <c r="BJ505" s="80"/>
      <c r="BK505" s="80"/>
      <c r="BL505" s="80"/>
      <c r="BM505" s="80"/>
      <c r="BN505" s="80"/>
      <c r="BO505" s="80"/>
      <c r="BP505" s="80"/>
      <c r="BQ505" s="80"/>
      <c r="BR505" s="80"/>
      <c r="BS505" s="80"/>
      <c r="BT505" s="80"/>
      <c r="BU505" s="80"/>
    </row>
    <row r="506" spans="15:73"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  <c r="AY506" s="80"/>
      <c r="AZ506" s="80"/>
      <c r="BA506" s="80"/>
      <c r="BB506" s="80"/>
      <c r="BC506" s="80"/>
      <c r="BD506" s="80"/>
      <c r="BE506" s="80"/>
      <c r="BF506" s="80"/>
      <c r="BG506" s="80"/>
      <c r="BH506" s="80"/>
      <c r="BI506" s="80"/>
      <c r="BJ506" s="80"/>
      <c r="BK506" s="80"/>
      <c r="BL506" s="80"/>
      <c r="BM506" s="80"/>
      <c r="BN506" s="80"/>
      <c r="BO506" s="80"/>
      <c r="BP506" s="80"/>
      <c r="BQ506" s="80"/>
      <c r="BR506" s="80"/>
      <c r="BS506" s="80"/>
      <c r="BT506" s="80"/>
      <c r="BU506" s="80"/>
    </row>
    <row r="507" spans="15:73"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  <c r="AY507" s="80"/>
      <c r="AZ507" s="80"/>
      <c r="BA507" s="80"/>
      <c r="BB507" s="80"/>
      <c r="BC507" s="80"/>
      <c r="BD507" s="80"/>
      <c r="BE507" s="80"/>
      <c r="BF507" s="80"/>
      <c r="BG507" s="80"/>
      <c r="BH507" s="80"/>
      <c r="BI507" s="80"/>
      <c r="BJ507" s="80"/>
      <c r="BK507" s="80"/>
      <c r="BL507" s="80"/>
      <c r="BM507" s="80"/>
      <c r="BN507" s="80"/>
      <c r="BO507" s="80"/>
      <c r="BP507" s="80"/>
      <c r="BQ507" s="80"/>
      <c r="BR507" s="80"/>
      <c r="BS507" s="80"/>
      <c r="BT507" s="80"/>
      <c r="BU507" s="80"/>
    </row>
    <row r="508" spans="15:73"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80"/>
      <c r="AZ508" s="80"/>
      <c r="BA508" s="80"/>
      <c r="BB508" s="80"/>
      <c r="BC508" s="80"/>
      <c r="BD508" s="80"/>
      <c r="BE508" s="80"/>
      <c r="BF508" s="80"/>
      <c r="BG508" s="80"/>
      <c r="BH508" s="80"/>
      <c r="BI508" s="80"/>
      <c r="BJ508" s="80"/>
      <c r="BK508" s="80"/>
      <c r="BL508" s="80"/>
      <c r="BM508" s="80"/>
      <c r="BN508" s="80"/>
      <c r="BO508" s="80"/>
      <c r="BP508" s="80"/>
      <c r="BQ508" s="80"/>
      <c r="BR508" s="80"/>
      <c r="BS508" s="80"/>
      <c r="BT508" s="80"/>
      <c r="BU508" s="80"/>
    </row>
    <row r="509" spans="15:73"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  <c r="AY509" s="80"/>
      <c r="AZ509" s="80"/>
      <c r="BA509" s="80"/>
      <c r="BB509" s="80"/>
      <c r="BC509" s="80"/>
      <c r="BD509" s="80"/>
      <c r="BE509" s="80"/>
      <c r="BF509" s="80"/>
      <c r="BG509" s="80"/>
      <c r="BH509" s="80"/>
      <c r="BI509" s="80"/>
      <c r="BJ509" s="80"/>
      <c r="BK509" s="80"/>
      <c r="BL509" s="80"/>
      <c r="BM509" s="80"/>
      <c r="BN509" s="80"/>
      <c r="BO509" s="80"/>
      <c r="BP509" s="80"/>
      <c r="BQ509" s="80"/>
      <c r="BR509" s="80"/>
      <c r="BS509" s="80"/>
      <c r="BT509" s="80"/>
      <c r="BU509" s="80"/>
    </row>
    <row r="510" spans="15:73"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  <c r="AY510" s="80"/>
      <c r="AZ510" s="80"/>
      <c r="BA510" s="80"/>
      <c r="BB510" s="80"/>
      <c r="BC510" s="80"/>
      <c r="BD510" s="80"/>
      <c r="BE510" s="80"/>
      <c r="BF510" s="80"/>
      <c r="BG510" s="80"/>
      <c r="BH510" s="80"/>
      <c r="BI510" s="80"/>
      <c r="BJ510" s="80"/>
      <c r="BK510" s="80"/>
      <c r="BL510" s="80"/>
      <c r="BM510" s="80"/>
      <c r="BN510" s="80"/>
      <c r="BO510" s="80"/>
      <c r="BP510" s="80"/>
      <c r="BQ510" s="80"/>
      <c r="BR510" s="80"/>
      <c r="BS510" s="80"/>
      <c r="BT510" s="80"/>
      <c r="BU510" s="80"/>
    </row>
    <row r="511" spans="15:73"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  <c r="BC511" s="80"/>
      <c r="BD511" s="80"/>
      <c r="BE511" s="80"/>
      <c r="BF511" s="80"/>
      <c r="BG511" s="80"/>
      <c r="BH511" s="80"/>
      <c r="BI511" s="80"/>
      <c r="BJ511" s="80"/>
      <c r="BK511" s="80"/>
      <c r="BL511" s="80"/>
      <c r="BM511" s="80"/>
      <c r="BN511" s="80"/>
      <c r="BO511" s="80"/>
      <c r="BP511" s="80"/>
      <c r="BQ511" s="80"/>
      <c r="BR511" s="80"/>
      <c r="BS511" s="80"/>
      <c r="BT511" s="80"/>
      <c r="BU511" s="80"/>
    </row>
    <row r="512" spans="15:73"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  <c r="AY512" s="80"/>
      <c r="AZ512" s="80"/>
      <c r="BA512" s="80"/>
      <c r="BB512" s="80"/>
      <c r="BC512" s="80"/>
      <c r="BD512" s="80"/>
      <c r="BE512" s="80"/>
      <c r="BF512" s="80"/>
      <c r="BG512" s="80"/>
      <c r="BH512" s="80"/>
      <c r="BI512" s="80"/>
      <c r="BJ512" s="80"/>
      <c r="BK512" s="80"/>
      <c r="BL512" s="80"/>
      <c r="BM512" s="80"/>
      <c r="BN512" s="80"/>
      <c r="BO512" s="80"/>
      <c r="BP512" s="80"/>
      <c r="BQ512" s="80"/>
      <c r="BR512" s="80"/>
      <c r="BS512" s="80"/>
      <c r="BT512" s="80"/>
      <c r="BU512" s="80"/>
    </row>
    <row r="513" spans="15:73"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  <c r="BC513" s="80"/>
      <c r="BD513" s="80"/>
      <c r="BE513" s="80"/>
      <c r="BF513" s="80"/>
      <c r="BG513" s="80"/>
      <c r="BH513" s="80"/>
      <c r="BI513" s="80"/>
      <c r="BJ513" s="80"/>
      <c r="BK513" s="80"/>
      <c r="BL513" s="80"/>
      <c r="BM513" s="80"/>
      <c r="BN513" s="80"/>
      <c r="BO513" s="80"/>
      <c r="BP513" s="80"/>
      <c r="BQ513" s="80"/>
      <c r="BR513" s="80"/>
      <c r="BS513" s="80"/>
      <c r="BT513" s="80"/>
      <c r="BU513" s="80"/>
    </row>
    <row r="514" spans="15:73"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  <c r="BC514" s="80"/>
      <c r="BD514" s="80"/>
      <c r="BE514" s="80"/>
      <c r="BF514" s="80"/>
      <c r="BG514" s="80"/>
      <c r="BH514" s="80"/>
      <c r="BI514" s="80"/>
      <c r="BJ514" s="80"/>
      <c r="BK514" s="80"/>
      <c r="BL514" s="80"/>
      <c r="BM514" s="80"/>
      <c r="BN514" s="80"/>
      <c r="BO514" s="80"/>
      <c r="BP514" s="80"/>
      <c r="BQ514" s="80"/>
      <c r="BR514" s="80"/>
      <c r="BS514" s="80"/>
      <c r="BT514" s="80"/>
      <c r="BU514" s="80"/>
    </row>
    <row r="515" spans="15:73"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  <c r="BC515" s="80"/>
      <c r="BD515" s="80"/>
      <c r="BE515" s="80"/>
      <c r="BF515" s="80"/>
      <c r="BG515" s="80"/>
      <c r="BH515" s="80"/>
      <c r="BI515" s="80"/>
      <c r="BJ515" s="80"/>
      <c r="BK515" s="80"/>
      <c r="BL515" s="80"/>
      <c r="BM515" s="80"/>
      <c r="BN515" s="80"/>
      <c r="BO515" s="80"/>
      <c r="BP515" s="80"/>
      <c r="BQ515" s="80"/>
      <c r="BR515" s="80"/>
      <c r="BS515" s="80"/>
      <c r="BT515" s="80"/>
      <c r="BU515" s="80"/>
    </row>
    <row r="516" spans="15:73"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  <c r="BC516" s="80"/>
      <c r="BD516" s="80"/>
      <c r="BE516" s="80"/>
      <c r="BF516" s="80"/>
      <c r="BG516" s="80"/>
      <c r="BH516" s="80"/>
      <c r="BI516" s="80"/>
      <c r="BJ516" s="80"/>
      <c r="BK516" s="80"/>
      <c r="BL516" s="80"/>
      <c r="BM516" s="80"/>
      <c r="BN516" s="80"/>
      <c r="BO516" s="80"/>
      <c r="BP516" s="80"/>
      <c r="BQ516" s="80"/>
      <c r="BR516" s="80"/>
      <c r="BS516" s="80"/>
      <c r="BT516" s="80"/>
      <c r="BU516" s="80"/>
    </row>
    <row r="517" spans="15:73"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  <c r="AY517" s="80"/>
      <c r="AZ517" s="80"/>
      <c r="BA517" s="80"/>
      <c r="BB517" s="80"/>
      <c r="BC517" s="80"/>
      <c r="BD517" s="80"/>
      <c r="BE517" s="80"/>
      <c r="BF517" s="80"/>
      <c r="BG517" s="80"/>
      <c r="BH517" s="80"/>
      <c r="BI517" s="80"/>
      <c r="BJ517" s="80"/>
      <c r="BK517" s="80"/>
      <c r="BL517" s="80"/>
      <c r="BM517" s="80"/>
      <c r="BN517" s="80"/>
      <c r="BO517" s="80"/>
      <c r="BP517" s="80"/>
      <c r="BQ517" s="80"/>
      <c r="BR517" s="80"/>
      <c r="BS517" s="80"/>
      <c r="BT517" s="80"/>
      <c r="BU517" s="80"/>
    </row>
    <row r="518" spans="15:73"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  <c r="AY518" s="80"/>
      <c r="AZ518" s="80"/>
      <c r="BA518" s="80"/>
      <c r="BB518" s="80"/>
      <c r="BC518" s="80"/>
      <c r="BD518" s="80"/>
      <c r="BE518" s="80"/>
      <c r="BF518" s="80"/>
      <c r="BG518" s="80"/>
      <c r="BH518" s="80"/>
      <c r="BI518" s="80"/>
      <c r="BJ518" s="80"/>
      <c r="BK518" s="80"/>
      <c r="BL518" s="80"/>
      <c r="BM518" s="80"/>
      <c r="BN518" s="80"/>
      <c r="BO518" s="80"/>
      <c r="BP518" s="80"/>
      <c r="BQ518" s="80"/>
      <c r="BR518" s="80"/>
      <c r="BS518" s="80"/>
      <c r="BT518" s="80"/>
      <c r="BU518" s="80"/>
    </row>
    <row r="519" spans="15:73"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  <c r="AV519" s="80"/>
      <c r="AW519" s="80"/>
      <c r="AX519" s="80"/>
      <c r="AY519" s="80"/>
      <c r="AZ519" s="80"/>
      <c r="BA519" s="80"/>
      <c r="BB519" s="80"/>
      <c r="BC519" s="80"/>
      <c r="BD519" s="80"/>
      <c r="BE519" s="80"/>
      <c r="BF519" s="80"/>
      <c r="BG519" s="80"/>
      <c r="BH519" s="80"/>
      <c r="BI519" s="80"/>
      <c r="BJ519" s="80"/>
      <c r="BK519" s="80"/>
      <c r="BL519" s="80"/>
      <c r="BM519" s="80"/>
      <c r="BN519" s="80"/>
      <c r="BO519" s="80"/>
      <c r="BP519" s="80"/>
      <c r="BQ519" s="80"/>
      <c r="BR519" s="80"/>
      <c r="BS519" s="80"/>
      <c r="BT519" s="80"/>
      <c r="BU519" s="80"/>
    </row>
    <row r="520" spans="15:73"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  <c r="AY520" s="80"/>
      <c r="AZ520" s="80"/>
      <c r="BA520" s="80"/>
      <c r="BB520" s="80"/>
      <c r="BC520" s="80"/>
      <c r="BD520" s="80"/>
      <c r="BE520" s="80"/>
      <c r="BF520" s="80"/>
      <c r="BG520" s="80"/>
      <c r="BH520" s="80"/>
      <c r="BI520" s="80"/>
      <c r="BJ520" s="80"/>
      <c r="BK520" s="80"/>
      <c r="BL520" s="80"/>
      <c r="BM520" s="80"/>
      <c r="BN520" s="80"/>
      <c r="BO520" s="80"/>
      <c r="BP520" s="80"/>
      <c r="BQ520" s="80"/>
      <c r="BR520" s="80"/>
      <c r="BS520" s="80"/>
      <c r="BT520" s="80"/>
      <c r="BU520" s="80"/>
    </row>
    <row r="521" spans="15:73"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  <c r="AV521" s="80"/>
      <c r="AW521" s="80"/>
      <c r="AX521" s="80"/>
      <c r="AY521" s="80"/>
      <c r="AZ521" s="80"/>
      <c r="BA521" s="80"/>
      <c r="BB521" s="80"/>
      <c r="BC521" s="80"/>
      <c r="BD521" s="80"/>
      <c r="BE521" s="80"/>
      <c r="BF521" s="80"/>
      <c r="BG521" s="80"/>
      <c r="BH521" s="80"/>
      <c r="BI521" s="80"/>
      <c r="BJ521" s="80"/>
      <c r="BK521" s="80"/>
      <c r="BL521" s="80"/>
      <c r="BM521" s="80"/>
      <c r="BN521" s="80"/>
      <c r="BO521" s="80"/>
      <c r="BP521" s="80"/>
      <c r="BQ521" s="80"/>
      <c r="BR521" s="80"/>
      <c r="BS521" s="80"/>
      <c r="BT521" s="80"/>
      <c r="BU521" s="80"/>
    </row>
    <row r="522" spans="15:73"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  <c r="AV522" s="80"/>
      <c r="AW522" s="80"/>
      <c r="AX522" s="80"/>
      <c r="AY522" s="80"/>
      <c r="AZ522" s="80"/>
      <c r="BA522" s="80"/>
      <c r="BB522" s="80"/>
      <c r="BC522" s="80"/>
      <c r="BD522" s="80"/>
      <c r="BE522" s="80"/>
      <c r="BF522" s="80"/>
      <c r="BG522" s="80"/>
      <c r="BH522" s="80"/>
      <c r="BI522" s="80"/>
      <c r="BJ522" s="80"/>
      <c r="BK522" s="80"/>
      <c r="BL522" s="80"/>
      <c r="BM522" s="80"/>
      <c r="BN522" s="80"/>
      <c r="BO522" s="80"/>
      <c r="BP522" s="80"/>
      <c r="BQ522" s="80"/>
      <c r="BR522" s="80"/>
      <c r="BS522" s="80"/>
      <c r="BT522" s="80"/>
      <c r="BU522" s="80"/>
    </row>
    <row r="523" spans="15:73"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  <c r="AY523" s="80"/>
      <c r="AZ523" s="80"/>
      <c r="BA523" s="80"/>
      <c r="BB523" s="80"/>
      <c r="BC523" s="80"/>
      <c r="BD523" s="80"/>
      <c r="BE523" s="80"/>
      <c r="BF523" s="80"/>
      <c r="BG523" s="80"/>
      <c r="BH523" s="80"/>
      <c r="BI523" s="80"/>
      <c r="BJ523" s="80"/>
      <c r="BK523" s="80"/>
      <c r="BL523" s="80"/>
      <c r="BM523" s="80"/>
      <c r="BN523" s="80"/>
      <c r="BO523" s="80"/>
      <c r="BP523" s="80"/>
      <c r="BQ523" s="80"/>
      <c r="BR523" s="80"/>
      <c r="BS523" s="80"/>
      <c r="BT523" s="80"/>
      <c r="BU523" s="80"/>
    </row>
    <row r="524" spans="15:73"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  <c r="AV524" s="80"/>
      <c r="AW524" s="80"/>
      <c r="AX524" s="80"/>
      <c r="AY524" s="80"/>
      <c r="AZ524" s="80"/>
      <c r="BA524" s="80"/>
      <c r="BB524" s="80"/>
      <c r="BC524" s="80"/>
      <c r="BD524" s="80"/>
      <c r="BE524" s="80"/>
      <c r="BF524" s="80"/>
      <c r="BG524" s="80"/>
      <c r="BH524" s="80"/>
      <c r="BI524" s="80"/>
      <c r="BJ524" s="80"/>
      <c r="BK524" s="80"/>
      <c r="BL524" s="80"/>
      <c r="BM524" s="80"/>
      <c r="BN524" s="80"/>
      <c r="BO524" s="80"/>
      <c r="BP524" s="80"/>
      <c r="BQ524" s="80"/>
      <c r="BR524" s="80"/>
      <c r="BS524" s="80"/>
      <c r="BT524" s="80"/>
      <c r="BU524" s="80"/>
    </row>
    <row r="525" spans="15:73"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  <c r="AV525" s="80"/>
      <c r="AW525" s="80"/>
      <c r="AX525" s="80"/>
      <c r="AY525" s="80"/>
      <c r="AZ525" s="80"/>
      <c r="BA525" s="80"/>
      <c r="BB525" s="80"/>
      <c r="BC525" s="80"/>
      <c r="BD525" s="80"/>
      <c r="BE525" s="80"/>
      <c r="BF525" s="80"/>
      <c r="BG525" s="80"/>
      <c r="BH525" s="80"/>
      <c r="BI525" s="80"/>
      <c r="BJ525" s="80"/>
      <c r="BK525" s="80"/>
      <c r="BL525" s="80"/>
      <c r="BM525" s="80"/>
      <c r="BN525" s="80"/>
      <c r="BO525" s="80"/>
      <c r="BP525" s="80"/>
      <c r="BQ525" s="80"/>
      <c r="BR525" s="80"/>
      <c r="BS525" s="80"/>
      <c r="BT525" s="80"/>
      <c r="BU525" s="80"/>
    </row>
    <row r="526" spans="15:73"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  <c r="AY526" s="80"/>
      <c r="AZ526" s="80"/>
      <c r="BA526" s="80"/>
      <c r="BB526" s="80"/>
      <c r="BC526" s="80"/>
      <c r="BD526" s="80"/>
      <c r="BE526" s="80"/>
      <c r="BF526" s="80"/>
      <c r="BG526" s="80"/>
      <c r="BH526" s="80"/>
      <c r="BI526" s="80"/>
      <c r="BJ526" s="80"/>
      <c r="BK526" s="80"/>
      <c r="BL526" s="80"/>
      <c r="BM526" s="80"/>
      <c r="BN526" s="80"/>
      <c r="BO526" s="80"/>
      <c r="BP526" s="80"/>
      <c r="BQ526" s="80"/>
      <c r="BR526" s="80"/>
      <c r="BS526" s="80"/>
      <c r="BT526" s="80"/>
      <c r="BU526" s="80"/>
    </row>
    <row r="527" spans="15:73"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  <c r="AV527" s="80"/>
      <c r="AW527" s="80"/>
      <c r="AX527" s="80"/>
      <c r="AY527" s="80"/>
      <c r="AZ527" s="80"/>
      <c r="BA527" s="80"/>
      <c r="BB527" s="80"/>
      <c r="BC527" s="80"/>
      <c r="BD527" s="80"/>
      <c r="BE527" s="80"/>
      <c r="BF527" s="80"/>
      <c r="BG527" s="80"/>
      <c r="BH527" s="80"/>
      <c r="BI527" s="80"/>
      <c r="BJ527" s="80"/>
      <c r="BK527" s="80"/>
      <c r="BL527" s="80"/>
      <c r="BM527" s="80"/>
      <c r="BN527" s="80"/>
      <c r="BO527" s="80"/>
      <c r="BP527" s="80"/>
      <c r="BQ527" s="80"/>
      <c r="BR527" s="80"/>
      <c r="BS527" s="80"/>
      <c r="BT527" s="80"/>
      <c r="BU527" s="80"/>
    </row>
    <row r="528" spans="15:73"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  <c r="AY528" s="80"/>
      <c r="AZ528" s="80"/>
      <c r="BA528" s="80"/>
      <c r="BB528" s="80"/>
      <c r="BC528" s="80"/>
      <c r="BD528" s="80"/>
      <c r="BE528" s="80"/>
      <c r="BF528" s="80"/>
      <c r="BG528" s="80"/>
      <c r="BH528" s="80"/>
      <c r="BI528" s="80"/>
      <c r="BJ528" s="80"/>
      <c r="BK528" s="80"/>
      <c r="BL528" s="80"/>
      <c r="BM528" s="80"/>
      <c r="BN528" s="80"/>
      <c r="BO528" s="80"/>
      <c r="BP528" s="80"/>
      <c r="BQ528" s="80"/>
      <c r="BR528" s="80"/>
      <c r="BS528" s="80"/>
      <c r="BT528" s="80"/>
      <c r="BU528" s="80"/>
    </row>
    <row r="529" spans="15:73"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  <c r="AY529" s="80"/>
      <c r="AZ529" s="80"/>
      <c r="BA529" s="80"/>
      <c r="BB529" s="80"/>
      <c r="BC529" s="80"/>
      <c r="BD529" s="80"/>
      <c r="BE529" s="80"/>
      <c r="BF529" s="80"/>
      <c r="BG529" s="80"/>
      <c r="BH529" s="80"/>
      <c r="BI529" s="80"/>
      <c r="BJ529" s="80"/>
      <c r="BK529" s="80"/>
      <c r="BL529" s="80"/>
      <c r="BM529" s="80"/>
      <c r="BN529" s="80"/>
      <c r="BO529" s="80"/>
      <c r="BP529" s="80"/>
      <c r="BQ529" s="80"/>
      <c r="BR529" s="80"/>
      <c r="BS529" s="80"/>
      <c r="BT529" s="80"/>
      <c r="BU529" s="80"/>
    </row>
    <row r="530" spans="15:73"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  <c r="AV530" s="80"/>
      <c r="AW530" s="80"/>
      <c r="AX530" s="80"/>
      <c r="AY530" s="80"/>
      <c r="AZ530" s="80"/>
      <c r="BA530" s="80"/>
      <c r="BB530" s="80"/>
      <c r="BC530" s="80"/>
      <c r="BD530" s="80"/>
      <c r="BE530" s="80"/>
      <c r="BF530" s="80"/>
      <c r="BG530" s="80"/>
      <c r="BH530" s="80"/>
      <c r="BI530" s="80"/>
      <c r="BJ530" s="80"/>
      <c r="BK530" s="80"/>
      <c r="BL530" s="80"/>
      <c r="BM530" s="80"/>
      <c r="BN530" s="80"/>
      <c r="BO530" s="80"/>
      <c r="BP530" s="80"/>
      <c r="BQ530" s="80"/>
      <c r="BR530" s="80"/>
      <c r="BS530" s="80"/>
      <c r="BT530" s="80"/>
      <c r="BU530" s="80"/>
    </row>
    <row r="531" spans="15:73"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  <c r="BE531" s="80"/>
      <c r="BF531" s="80"/>
      <c r="BG531" s="80"/>
      <c r="BH531" s="80"/>
      <c r="BI531" s="80"/>
      <c r="BJ531" s="80"/>
      <c r="BK531" s="80"/>
      <c r="BL531" s="80"/>
      <c r="BM531" s="80"/>
      <c r="BN531" s="80"/>
      <c r="BO531" s="80"/>
      <c r="BP531" s="80"/>
      <c r="BQ531" s="80"/>
      <c r="BR531" s="80"/>
      <c r="BS531" s="80"/>
      <c r="BT531" s="80"/>
      <c r="BU531" s="80"/>
    </row>
    <row r="532" spans="15:73"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  <c r="BE532" s="80"/>
      <c r="BF532" s="80"/>
      <c r="BG532" s="80"/>
      <c r="BH532" s="80"/>
      <c r="BI532" s="80"/>
      <c r="BJ532" s="80"/>
      <c r="BK532" s="80"/>
      <c r="BL532" s="80"/>
      <c r="BM532" s="80"/>
      <c r="BN532" s="80"/>
      <c r="BO532" s="80"/>
      <c r="BP532" s="80"/>
      <c r="BQ532" s="80"/>
      <c r="BR532" s="80"/>
      <c r="BS532" s="80"/>
      <c r="BT532" s="80"/>
      <c r="BU532" s="80"/>
    </row>
    <row r="533" spans="15:73"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  <c r="BE533" s="80"/>
      <c r="BF533" s="80"/>
      <c r="BG533" s="80"/>
      <c r="BH533" s="80"/>
      <c r="BI533" s="80"/>
      <c r="BJ533" s="80"/>
      <c r="BK533" s="80"/>
      <c r="BL533" s="80"/>
      <c r="BM533" s="80"/>
      <c r="BN533" s="80"/>
      <c r="BO533" s="80"/>
      <c r="BP533" s="80"/>
      <c r="BQ533" s="80"/>
      <c r="BR533" s="80"/>
      <c r="BS533" s="80"/>
      <c r="BT533" s="80"/>
      <c r="BU533" s="80"/>
    </row>
    <row r="534" spans="15:73"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  <c r="BC534" s="80"/>
      <c r="BD534" s="80"/>
      <c r="BE534" s="80"/>
      <c r="BF534" s="80"/>
      <c r="BG534" s="80"/>
      <c r="BH534" s="80"/>
      <c r="BI534" s="80"/>
      <c r="BJ534" s="80"/>
      <c r="BK534" s="80"/>
      <c r="BL534" s="80"/>
      <c r="BM534" s="80"/>
      <c r="BN534" s="80"/>
      <c r="BO534" s="80"/>
      <c r="BP534" s="80"/>
      <c r="BQ534" s="80"/>
      <c r="BR534" s="80"/>
      <c r="BS534" s="80"/>
      <c r="BT534" s="80"/>
      <c r="BU534" s="80"/>
    </row>
    <row r="535" spans="15:73"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  <c r="AY535" s="80"/>
      <c r="AZ535" s="80"/>
      <c r="BA535" s="80"/>
      <c r="BB535" s="80"/>
      <c r="BC535" s="80"/>
      <c r="BD535" s="80"/>
      <c r="BE535" s="80"/>
      <c r="BF535" s="80"/>
      <c r="BG535" s="80"/>
      <c r="BH535" s="80"/>
      <c r="BI535" s="80"/>
      <c r="BJ535" s="80"/>
      <c r="BK535" s="80"/>
      <c r="BL535" s="80"/>
      <c r="BM535" s="80"/>
      <c r="BN535" s="80"/>
      <c r="BO535" s="80"/>
      <c r="BP535" s="80"/>
      <c r="BQ535" s="80"/>
      <c r="BR535" s="80"/>
      <c r="BS535" s="80"/>
      <c r="BT535" s="80"/>
      <c r="BU535" s="80"/>
    </row>
    <row r="536" spans="15:73"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  <c r="AV536" s="80"/>
      <c r="AW536" s="80"/>
      <c r="AX536" s="80"/>
      <c r="AY536" s="80"/>
      <c r="AZ536" s="80"/>
      <c r="BA536" s="80"/>
      <c r="BB536" s="80"/>
      <c r="BC536" s="80"/>
      <c r="BD536" s="80"/>
      <c r="BE536" s="80"/>
      <c r="BF536" s="80"/>
      <c r="BG536" s="80"/>
      <c r="BH536" s="80"/>
      <c r="BI536" s="80"/>
      <c r="BJ536" s="80"/>
      <c r="BK536" s="80"/>
      <c r="BL536" s="80"/>
      <c r="BM536" s="80"/>
      <c r="BN536" s="80"/>
      <c r="BO536" s="80"/>
      <c r="BP536" s="80"/>
      <c r="BQ536" s="80"/>
      <c r="BR536" s="80"/>
      <c r="BS536" s="80"/>
      <c r="BT536" s="80"/>
      <c r="BU536" s="80"/>
    </row>
    <row r="537" spans="15:73"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  <c r="BC537" s="80"/>
      <c r="BD537" s="80"/>
      <c r="BE537" s="80"/>
      <c r="BF537" s="80"/>
      <c r="BG537" s="80"/>
      <c r="BH537" s="80"/>
      <c r="BI537" s="80"/>
      <c r="BJ537" s="80"/>
      <c r="BK537" s="80"/>
      <c r="BL537" s="80"/>
      <c r="BM537" s="80"/>
      <c r="BN537" s="80"/>
      <c r="BO537" s="80"/>
      <c r="BP537" s="80"/>
      <c r="BQ537" s="80"/>
      <c r="BR537" s="80"/>
      <c r="BS537" s="80"/>
      <c r="BT537" s="80"/>
      <c r="BU537" s="80"/>
    </row>
    <row r="538" spans="15:73"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  <c r="BC538" s="80"/>
      <c r="BD538" s="80"/>
      <c r="BE538" s="80"/>
      <c r="BF538" s="80"/>
      <c r="BG538" s="80"/>
      <c r="BH538" s="80"/>
      <c r="BI538" s="80"/>
      <c r="BJ538" s="80"/>
      <c r="BK538" s="80"/>
      <c r="BL538" s="80"/>
      <c r="BM538" s="80"/>
      <c r="BN538" s="80"/>
      <c r="BO538" s="80"/>
      <c r="BP538" s="80"/>
      <c r="BQ538" s="80"/>
      <c r="BR538" s="80"/>
      <c r="BS538" s="80"/>
      <c r="BT538" s="80"/>
      <c r="BU538" s="80"/>
    </row>
    <row r="539" spans="15:73"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  <c r="AV539" s="80"/>
      <c r="AW539" s="80"/>
      <c r="AX539" s="80"/>
      <c r="AY539" s="80"/>
      <c r="AZ539" s="80"/>
      <c r="BA539" s="80"/>
      <c r="BB539" s="80"/>
      <c r="BC539" s="80"/>
      <c r="BD539" s="80"/>
      <c r="BE539" s="80"/>
      <c r="BF539" s="80"/>
      <c r="BG539" s="80"/>
      <c r="BH539" s="80"/>
      <c r="BI539" s="80"/>
      <c r="BJ539" s="80"/>
      <c r="BK539" s="80"/>
      <c r="BL539" s="80"/>
      <c r="BM539" s="80"/>
      <c r="BN539" s="80"/>
      <c r="BO539" s="80"/>
      <c r="BP539" s="80"/>
      <c r="BQ539" s="80"/>
      <c r="BR539" s="80"/>
      <c r="BS539" s="80"/>
      <c r="BT539" s="80"/>
      <c r="BU539" s="80"/>
    </row>
    <row r="540" spans="15:73"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  <c r="AV540" s="80"/>
      <c r="AW540" s="80"/>
      <c r="AX540" s="80"/>
      <c r="AY540" s="80"/>
      <c r="AZ540" s="80"/>
      <c r="BA540" s="80"/>
      <c r="BB540" s="80"/>
      <c r="BC540" s="80"/>
      <c r="BD540" s="80"/>
      <c r="BE540" s="80"/>
      <c r="BF540" s="80"/>
      <c r="BG540" s="80"/>
      <c r="BH540" s="80"/>
      <c r="BI540" s="80"/>
      <c r="BJ540" s="80"/>
      <c r="BK540" s="80"/>
      <c r="BL540" s="80"/>
      <c r="BM540" s="80"/>
      <c r="BN540" s="80"/>
      <c r="BO540" s="80"/>
      <c r="BP540" s="80"/>
      <c r="BQ540" s="80"/>
      <c r="BR540" s="80"/>
      <c r="BS540" s="80"/>
      <c r="BT540" s="80"/>
      <c r="BU540" s="80"/>
    </row>
    <row r="541" spans="15:73"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  <c r="AV541" s="80"/>
      <c r="AW541" s="80"/>
      <c r="AX541" s="80"/>
      <c r="AY541" s="80"/>
      <c r="AZ541" s="80"/>
      <c r="BA541" s="80"/>
      <c r="BB541" s="80"/>
      <c r="BC541" s="80"/>
      <c r="BD541" s="80"/>
      <c r="BE541" s="80"/>
      <c r="BF541" s="80"/>
      <c r="BG541" s="80"/>
      <c r="BH541" s="80"/>
      <c r="BI541" s="80"/>
      <c r="BJ541" s="80"/>
      <c r="BK541" s="80"/>
      <c r="BL541" s="80"/>
      <c r="BM541" s="80"/>
      <c r="BN541" s="80"/>
      <c r="BO541" s="80"/>
      <c r="BP541" s="80"/>
      <c r="BQ541" s="80"/>
      <c r="BR541" s="80"/>
      <c r="BS541" s="80"/>
      <c r="BT541" s="80"/>
      <c r="BU541" s="80"/>
    </row>
    <row r="542" spans="15:73"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  <c r="AV542" s="80"/>
      <c r="AW542" s="80"/>
      <c r="AX542" s="80"/>
      <c r="AY542" s="80"/>
      <c r="AZ542" s="80"/>
      <c r="BA542" s="80"/>
      <c r="BB542" s="80"/>
      <c r="BC542" s="80"/>
      <c r="BD542" s="80"/>
      <c r="BE542" s="80"/>
      <c r="BF542" s="80"/>
      <c r="BG542" s="80"/>
      <c r="BH542" s="80"/>
      <c r="BI542" s="80"/>
      <c r="BJ542" s="80"/>
      <c r="BK542" s="80"/>
      <c r="BL542" s="80"/>
      <c r="BM542" s="80"/>
      <c r="BN542" s="80"/>
      <c r="BO542" s="80"/>
      <c r="BP542" s="80"/>
      <c r="BQ542" s="80"/>
      <c r="BR542" s="80"/>
      <c r="BS542" s="80"/>
      <c r="BT542" s="80"/>
      <c r="BU542" s="80"/>
    </row>
    <row r="543" spans="15:73"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  <c r="AV543" s="80"/>
      <c r="AW543" s="80"/>
      <c r="AX543" s="80"/>
      <c r="AY543" s="80"/>
      <c r="AZ543" s="80"/>
      <c r="BA543" s="80"/>
      <c r="BB543" s="80"/>
      <c r="BC543" s="80"/>
      <c r="BD543" s="80"/>
      <c r="BE543" s="80"/>
      <c r="BF543" s="80"/>
      <c r="BG543" s="80"/>
      <c r="BH543" s="80"/>
      <c r="BI543" s="80"/>
      <c r="BJ543" s="80"/>
      <c r="BK543" s="80"/>
      <c r="BL543" s="80"/>
      <c r="BM543" s="80"/>
      <c r="BN543" s="80"/>
      <c r="BO543" s="80"/>
      <c r="BP543" s="80"/>
      <c r="BQ543" s="80"/>
      <c r="BR543" s="80"/>
      <c r="BS543" s="80"/>
      <c r="BT543" s="80"/>
      <c r="BU543" s="80"/>
    </row>
    <row r="544" spans="15:73"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  <c r="AV544" s="80"/>
      <c r="AW544" s="80"/>
      <c r="AX544" s="80"/>
      <c r="AY544" s="80"/>
      <c r="AZ544" s="80"/>
      <c r="BA544" s="80"/>
      <c r="BB544" s="80"/>
      <c r="BC544" s="80"/>
      <c r="BD544" s="80"/>
      <c r="BE544" s="80"/>
      <c r="BF544" s="80"/>
      <c r="BG544" s="80"/>
      <c r="BH544" s="80"/>
      <c r="BI544" s="80"/>
      <c r="BJ544" s="80"/>
      <c r="BK544" s="80"/>
      <c r="BL544" s="80"/>
      <c r="BM544" s="80"/>
      <c r="BN544" s="80"/>
      <c r="BO544" s="80"/>
      <c r="BP544" s="80"/>
      <c r="BQ544" s="80"/>
      <c r="BR544" s="80"/>
      <c r="BS544" s="80"/>
      <c r="BT544" s="80"/>
      <c r="BU544" s="80"/>
    </row>
    <row r="545" spans="15:73"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  <c r="AV545" s="80"/>
      <c r="AW545" s="80"/>
      <c r="AX545" s="80"/>
      <c r="AY545" s="80"/>
      <c r="AZ545" s="80"/>
      <c r="BA545" s="80"/>
      <c r="BB545" s="80"/>
      <c r="BC545" s="80"/>
      <c r="BD545" s="80"/>
      <c r="BE545" s="80"/>
      <c r="BF545" s="80"/>
      <c r="BG545" s="80"/>
      <c r="BH545" s="80"/>
      <c r="BI545" s="80"/>
      <c r="BJ545" s="80"/>
      <c r="BK545" s="80"/>
      <c r="BL545" s="80"/>
      <c r="BM545" s="80"/>
      <c r="BN545" s="80"/>
      <c r="BO545" s="80"/>
      <c r="BP545" s="80"/>
      <c r="BQ545" s="80"/>
      <c r="BR545" s="80"/>
      <c r="BS545" s="80"/>
      <c r="BT545" s="80"/>
      <c r="BU545" s="80"/>
    </row>
    <row r="546" spans="15:73"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  <c r="AV546" s="80"/>
      <c r="AW546" s="80"/>
      <c r="AX546" s="80"/>
      <c r="AY546" s="80"/>
      <c r="AZ546" s="80"/>
      <c r="BA546" s="80"/>
      <c r="BB546" s="80"/>
      <c r="BC546" s="80"/>
      <c r="BD546" s="80"/>
      <c r="BE546" s="80"/>
      <c r="BF546" s="80"/>
      <c r="BG546" s="80"/>
      <c r="BH546" s="80"/>
      <c r="BI546" s="80"/>
      <c r="BJ546" s="80"/>
      <c r="BK546" s="80"/>
      <c r="BL546" s="80"/>
      <c r="BM546" s="80"/>
      <c r="BN546" s="80"/>
      <c r="BO546" s="80"/>
      <c r="BP546" s="80"/>
      <c r="BQ546" s="80"/>
      <c r="BR546" s="80"/>
      <c r="BS546" s="80"/>
      <c r="BT546" s="80"/>
      <c r="BU546" s="80"/>
    </row>
    <row r="547" spans="15:73"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  <c r="AV547" s="80"/>
      <c r="AW547" s="80"/>
      <c r="AX547" s="80"/>
      <c r="AY547" s="80"/>
      <c r="AZ547" s="80"/>
      <c r="BA547" s="80"/>
      <c r="BB547" s="80"/>
      <c r="BC547" s="80"/>
      <c r="BD547" s="80"/>
      <c r="BE547" s="80"/>
      <c r="BF547" s="80"/>
      <c r="BG547" s="80"/>
      <c r="BH547" s="80"/>
      <c r="BI547" s="80"/>
      <c r="BJ547" s="80"/>
      <c r="BK547" s="80"/>
      <c r="BL547" s="80"/>
      <c r="BM547" s="80"/>
      <c r="BN547" s="80"/>
      <c r="BO547" s="80"/>
      <c r="BP547" s="80"/>
      <c r="BQ547" s="80"/>
      <c r="BR547" s="80"/>
      <c r="BS547" s="80"/>
      <c r="BT547" s="80"/>
      <c r="BU547" s="80"/>
    </row>
    <row r="548" spans="15:73"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  <c r="AV548" s="80"/>
      <c r="AW548" s="80"/>
      <c r="AX548" s="80"/>
      <c r="AY548" s="80"/>
      <c r="AZ548" s="80"/>
      <c r="BA548" s="80"/>
      <c r="BB548" s="80"/>
      <c r="BC548" s="80"/>
      <c r="BD548" s="80"/>
      <c r="BE548" s="80"/>
      <c r="BF548" s="80"/>
      <c r="BG548" s="80"/>
      <c r="BH548" s="80"/>
      <c r="BI548" s="80"/>
      <c r="BJ548" s="80"/>
      <c r="BK548" s="80"/>
      <c r="BL548" s="80"/>
      <c r="BM548" s="80"/>
      <c r="BN548" s="80"/>
      <c r="BO548" s="80"/>
      <c r="BP548" s="80"/>
      <c r="BQ548" s="80"/>
      <c r="BR548" s="80"/>
      <c r="BS548" s="80"/>
      <c r="BT548" s="80"/>
      <c r="BU548" s="80"/>
    </row>
    <row r="549" spans="15:73"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  <c r="AV549" s="80"/>
      <c r="AW549" s="80"/>
      <c r="AX549" s="80"/>
      <c r="AY549" s="80"/>
      <c r="AZ549" s="80"/>
      <c r="BA549" s="80"/>
      <c r="BB549" s="80"/>
      <c r="BC549" s="80"/>
      <c r="BD549" s="80"/>
      <c r="BE549" s="80"/>
      <c r="BF549" s="80"/>
      <c r="BG549" s="80"/>
      <c r="BH549" s="80"/>
      <c r="BI549" s="80"/>
      <c r="BJ549" s="80"/>
      <c r="BK549" s="80"/>
      <c r="BL549" s="80"/>
      <c r="BM549" s="80"/>
      <c r="BN549" s="80"/>
      <c r="BO549" s="80"/>
      <c r="BP549" s="80"/>
      <c r="BQ549" s="80"/>
      <c r="BR549" s="80"/>
      <c r="BS549" s="80"/>
      <c r="BT549" s="80"/>
      <c r="BU549" s="80"/>
    </row>
    <row r="550" spans="15:73"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  <c r="AV550" s="80"/>
      <c r="AW550" s="80"/>
      <c r="AX550" s="80"/>
      <c r="AY550" s="80"/>
      <c r="AZ550" s="80"/>
      <c r="BA550" s="80"/>
      <c r="BB550" s="80"/>
      <c r="BC550" s="80"/>
      <c r="BD550" s="80"/>
      <c r="BE550" s="80"/>
      <c r="BF550" s="80"/>
      <c r="BG550" s="80"/>
      <c r="BH550" s="80"/>
      <c r="BI550" s="80"/>
      <c r="BJ550" s="80"/>
      <c r="BK550" s="80"/>
      <c r="BL550" s="80"/>
      <c r="BM550" s="80"/>
      <c r="BN550" s="80"/>
      <c r="BO550" s="80"/>
      <c r="BP550" s="80"/>
      <c r="BQ550" s="80"/>
      <c r="BR550" s="80"/>
      <c r="BS550" s="80"/>
      <c r="BT550" s="80"/>
      <c r="BU550" s="80"/>
    </row>
    <row r="551" spans="15:73"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  <c r="AV551" s="80"/>
      <c r="AW551" s="80"/>
      <c r="AX551" s="80"/>
      <c r="AY551" s="80"/>
      <c r="AZ551" s="80"/>
      <c r="BA551" s="80"/>
      <c r="BB551" s="80"/>
      <c r="BC551" s="80"/>
      <c r="BD551" s="80"/>
      <c r="BE551" s="80"/>
      <c r="BF551" s="80"/>
      <c r="BG551" s="80"/>
      <c r="BH551" s="80"/>
      <c r="BI551" s="80"/>
      <c r="BJ551" s="80"/>
      <c r="BK551" s="80"/>
      <c r="BL551" s="80"/>
      <c r="BM551" s="80"/>
      <c r="BN551" s="80"/>
      <c r="BO551" s="80"/>
      <c r="BP551" s="80"/>
      <c r="BQ551" s="80"/>
      <c r="BR551" s="80"/>
      <c r="BS551" s="80"/>
      <c r="BT551" s="80"/>
      <c r="BU551" s="80"/>
    </row>
    <row r="552" spans="15:73"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  <c r="AV552" s="80"/>
      <c r="AW552" s="80"/>
      <c r="AX552" s="80"/>
      <c r="AY552" s="80"/>
      <c r="AZ552" s="80"/>
      <c r="BA552" s="80"/>
      <c r="BB552" s="80"/>
      <c r="BC552" s="80"/>
      <c r="BD552" s="80"/>
      <c r="BE552" s="80"/>
      <c r="BF552" s="80"/>
      <c r="BG552" s="80"/>
      <c r="BH552" s="80"/>
      <c r="BI552" s="80"/>
      <c r="BJ552" s="80"/>
      <c r="BK552" s="80"/>
      <c r="BL552" s="80"/>
      <c r="BM552" s="80"/>
      <c r="BN552" s="80"/>
      <c r="BO552" s="80"/>
      <c r="BP552" s="80"/>
      <c r="BQ552" s="80"/>
      <c r="BR552" s="80"/>
      <c r="BS552" s="80"/>
      <c r="BT552" s="80"/>
      <c r="BU552" s="80"/>
    </row>
    <row r="553" spans="15:73"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  <c r="AP553" s="80"/>
      <c r="AQ553" s="80"/>
      <c r="AR553" s="80"/>
      <c r="AS553" s="80"/>
      <c r="AT553" s="80"/>
      <c r="AU553" s="80"/>
      <c r="AV553" s="80"/>
      <c r="AW553" s="80"/>
      <c r="AX553" s="80"/>
      <c r="AY553" s="80"/>
      <c r="AZ553" s="80"/>
      <c r="BA553" s="80"/>
      <c r="BB553" s="80"/>
      <c r="BC553" s="80"/>
      <c r="BD553" s="80"/>
      <c r="BE553" s="80"/>
      <c r="BF553" s="80"/>
      <c r="BG553" s="80"/>
      <c r="BH553" s="80"/>
      <c r="BI553" s="80"/>
      <c r="BJ553" s="80"/>
      <c r="BK553" s="80"/>
      <c r="BL553" s="80"/>
      <c r="BM553" s="80"/>
      <c r="BN553" s="80"/>
      <c r="BO553" s="80"/>
      <c r="BP553" s="80"/>
      <c r="BQ553" s="80"/>
      <c r="BR553" s="80"/>
      <c r="BS553" s="80"/>
      <c r="BT553" s="80"/>
      <c r="BU553" s="80"/>
    </row>
    <row r="554" spans="15:73"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  <c r="AP554" s="80"/>
      <c r="AQ554" s="80"/>
      <c r="AR554" s="80"/>
      <c r="AS554" s="80"/>
      <c r="AT554" s="80"/>
      <c r="AU554" s="80"/>
      <c r="AV554" s="80"/>
      <c r="AW554" s="80"/>
      <c r="AX554" s="80"/>
      <c r="AY554" s="80"/>
      <c r="AZ554" s="80"/>
      <c r="BA554" s="80"/>
      <c r="BB554" s="80"/>
      <c r="BC554" s="80"/>
      <c r="BD554" s="80"/>
      <c r="BE554" s="80"/>
      <c r="BF554" s="80"/>
      <c r="BG554" s="80"/>
      <c r="BH554" s="80"/>
      <c r="BI554" s="80"/>
      <c r="BJ554" s="80"/>
      <c r="BK554" s="80"/>
      <c r="BL554" s="80"/>
      <c r="BM554" s="80"/>
      <c r="BN554" s="80"/>
      <c r="BO554" s="80"/>
      <c r="BP554" s="80"/>
      <c r="BQ554" s="80"/>
      <c r="BR554" s="80"/>
      <c r="BS554" s="80"/>
      <c r="BT554" s="80"/>
      <c r="BU554" s="80"/>
    </row>
    <row r="555" spans="15:73"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  <c r="AP555" s="80"/>
      <c r="AQ555" s="80"/>
      <c r="AR555" s="80"/>
      <c r="AS555" s="80"/>
      <c r="AT555" s="80"/>
      <c r="AU555" s="80"/>
      <c r="AV555" s="80"/>
      <c r="AW555" s="80"/>
      <c r="AX555" s="80"/>
      <c r="AY555" s="80"/>
      <c r="AZ555" s="80"/>
      <c r="BA555" s="80"/>
      <c r="BB555" s="80"/>
      <c r="BC555" s="80"/>
      <c r="BD555" s="80"/>
      <c r="BE555" s="80"/>
      <c r="BF555" s="80"/>
      <c r="BG555" s="80"/>
      <c r="BH555" s="80"/>
      <c r="BI555" s="80"/>
      <c r="BJ555" s="80"/>
      <c r="BK555" s="80"/>
      <c r="BL555" s="80"/>
      <c r="BM555" s="80"/>
      <c r="BN555" s="80"/>
      <c r="BO555" s="80"/>
      <c r="BP555" s="80"/>
      <c r="BQ555" s="80"/>
      <c r="BR555" s="80"/>
      <c r="BS555" s="80"/>
      <c r="BT555" s="80"/>
      <c r="BU555" s="80"/>
    </row>
    <row r="556" spans="15:73"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  <c r="AP556" s="80"/>
      <c r="AQ556" s="80"/>
      <c r="AR556" s="80"/>
      <c r="AS556" s="80"/>
      <c r="AT556" s="80"/>
      <c r="AU556" s="80"/>
      <c r="AV556" s="80"/>
      <c r="AW556" s="80"/>
      <c r="AX556" s="80"/>
      <c r="AY556" s="80"/>
      <c r="AZ556" s="80"/>
      <c r="BA556" s="80"/>
      <c r="BB556" s="80"/>
      <c r="BC556" s="80"/>
      <c r="BD556" s="80"/>
      <c r="BE556" s="80"/>
      <c r="BF556" s="80"/>
      <c r="BG556" s="80"/>
      <c r="BH556" s="80"/>
      <c r="BI556" s="80"/>
      <c r="BJ556" s="80"/>
      <c r="BK556" s="80"/>
      <c r="BL556" s="80"/>
      <c r="BM556" s="80"/>
      <c r="BN556" s="80"/>
      <c r="BO556" s="80"/>
      <c r="BP556" s="80"/>
      <c r="BQ556" s="80"/>
      <c r="BR556" s="80"/>
      <c r="BS556" s="80"/>
      <c r="BT556" s="80"/>
      <c r="BU556" s="80"/>
    </row>
    <row r="557" spans="15:73"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  <c r="AP557" s="80"/>
      <c r="AQ557" s="80"/>
      <c r="AR557" s="80"/>
      <c r="AS557" s="80"/>
      <c r="AT557" s="80"/>
      <c r="AU557" s="80"/>
      <c r="AV557" s="80"/>
      <c r="AW557" s="80"/>
      <c r="AX557" s="80"/>
      <c r="AY557" s="80"/>
      <c r="AZ557" s="80"/>
      <c r="BA557" s="80"/>
      <c r="BB557" s="80"/>
      <c r="BC557" s="80"/>
      <c r="BD557" s="80"/>
      <c r="BE557" s="80"/>
      <c r="BF557" s="80"/>
      <c r="BG557" s="80"/>
      <c r="BH557" s="80"/>
      <c r="BI557" s="80"/>
      <c r="BJ557" s="80"/>
      <c r="BK557" s="80"/>
      <c r="BL557" s="80"/>
      <c r="BM557" s="80"/>
      <c r="BN557" s="80"/>
      <c r="BO557" s="80"/>
      <c r="BP557" s="80"/>
      <c r="BQ557" s="80"/>
      <c r="BR557" s="80"/>
      <c r="BS557" s="80"/>
      <c r="BT557" s="80"/>
      <c r="BU557" s="80"/>
    </row>
    <row r="558" spans="15:73"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  <c r="AP558" s="80"/>
      <c r="AQ558" s="80"/>
      <c r="AR558" s="80"/>
      <c r="AS558" s="80"/>
      <c r="AT558" s="80"/>
      <c r="AU558" s="80"/>
      <c r="AV558" s="80"/>
      <c r="AW558" s="80"/>
      <c r="AX558" s="80"/>
      <c r="AY558" s="80"/>
      <c r="AZ558" s="80"/>
      <c r="BA558" s="80"/>
      <c r="BB558" s="80"/>
      <c r="BC558" s="80"/>
      <c r="BD558" s="80"/>
      <c r="BE558" s="80"/>
      <c r="BF558" s="80"/>
      <c r="BG558" s="80"/>
      <c r="BH558" s="80"/>
      <c r="BI558" s="80"/>
      <c r="BJ558" s="80"/>
      <c r="BK558" s="80"/>
      <c r="BL558" s="80"/>
      <c r="BM558" s="80"/>
      <c r="BN558" s="80"/>
      <c r="BO558" s="80"/>
      <c r="BP558" s="80"/>
      <c r="BQ558" s="80"/>
      <c r="BR558" s="80"/>
      <c r="BS558" s="80"/>
      <c r="BT558" s="80"/>
      <c r="BU558" s="80"/>
    </row>
    <row r="559" spans="15:73"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  <c r="AP559" s="80"/>
      <c r="AQ559" s="80"/>
      <c r="AR559" s="80"/>
      <c r="AS559" s="80"/>
      <c r="AT559" s="80"/>
      <c r="AU559" s="80"/>
      <c r="AV559" s="80"/>
      <c r="AW559" s="80"/>
      <c r="AX559" s="80"/>
      <c r="AY559" s="80"/>
      <c r="AZ559" s="80"/>
      <c r="BA559" s="80"/>
      <c r="BB559" s="80"/>
      <c r="BC559" s="80"/>
      <c r="BD559" s="80"/>
      <c r="BE559" s="80"/>
      <c r="BF559" s="80"/>
      <c r="BG559" s="80"/>
      <c r="BH559" s="80"/>
      <c r="BI559" s="80"/>
      <c r="BJ559" s="80"/>
      <c r="BK559" s="80"/>
      <c r="BL559" s="80"/>
      <c r="BM559" s="80"/>
      <c r="BN559" s="80"/>
      <c r="BO559" s="80"/>
      <c r="BP559" s="80"/>
      <c r="BQ559" s="80"/>
      <c r="BR559" s="80"/>
      <c r="BS559" s="80"/>
      <c r="BT559" s="80"/>
      <c r="BU559" s="80"/>
    </row>
  </sheetData>
  <dataConsolidate/>
  <phoneticPr fontId="61" type="noConversion"/>
  <pageMargins left="0.75" right="0.75" top="1" bottom="1" header="0.5" footer="0.5"/>
  <pageSetup scale="48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P67"/>
  <sheetViews>
    <sheetView showGridLines="0" zoomScale="70" zoomScaleNormal="70" workbookViewId="0"/>
  </sheetViews>
  <sheetFormatPr defaultColWidth="9.33203125" defaultRowHeight="13.2"/>
  <cols>
    <col min="1" max="1" width="16" customWidth="1"/>
    <col min="2" max="2" width="12.44140625" bestFit="1" customWidth="1"/>
    <col min="3" max="3" width="14.6640625" bestFit="1" customWidth="1"/>
    <col min="4" max="4" width="12" bestFit="1" customWidth="1"/>
    <col min="5" max="5" width="13.44140625" bestFit="1" customWidth="1"/>
    <col min="6" max="6" width="6.88671875" customWidth="1"/>
    <col min="7" max="7" width="14.44140625" bestFit="1" customWidth="1"/>
    <col min="8" max="8" width="15.44140625" bestFit="1" customWidth="1"/>
    <col min="9" max="9" width="13.44140625" bestFit="1" customWidth="1"/>
    <col min="10" max="10" width="10.5546875" customWidth="1"/>
    <col min="11" max="11" width="13.5546875" customWidth="1"/>
    <col min="12" max="12" width="11.5546875" bestFit="1" customWidth="1"/>
    <col min="13" max="13" width="14.6640625" customWidth="1"/>
    <col min="14" max="14" width="15.33203125" customWidth="1"/>
  </cols>
  <sheetData>
    <row r="1" spans="1:16" ht="13.8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</row>
    <row r="2" spans="1:16" ht="13.8">
      <c r="A2" s="15"/>
      <c r="B2" s="207" t="s">
        <v>58</v>
      </c>
      <c r="C2" s="207"/>
      <c r="D2" s="207"/>
      <c r="E2" s="207"/>
      <c r="F2" s="15"/>
      <c r="G2" s="207" t="s">
        <v>59</v>
      </c>
      <c r="H2" s="207"/>
      <c r="I2" s="207"/>
      <c r="J2" s="15"/>
    </row>
    <row r="3" spans="1:16" ht="13.8">
      <c r="A3" s="15" t="s">
        <v>18</v>
      </c>
      <c r="B3" s="17" t="s">
        <v>21</v>
      </c>
      <c r="C3" s="20"/>
      <c r="D3" s="20"/>
      <c r="E3" s="20"/>
      <c r="F3" s="20"/>
      <c r="G3" s="20"/>
      <c r="H3" s="20"/>
      <c r="I3" s="20"/>
      <c r="J3" s="17" t="s">
        <v>60</v>
      </c>
    </row>
    <row r="4" spans="1:16" ht="13.8">
      <c r="A4" s="21" t="s">
        <v>61</v>
      </c>
      <c r="B4" s="23" t="s">
        <v>62</v>
      </c>
      <c r="C4" s="23" t="s">
        <v>27</v>
      </c>
      <c r="D4" s="23" t="s">
        <v>28</v>
      </c>
      <c r="E4" s="25" t="s">
        <v>63</v>
      </c>
      <c r="F4" s="24"/>
      <c r="G4" s="23" t="s">
        <v>64</v>
      </c>
      <c r="H4" s="23" t="s">
        <v>65</v>
      </c>
      <c r="I4" s="23" t="s">
        <v>63</v>
      </c>
      <c r="J4" s="23" t="s">
        <v>66</v>
      </c>
    </row>
    <row r="5" spans="1:16" ht="14.4">
      <c r="A5" s="15"/>
      <c r="B5" s="208" t="s">
        <v>67</v>
      </c>
      <c r="C5" s="208"/>
      <c r="D5" s="208"/>
      <c r="E5" s="208"/>
      <c r="F5" s="208"/>
      <c r="G5" s="208"/>
      <c r="H5" s="208"/>
      <c r="I5" s="208"/>
      <c r="J5" s="208"/>
    </row>
    <row r="6" spans="1:16" ht="13.8">
      <c r="A6" s="15" t="s">
        <v>35</v>
      </c>
      <c r="B6" s="164">
        <v>370.89100000000002</v>
      </c>
      <c r="C6" s="37">
        <f>C23</f>
        <v>54106.152000000002</v>
      </c>
      <c r="D6" s="37">
        <f>D23</f>
        <v>687.19162825499996</v>
      </c>
      <c r="E6" s="111">
        <f>SUM(B6:D6)</f>
        <v>55164.234628255006</v>
      </c>
      <c r="F6" s="37"/>
      <c r="G6" s="37">
        <f>E6-H6-J6</f>
        <v>38656.549049055007</v>
      </c>
      <c r="H6" s="165">
        <f>H23</f>
        <v>16054.395579199998</v>
      </c>
      <c r="I6" s="37">
        <f>E6-J6</f>
        <v>54710.944628255005</v>
      </c>
      <c r="J6" s="37">
        <f>J22</f>
        <v>453.29</v>
      </c>
      <c r="K6" s="83"/>
      <c r="L6" s="121"/>
      <c r="M6" s="92"/>
    </row>
    <row r="7" spans="1:16" ht="16.2">
      <c r="A7" s="15" t="s">
        <v>36</v>
      </c>
      <c r="B7" s="164">
        <f>J6</f>
        <v>453.29</v>
      </c>
      <c r="C7" s="37">
        <v>57912</v>
      </c>
      <c r="D7" s="37">
        <v>760</v>
      </c>
      <c r="E7" s="111">
        <f>SUM(B7:D7)</f>
        <v>59125.29</v>
      </c>
      <c r="F7" s="37"/>
      <c r="G7" s="37">
        <v>40575</v>
      </c>
      <c r="H7" s="165">
        <v>18100</v>
      </c>
      <c r="I7" s="37">
        <f>SUM(G7:H7)</f>
        <v>58675</v>
      </c>
      <c r="J7" s="37">
        <f>E7-I7</f>
        <v>450.29000000000087</v>
      </c>
      <c r="K7" s="83"/>
      <c r="L7" s="121"/>
    </row>
    <row r="8" spans="1:16" ht="16.2">
      <c r="A8" s="15" t="s">
        <v>37</v>
      </c>
      <c r="B8" s="164">
        <f>J7</f>
        <v>450.29000000000087</v>
      </c>
      <c r="C8" s="37">
        <v>60225</v>
      </c>
      <c r="D8" s="37">
        <v>675</v>
      </c>
      <c r="E8" s="111">
        <f>SUM(B8:D8)</f>
        <v>61350.29</v>
      </c>
      <c r="F8" s="37"/>
      <c r="G8" s="37">
        <v>41675</v>
      </c>
      <c r="H8" s="165">
        <v>19200</v>
      </c>
      <c r="I8" s="37">
        <f>SUM(G8:H8)</f>
        <v>60875</v>
      </c>
      <c r="J8" s="37">
        <f>E8-I8</f>
        <v>475.29000000000087</v>
      </c>
      <c r="L8" s="121"/>
    </row>
    <row r="9" spans="1:16" ht="13.8">
      <c r="A9" s="15"/>
      <c r="B9" s="38"/>
      <c r="C9" s="38"/>
      <c r="D9" s="38"/>
      <c r="E9" s="38"/>
      <c r="F9" s="38"/>
      <c r="G9" s="37"/>
      <c r="H9" s="38"/>
      <c r="I9" s="38"/>
      <c r="J9" s="38"/>
    </row>
    <row r="10" spans="1:16" ht="13.8">
      <c r="A10" s="30" t="s">
        <v>35</v>
      </c>
      <c r="B10" s="39"/>
      <c r="C10" s="6"/>
      <c r="D10" s="6"/>
      <c r="E10" s="6"/>
      <c r="F10" s="6"/>
      <c r="G10" s="6"/>
      <c r="H10" s="6"/>
      <c r="I10" s="6"/>
      <c r="J10" s="6"/>
      <c r="M10" s="187"/>
      <c r="N10" s="34"/>
    </row>
    <row r="11" spans="1:16" ht="14.4">
      <c r="A11" s="15" t="s">
        <v>39</v>
      </c>
      <c r="B11" s="100">
        <v>370.89100000000002</v>
      </c>
      <c r="C11" s="101">
        <v>4738.4830000000002</v>
      </c>
      <c r="D11" s="6">
        <f>(43352.2*1.10231)/1000</f>
        <v>47.787563581999997</v>
      </c>
      <c r="E11" s="6">
        <f t="shared" ref="E11:E22" si="0">SUM(B11:D11)</f>
        <v>5157.1615635819999</v>
      </c>
      <c r="F11" s="6"/>
      <c r="G11" s="6">
        <f t="shared" ref="G11:G20" si="1">I11-H11</f>
        <v>3602.9976581149999</v>
      </c>
      <c r="H11" s="6">
        <f>(1106335.7*1.10231)/1000</f>
        <v>1219.5249054669998</v>
      </c>
      <c r="I11" s="95">
        <f t="shared" ref="I11:I20" si="2">E11-J11</f>
        <v>4822.5225635819997</v>
      </c>
      <c r="J11" s="101">
        <v>334.63900000000001</v>
      </c>
      <c r="K11" s="81"/>
      <c r="M11" s="187"/>
      <c r="N11" s="34"/>
      <c r="P11" s="34"/>
    </row>
    <row r="12" spans="1:16" ht="14.4">
      <c r="A12" s="15" t="s">
        <v>40</v>
      </c>
      <c r="B12" s="39">
        <f t="shared" ref="B12:B18" si="3">J11</f>
        <v>334.63900000000001</v>
      </c>
      <c r="C12" s="6">
        <v>4706.2079999999996</v>
      </c>
      <c r="D12" s="6">
        <f>(48399.9*1.10231)/1000</f>
        <v>53.351693769000001</v>
      </c>
      <c r="E12" s="6">
        <f t="shared" si="0"/>
        <v>5094.1986937689999</v>
      </c>
      <c r="F12" s="6"/>
      <c r="G12" s="6">
        <f t="shared" si="1"/>
        <v>3279.4650472620001</v>
      </c>
      <c r="H12" s="6">
        <f>(1370119.7*1.10231)/1000</f>
        <v>1510.2966465069999</v>
      </c>
      <c r="I12" s="6">
        <f t="shared" si="2"/>
        <v>4789.761693769</v>
      </c>
      <c r="J12" s="6">
        <v>304.43700000000001</v>
      </c>
      <c r="K12" s="81"/>
      <c r="M12" s="187"/>
      <c r="N12" s="34"/>
      <c r="P12" s="34"/>
    </row>
    <row r="13" spans="1:16" ht="14.4">
      <c r="A13" s="15" t="s">
        <v>42</v>
      </c>
      <c r="B13" s="39">
        <f t="shared" si="3"/>
        <v>304.43700000000001</v>
      </c>
      <c r="C13" s="6">
        <v>4818.3419999999996</v>
      </c>
      <c r="D13" s="99">
        <f>(53119.3*1.10231)/1000</f>
        <v>58.553935582999998</v>
      </c>
      <c r="E13" s="99">
        <f t="shared" si="0"/>
        <v>5181.3329355829992</v>
      </c>
      <c r="F13" s="99"/>
      <c r="G13" s="99">
        <f t="shared" si="1"/>
        <v>3047.0038594659991</v>
      </c>
      <c r="H13" s="99">
        <f>(1481950.7*1.10231)/1000</f>
        <v>1633.5690761169999</v>
      </c>
      <c r="I13" s="99">
        <f t="shared" si="2"/>
        <v>4680.572935582999</v>
      </c>
      <c r="J13" s="6">
        <v>500.76</v>
      </c>
      <c r="K13" s="81"/>
      <c r="M13" s="187"/>
      <c r="N13" s="34"/>
      <c r="P13" s="34"/>
    </row>
    <row r="14" spans="1:16" ht="14.4">
      <c r="A14" s="15" t="s">
        <v>43</v>
      </c>
      <c r="B14" s="39">
        <f t="shared" si="3"/>
        <v>500.76</v>
      </c>
      <c r="C14" s="6">
        <v>4583.558</v>
      </c>
      <c r="D14" s="99">
        <f>(52827.5*1.10231)/1000</f>
        <v>58.232281524999991</v>
      </c>
      <c r="E14" s="99">
        <f t="shared" si="0"/>
        <v>5142.5502815250002</v>
      </c>
      <c r="F14" s="99"/>
      <c r="G14" s="99">
        <f t="shared" si="1"/>
        <v>3337.0070949930005</v>
      </c>
      <c r="H14" s="99">
        <f>(1318297.2*1.10231)/1000</f>
        <v>1453.1721865319998</v>
      </c>
      <c r="I14" s="99">
        <f t="shared" si="2"/>
        <v>4790.1792815250001</v>
      </c>
      <c r="J14" s="6">
        <v>352.37099999999998</v>
      </c>
      <c r="K14" s="185"/>
      <c r="M14" s="187"/>
      <c r="N14" s="34"/>
      <c r="P14" s="34"/>
    </row>
    <row r="15" spans="1:16" ht="14.4">
      <c r="A15" s="15" t="s">
        <v>44</v>
      </c>
      <c r="B15" s="39">
        <f t="shared" si="3"/>
        <v>352.37099999999998</v>
      </c>
      <c r="C15" s="6">
        <v>4546.5569999999998</v>
      </c>
      <c r="D15" s="99">
        <f>(58043.6*1.10231)/1000</f>
        <v>63.982040715999993</v>
      </c>
      <c r="E15" s="99">
        <f t="shared" si="0"/>
        <v>4962.9100407159995</v>
      </c>
      <c r="F15" s="99"/>
      <c r="G15" s="99">
        <f t="shared" si="1"/>
        <v>3082.7604602569995</v>
      </c>
      <c r="H15" s="99">
        <f>(1410298.9*1.10231)/1000</f>
        <v>1554.5865804589998</v>
      </c>
      <c r="I15" s="99">
        <f t="shared" si="2"/>
        <v>4637.3470407159994</v>
      </c>
      <c r="J15" s="6">
        <v>325.56299999999999</v>
      </c>
      <c r="K15" s="81"/>
      <c r="M15" s="187"/>
      <c r="N15" s="34"/>
      <c r="P15" s="34"/>
    </row>
    <row r="16" spans="1:16" ht="14.4">
      <c r="A16" s="15" t="s">
        <v>46</v>
      </c>
      <c r="B16" s="39">
        <f t="shared" si="3"/>
        <v>325.56299999999999</v>
      </c>
      <c r="C16" s="6">
        <v>4793.0349999999999</v>
      </c>
      <c r="D16" s="99">
        <f>(52418.3*1.10231)/1000</f>
        <v>57.781216272999998</v>
      </c>
      <c r="E16" s="99">
        <f t="shared" si="0"/>
        <v>5176.3792162729997</v>
      </c>
      <c r="F16" s="99"/>
      <c r="G16" s="99">
        <f t="shared" si="1"/>
        <v>3007.7163363159998</v>
      </c>
      <c r="H16" s="99">
        <f>(1459614.7*1.10231)/1000</f>
        <v>1608.9478799569997</v>
      </c>
      <c r="I16" s="99">
        <f t="shared" si="2"/>
        <v>4616.6642162729995</v>
      </c>
      <c r="J16" s="6">
        <v>559.71500000000003</v>
      </c>
      <c r="K16" s="81"/>
      <c r="M16" s="187"/>
      <c r="N16" s="34"/>
      <c r="P16" s="34"/>
    </row>
    <row r="17" spans="1:16" ht="14.4">
      <c r="A17" s="15" t="s">
        <v>47</v>
      </c>
      <c r="B17" s="39">
        <f t="shared" si="3"/>
        <v>559.71500000000003</v>
      </c>
      <c r="C17" s="6">
        <v>4201.777</v>
      </c>
      <c r="D17" s="99">
        <f>(45672*1.10231)/1000</f>
        <v>50.344702319999996</v>
      </c>
      <c r="E17" s="99">
        <f t="shared" si="0"/>
        <v>4811.8367023199999</v>
      </c>
      <c r="F17" s="99"/>
      <c r="G17" s="99">
        <f t="shared" si="1"/>
        <v>3088.5843456719995</v>
      </c>
      <c r="H17" s="99">
        <f>(1259080.8*1.10231)/1000</f>
        <v>1387.8973566479999</v>
      </c>
      <c r="I17" s="99">
        <f t="shared" si="2"/>
        <v>4476.4817023199994</v>
      </c>
      <c r="J17" s="6">
        <v>335.35500000000002</v>
      </c>
      <c r="K17" s="81"/>
      <c r="M17" s="187"/>
      <c r="N17" s="34"/>
      <c r="P17" s="34"/>
    </row>
    <row r="18" spans="1:16" ht="14.4">
      <c r="A18" s="15" t="s">
        <v>48</v>
      </c>
      <c r="B18" s="39">
        <f t="shared" si="3"/>
        <v>335.35500000000002</v>
      </c>
      <c r="C18" s="6">
        <v>4506.893</v>
      </c>
      <c r="D18" s="99">
        <f>(61779.5*1.10231)/1000</f>
        <v>68.100160645000003</v>
      </c>
      <c r="E18" s="99">
        <f t="shared" si="0"/>
        <v>4910.3481606449996</v>
      </c>
      <c r="F18" s="99"/>
      <c r="G18" s="99">
        <f t="shared" si="1"/>
        <v>3421.0908311659996</v>
      </c>
      <c r="H18" s="99">
        <f>(1039540.9*1.10231)/1000</f>
        <v>1145.8963294789999</v>
      </c>
      <c r="I18" s="99">
        <f t="shared" si="2"/>
        <v>4566.9871606449997</v>
      </c>
      <c r="J18" s="6">
        <v>343.36099999999999</v>
      </c>
      <c r="K18" s="185"/>
      <c r="M18" s="187"/>
      <c r="N18" s="34"/>
      <c r="P18" s="34"/>
    </row>
    <row r="19" spans="1:16" ht="14.4">
      <c r="A19" s="15" t="s">
        <v>50</v>
      </c>
      <c r="B19" s="39">
        <f>J18</f>
        <v>343.36099999999999</v>
      </c>
      <c r="C19" s="6">
        <v>4330.68</v>
      </c>
      <c r="D19" s="99">
        <f>(45020.5*1.10231)/1000</f>
        <v>49.626547354999992</v>
      </c>
      <c r="E19" s="99">
        <f t="shared" si="0"/>
        <v>4723.6675473550004</v>
      </c>
      <c r="F19" s="99"/>
      <c r="G19" s="99">
        <f t="shared" si="1"/>
        <v>3025.9473589560012</v>
      </c>
      <c r="H19" s="99">
        <f>(1093072.9*1.10231)/1000</f>
        <v>1204.9051883989998</v>
      </c>
      <c r="I19" s="99">
        <f t="shared" si="2"/>
        <v>4230.8525473550008</v>
      </c>
      <c r="J19" s="6">
        <v>492.815</v>
      </c>
      <c r="K19" s="81"/>
      <c r="M19" s="187"/>
      <c r="N19" s="34"/>
      <c r="P19" s="34"/>
    </row>
    <row r="20" spans="1:16" ht="14.4">
      <c r="A20" s="15" t="s">
        <v>51</v>
      </c>
      <c r="B20" s="39">
        <f>J19</f>
        <v>492.815</v>
      </c>
      <c r="C20" s="6">
        <v>4548.6549999999997</v>
      </c>
      <c r="D20" s="99">
        <f>(38702.9*1.10231)/1000</f>
        <v>42.662593698999999</v>
      </c>
      <c r="E20" s="99">
        <f t="shared" si="0"/>
        <v>5084.1325936989997</v>
      </c>
      <c r="F20" s="99"/>
      <c r="G20" s="99">
        <f t="shared" si="1"/>
        <v>3535.8197989219998</v>
      </c>
      <c r="H20" s="99">
        <f>(1014036.7*1.10231)/1000</f>
        <v>1117.7827947769999</v>
      </c>
      <c r="I20" s="99">
        <f t="shared" si="2"/>
        <v>4653.602593699</v>
      </c>
      <c r="J20" s="6">
        <v>430.53</v>
      </c>
      <c r="K20" s="81"/>
      <c r="M20" s="187"/>
      <c r="N20" s="34"/>
      <c r="P20" s="34"/>
    </row>
    <row r="21" spans="1:16" ht="14.4">
      <c r="A21" s="15" t="s">
        <v>52</v>
      </c>
      <c r="B21" s="39">
        <f>J20</f>
        <v>430.53</v>
      </c>
      <c r="C21" s="6">
        <v>3963.0810000000001</v>
      </c>
      <c r="D21" s="99">
        <f>(54052.6*1.10231)/1000</f>
        <v>59.582721505999992</v>
      </c>
      <c r="E21" s="99">
        <f t="shared" si="0"/>
        <v>4453.1937215059997</v>
      </c>
      <c r="F21" s="99"/>
      <c r="G21" s="99">
        <f>I21-H21</f>
        <v>3096.7477066129995</v>
      </c>
      <c r="H21" s="99">
        <f>(909820.3*1.10231)/1000</f>
        <v>1002.9040148930001</v>
      </c>
      <c r="I21" s="99">
        <f>E21-J21</f>
        <v>4099.6517215059994</v>
      </c>
      <c r="J21" s="6">
        <v>353.54199999999997</v>
      </c>
      <c r="K21" s="81"/>
      <c r="M21" s="187"/>
      <c r="N21" s="34"/>
      <c r="P21" s="34"/>
    </row>
    <row r="22" spans="1:16" ht="14.4">
      <c r="A22" s="15" t="s">
        <v>38</v>
      </c>
      <c r="B22" s="39">
        <f>J21</f>
        <v>353.54199999999997</v>
      </c>
      <c r="C22" s="6">
        <v>4368.8829999999998</v>
      </c>
      <c r="D22" s="99">
        <f>(70022*1.10231)/1000</f>
        <v>77.185950820000002</v>
      </c>
      <c r="E22" s="99">
        <f t="shared" si="0"/>
        <v>4799.6109508199997</v>
      </c>
      <c r="F22" s="99"/>
      <c r="G22" s="99">
        <f>I22-H22</f>
        <v>3131.4083308549998</v>
      </c>
      <c r="H22" s="99">
        <f>(1102151.5*1.10231)/1000</f>
        <v>1214.9126199649997</v>
      </c>
      <c r="I22" s="99">
        <f>E22-J22</f>
        <v>4346.3209508199998</v>
      </c>
      <c r="J22" s="6">
        <v>453.29</v>
      </c>
      <c r="K22" s="84"/>
      <c r="M22" s="187"/>
      <c r="N22" s="34"/>
      <c r="P22" s="34"/>
    </row>
    <row r="23" spans="1:16" ht="14.4">
      <c r="A23" s="15" t="s">
        <v>29</v>
      </c>
      <c r="B23" s="39"/>
      <c r="C23" s="6">
        <f>SUM(C11:C22)</f>
        <v>54106.152000000002</v>
      </c>
      <c r="D23" s="6">
        <f>(623410.5*1.10231)/1000</f>
        <v>687.19162825499996</v>
      </c>
      <c r="E23" s="6">
        <f>B11+C23+D23</f>
        <v>55164.234628255006</v>
      </c>
      <c r="F23" s="6"/>
      <c r="G23" s="6">
        <f>SUM(G11:G22)</f>
        <v>38656.54882859299</v>
      </c>
      <c r="H23" s="6">
        <f>(14564320*1.10231)/1000</f>
        <v>16054.395579199998</v>
      </c>
      <c r="I23" s="5">
        <f>SUM(I11:I22)</f>
        <v>54710.944407793002</v>
      </c>
      <c r="J23" s="6"/>
      <c r="K23" s="112"/>
      <c r="M23" s="113"/>
      <c r="N23" s="34"/>
      <c r="P23" s="34"/>
    </row>
    <row r="24" spans="1:16" ht="14.4">
      <c r="A24" s="15"/>
      <c r="B24" s="39"/>
      <c r="C24" s="6"/>
      <c r="D24" s="6"/>
      <c r="E24" s="6"/>
      <c r="F24" s="6"/>
      <c r="G24" s="6"/>
      <c r="H24" s="6"/>
      <c r="I24" s="6"/>
      <c r="J24" s="6"/>
      <c r="K24" s="81"/>
      <c r="M24" s="113"/>
      <c r="N24" s="34"/>
      <c r="P24" s="34"/>
    </row>
    <row r="25" spans="1:16" ht="14.4">
      <c r="A25" s="30" t="s">
        <v>54</v>
      </c>
      <c r="B25" s="39"/>
      <c r="C25" s="6"/>
      <c r="D25" s="6"/>
      <c r="E25" s="6"/>
      <c r="F25" s="6"/>
      <c r="G25" s="6"/>
      <c r="H25" s="6"/>
      <c r="I25" s="6"/>
      <c r="J25" s="6"/>
      <c r="K25" s="81"/>
      <c r="M25" s="113"/>
      <c r="N25" s="34"/>
      <c r="P25" s="34"/>
    </row>
    <row r="26" spans="1:16" ht="14.4">
      <c r="A26" s="15" t="s">
        <v>39</v>
      </c>
      <c r="B26" s="39">
        <f>J22</f>
        <v>453.29</v>
      </c>
      <c r="C26" s="6">
        <v>5088.7489999999998</v>
      </c>
      <c r="D26" s="99">
        <f>(42996.7*1.10231)/1000</f>
        <v>47.395692376999989</v>
      </c>
      <c r="E26" s="6">
        <f t="shared" ref="E26:E31" si="4">SUM(B26:D26)</f>
        <v>5589.4346923769999</v>
      </c>
      <c r="F26" s="6"/>
      <c r="G26" s="13">
        <f t="shared" ref="G26:G31" si="5">I26-H26</f>
        <v>3795.6486350929999</v>
      </c>
      <c r="H26" s="99">
        <f>(1317756.4*1.10231)/1000</f>
        <v>1452.5760572839999</v>
      </c>
      <c r="I26" s="99">
        <f t="shared" ref="I26:I31" si="6">E26-J26</f>
        <v>5248.2246923769999</v>
      </c>
      <c r="J26" s="6">
        <v>341.21000000000004</v>
      </c>
      <c r="K26" s="81"/>
      <c r="M26" s="113"/>
      <c r="N26" s="34"/>
      <c r="O26" s="34"/>
      <c r="P26" s="34"/>
    </row>
    <row r="27" spans="1:16" ht="14.4">
      <c r="A27" s="15" t="s">
        <v>40</v>
      </c>
      <c r="B27" s="39">
        <f t="shared" ref="B27:B32" si="7">J26</f>
        <v>341.21000000000004</v>
      </c>
      <c r="C27" s="6">
        <v>4974.8110000000006</v>
      </c>
      <c r="D27" s="99">
        <f>(46651.6*1.10231)/1000</f>
        <v>51.424525195999998</v>
      </c>
      <c r="E27" s="99">
        <f t="shared" si="4"/>
        <v>5367.4455251960007</v>
      </c>
      <c r="F27" s="6"/>
      <c r="G27" s="13">
        <f t="shared" si="5"/>
        <v>3180.0653300800004</v>
      </c>
      <c r="H27" s="99">
        <f>(1518283.6*1.10231)/1000</f>
        <v>1673.6191951160001</v>
      </c>
      <c r="I27" s="99">
        <f t="shared" si="6"/>
        <v>4853.6845251960003</v>
      </c>
      <c r="J27" s="6">
        <v>513.76099999999997</v>
      </c>
      <c r="K27" s="81"/>
      <c r="M27" s="113"/>
      <c r="N27" s="34"/>
      <c r="O27" s="34"/>
      <c r="P27" s="34"/>
    </row>
    <row r="28" spans="1:16" ht="14.4">
      <c r="A28" s="15" t="s">
        <v>42</v>
      </c>
      <c r="B28" s="39">
        <f t="shared" si="7"/>
        <v>513.76099999999997</v>
      </c>
      <c r="C28" s="97">
        <v>5162.1440000000002</v>
      </c>
      <c r="D28" s="99">
        <f>(31881.2*1.10231)/1000</f>
        <v>35.142965572000001</v>
      </c>
      <c r="E28" s="99">
        <f t="shared" si="4"/>
        <v>5711.047965572001</v>
      </c>
      <c r="F28" s="99"/>
      <c r="G28" s="13">
        <f t="shared" si="5"/>
        <v>3587.6579006430011</v>
      </c>
      <c r="H28" s="99">
        <f>(1513235.9*1.10231)/1000</f>
        <v>1668.0550649289996</v>
      </c>
      <c r="I28" s="99">
        <f t="shared" si="6"/>
        <v>5255.7129655720009</v>
      </c>
      <c r="J28" s="6">
        <v>455.33500000000004</v>
      </c>
      <c r="K28" s="81"/>
      <c r="L28" s="98"/>
      <c r="M28" s="113"/>
      <c r="N28" s="34"/>
      <c r="O28" s="34"/>
      <c r="P28" s="34"/>
    </row>
    <row r="29" spans="1:16" ht="14.4">
      <c r="A29" s="15" t="s">
        <v>43</v>
      </c>
      <c r="B29" s="39">
        <f t="shared" si="7"/>
        <v>455.33500000000004</v>
      </c>
      <c r="C29" s="6">
        <v>5046.0140000000001</v>
      </c>
      <c r="D29" s="99">
        <f>(49274.6*1.10231)/1000</f>
        <v>54.315884325999995</v>
      </c>
      <c r="E29" s="99">
        <f t="shared" si="4"/>
        <v>5555.664884326</v>
      </c>
      <c r="F29" s="99"/>
      <c r="G29" s="13">
        <f t="shared" si="5"/>
        <v>3522.7561092720007</v>
      </c>
      <c r="H29" s="99">
        <f>(1425123.4*1.10231)/1000</f>
        <v>1570.9277750539998</v>
      </c>
      <c r="I29" s="99">
        <f t="shared" si="6"/>
        <v>5093.6838843260002</v>
      </c>
      <c r="J29" s="6">
        <v>461.98099999999999</v>
      </c>
      <c r="K29" s="81"/>
      <c r="M29" s="113"/>
      <c r="N29" s="34"/>
      <c r="O29" s="34"/>
    </row>
    <row r="30" spans="1:16" s="122" customFormat="1" ht="14.4">
      <c r="A30" s="117" t="s">
        <v>44</v>
      </c>
      <c r="B30" s="100">
        <f t="shared" si="7"/>
        <v>461.98099999999999</v>
      </c>
      <c r="C30" s="101">
        <v>4504.5150000000003</v>
      </c>
      <c r="D30" s="136">
        <f>(53629.4*1.10231)/1000</f>
        <v>59.116223913999995</v>
      </c>
      <c r="E30" s="136">
        <f t="shared" si="4"/>
        <v>5025.6122239140004</v>
      </c>
      <c r="F30" s="136"/>
      <c r="G30" s="13">
        <f t="shared" si="5"/>
        <v>3314.0849477780007</v>
      </c>
      <c r="H30" s="136">
        <f>(1124725.6*1.10231)/1000</f>
        <v>1239.796276136</v>
      </c>
      <c r="I30" s="136">
        <f t="shared" si="6"/>
        <v>4553.8812239140007</v>
      </c>
      <c r="J30" s="101">
        <v>471.73099999999999</v>
      </c>
      <c r="K30" s="142"/>
      <c r="M30" s="113"/>
      <c r="N30" s="34"/>
      <c r="O30" s="34"/>
    </row>
    <row r="31" spans="1:16" s="122" customFormat="1" ht="14.4">
      <c r="A31" s="117" t="s">
        <v>46</v>
      </c>
      <c r="B31" s="39">
        <f t="shared" si="7"/>
        <v>471.73099999999999</v>
      </c>
      <c r="C31" s="6">
        <v>4921.2179999999998</v>
      </c>
      <c r="D31" s="99">
        <f>(62064.5*1.10231)/1000</f>
        <v>68.414318994999988</v>
      </c>
      <c r="E31" s="99">
        <f t="shared" si="4"/>
        <v>5461.3633189949996</v>
      </c>
      <c r="F31" s="99"/>
      <c r="G31" s="13">
        <f t="shared" si="5"/>
        <v>3283.4341531029995</v>
      </c>
      <c r="H31" s="99">
        <f>(1593353.2*1.10231)/1000</f>
        <v>1756.369165892</v>
      </c>
      <c r="I31" s="99">
        <f t="shared" si="6"/>
        <v>5039.8033189949992</v>
      </c>
      <c r="J31" s="6">
        <v>421.56</v>
      </c>
      <c r="K31" s="186"/>
      <c r="M31" s="113"/>
      <c r="N31" s="34"/>
      <c r="O31" s="34"/>
    </row>
    <row r="32" spans="1:16" ht="14.4">
      <c r="A32" s="15" t="s">
        <v>47</v>
      </c>
      <c r="B32" s="39">
        <f t="shared" si="7"/>
        <v>421.56</v>
      </c>
      <c r="C32" s="6">
        <v>4813.8410000000003</v>
      </c>
      <c r="D32" s="99">
        <f>(71057.1*1.10231)/1000</f>
        <v>78.326951900999987</v>
      </c>
      <c r="E32" s="99">
        <f>SUM(B32:D32)</f>
        <v>5313.7279519010008</v>
      </c>
      <c r="F32" s="99"/>
      <c r="G32" s="162">
        <f>I32-H32</f>
        <v>3401.4645248270012</v>
      </c>
      <c r="H32" s="99">
        <f>(1345665.4*1.10231)/1000</f>
        <v>1483.3404270739998</v>
      </c>
      <c r="I32" s="99">
        <f>E32-J32</f>
        <v>4884.804951901001</v>
      </c>
      <c r="J32" s="6">
        <v>428.923</v>
      </c>
      <c r="K32" s="81"/>
      <c r="M32" s="113"/>
      <c r="N32" s="34"/>
      <c r="O32" s="34"/>
    </row>
    <row r="33" spans="1:15" ht="14.4">
      <c r="A33" s="15" t="s">
        <v>48</v>
      </c>
      <c r="B33" s="39">
        <f>J32</f>
        <v>428.923</v>
      </c>
      <c r="C33" s="6">
        <v>4832.6099999999997</v>
      </c>
      <c r="D33" s="99">
        <f>(92777.2*1.10231)/1000</f>
        <v>102.26923533199998</v>
      </c>
      <c r="E33" s="99">
        <f>SUM(B33:D33)</f>
        <v>5363.8022353319993</v>
      </c>
      <c r="F33" s="99"/>
      <c r="G33" s="163">
        <f>I33-H33</f>
        <v>3408.8013213889994</v>
      </c>
      <c r="H33" s="99">
        <f>(1361075.3*1.10231)/1000</f>
        <v>1500.3269139429999</v>
      </c>
      <c r="I33" s="99">
        <f>E33-J33</f>
        <v>4909.1282353319993</v>
      </c>
      <c r="J33" s="6">
        <v>454.67399999999998</v>
      </c>
      <c r="K33" s="81"/>
      <c r="M33" s="113"/>
      <c r="N33" s="34"/>
      <c r="O33" s="34"/>
    </row>
    <row r="34" spans="1:15" ht="14.4">
      <c r="A34" s="15" t="s">
        <v>50</v>
      </c>
      <c r="B34" s="39">
        <f>J33</f>
        <v>454.67399999999998</v>
      </c>
      <c r="C34" s="6">
        <v>4683.6099999999997</v>
      </c>
      <c r="D34" s="99">
        <f>(53983.9*1.10231)/1000</f>
        <v>59.506992808999996</v>
      </c>
      <c r="E34" s="99">
        <f>SUM(B34:D34)</f>
        <v>5197.7909928089994</v>
      </c>
      <c r="F34" s="99"/>
      <c r="G34" s="163">
        <f>I34-H34</f>
        <v>3273.3279574779995</v>
      </c>
      <c r="H34" s="99">
        <f>(1324210.1*1.10231)/1000</f>
        <v>1459.6900353309998</v>
      </c>
      <c r="I34" s="99">
        <f>E34-J34</f>
        <v>4733.0179928089992</v>
      </c>
      <c r="J34" s="6">
        <v>464.77300000000002</v>
      </c>
      <c r="K34" s="81"/>
      <c r="M34" s="113"/>
      <c r="N34" s="34"/>
      <c r="O34" s="34"/>
    </row>
    <row r="35" spans="1:15" ht="14.4">
      <c r="A35" s="15" t="s">
        <v>51</v>
      </c>
      <c r="B35" s="39">
        <f>J34</f>
        <v>464.77300000000002</v>
      </c>
      <c r="C35" s="6">
        <v>4850.7209999999995</v>
      </c>
      <c r="D35" s="99">
        <f>(70242.2*1.10231)/1000</f>
        <v>77.428679481999993</v>
      </c>
      <c r="E35" s="99">
        <f>SUM(B35:D35)</f>
        <v>5392.9226794819997</v>
      </c>
      <c r="F35" s="99"/>
      <c r="G35" s="163">
        <f>I35-H35</f>
        <v>3453.2414090459993</v>
      </c>
      <c r="H35" s="99">
        <f>(1392255.6*1.10231)/1000</f>
        <v>1534.6972704360001</v>
      </c>
      <c r="I35" s="99">
        <f>E35-J35</f>
        <v>4987.9386794819993</v>
      </c>
      <c r="J35" s="6">
        <v>404.98399999999998</v>
      </c>
      <c r="K35" s="81"/>
      <c r="M35" s="113"/>
      <c r="N35" s="34"/>
      <c r="O35" s="34"/>
    </row>
    <row r="36" spans="1:15" ht="16.2">
      <c r="A36" s="170" t="s">
        <v>157</v>
      </c>
      <c r="B36" s="66"/>
      <c r="C36" s="66"/>
      <c r="D36" s="66"/>
      <c r="E36" s="66"/>
      <c r="F36" s="66"/>
      <c r="G36" s="66"/>
      <c r="H36" s="66"/>
      <c r="I36" s="66"/>
      <c r="J36" s="66"/>
      <c r="N36" s="34"/>
    </row>
    <row r="37" spans="1:15" ht="14.4">
      <c r="A37" s="15" t="s">
        <v>68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5" ht="13.8">
      <c r="A38" s="20" t="s">
        <v>57</v>
      </c>
      <c r="B38" s="36">
        <f>Contents!A18</f>
        <v>45916</v>
      </c>
      <c r="C38" s="33"/>
      <c r="D38" s="28"/>
      <c r="E38" s="28"/>
      <c r="F38" s="28"/>
      <c r="G38" s="28"/>
      <c r="H38" s="28"/>
      <c r="I38" s="28"/>
      <c r="J38" s="28"/>
    </row>
    <row r="39" spans="1:15">
      <c r="B39" s="40"/>
      <c r="C39" s="41"/>
      <c r="D39" s="40"/>
      <c r="E39" s="78"/>
      <c r="F39" s="40"/>
      <c r="G39" s="40"/>
      <c r="H39" s="42"/>
      <c r="I39" s="78"/>
      <c r="J39" s="40"/>
    </row>
    <row r="40" spans="1:15">
      <c r="B40" s="40"/>
      <c r="D40" s="40"/>
      <c r="E40" s="40"/>
      <c r="F40" s="40"/>
      <c r="G40" s="40"/>
      <c r="H40" s="40"/>
      <c r="I40" s="40"/>
      <c r="J40" s="40"/>
    </row>
    <row r="41" spans="1:15">
      <c r="C41" s="189"/>
      <c r="G41" s="130"/>
      <c r="H41" s="65"/>
    </row>
    <row r="42" spans="1:15">
      <c r="C42" s="189"/>
      <c r="G42" s="87"/>
    </row>
    <row r="43" spans="1:15">
      <c r="C43" s="189"/>
      <c r="J43" s="190"/>
    </row>
    <row r="44" spans="1:15">
      <c r="J44" s="190"/>
    </row>
    <row r="57" spans="2:9">
      <c r="B57" s="34"/>
      <c r="C57" s="34"/>
      <c r="D57" s="34"/>
      <c r="E57" s="34"/>
      <c r="F57" s="34"/>
      <c r="G57" s="34"/>
      <c r="H57" s="34"/>
      <c r="I57" s="34"/>
    </row>
    <row r="58" spans="2:9">
      <c r="B58" s="34"/>
      <c r="C58" s="34"/>
      <c r="D58" s="34"/>
      <c r="E58" s="34"/>
      <c r="F58" s="34"/>
      <c r="G58" s="34"/>
      <c r="H58" s="34"/>
      <c r="I58" s="34"/>
    </row>
    <row r="59" spans="2:9">
      <c r="B59" s="34"/>
      <c r="C59" s="34"/>
      <c r="D59" s="34"/>
      <c r="E59" s="34"/>
      <c r="F59" s="34"/>
      <c r="G59" s="34"/>
      <c r="H59" s="34"/>
      <c r="I59" s="34"/>
    </row>
    <row r="60" spans="2:9">
      <c r="B60" s="34"/>
      <c r="C60" s="34"/>
      <c r="D60" s="34"/>
      <c r="E60" s="34"/>
      <c r="F60" s="34"/>
      <c r="G60" s="34"/>
      <c r="H60" s="34"/>
      <c r="I60" s="34"/>
    </row>
    <row r="61" spans="2:9">
      <c r="B61" s="34"/>
      <c r="C61" s="34"/>
      <c r="D61" s="34"/>
      <c r="E61" s="34"/>
      <c r="F61" s="34"/>
      <c r="G61" s="34"/>
      <c r="H61" s="34"/>
      <c r="I61" s="34"/>
    </row>
    <row r="62" spans="2:9">
      <c r="B62" s="34"/>
      <c r="C62" s="34"/>
      <c r="D62" s="34"/>
      <c r="E62" s="34"/>
      <c r="F62" s="34"/>
      <c r="G62" s="34"/>
      <c r="H62" s="34"/>
      <c r="I62" s="34"/>
    </row>
    <row r="63" spans="2:9">
      <c r="B63" s="34"/>
      <c r="C63" s="34"/>
      <c r="D63" s="34"/>
      <c r="E63" s="34"/>
      <c r="F63" s="34"/>
      <c r="G63" s="34"/>
      <c r="H63" s="34"/>
      <c r="I63" s="34"/>
    </row>
    <row r="64" spans="2:9">
      <c r="B64" s="34"/>
      <c r="C64" s="34"/>
      <c r="D64" s="34"/>
      <c r="E64" s="34"/>
      <c r="F64" s="34"/>
      <c r="G64" s="34"/>
      <c r="H64" s="34"/>
      <c r="I64" s="34"/>
    </row>
    <row r="65" spans="2:9">
      <c r="B65" s="34"/>
      <c r="C65" s="34"/>
      <c r="D65" s="34"/>
      <c r="E65" s="34"/>
      <c r="F65" s="34"/>
      <c r="G65" s="34"/>
      <c r="H65" s="34"/>
      <c r="I65" s="34"/>
    </row>
    <row r="66" spans="2:9">
      <c r="B66" s="34"/>
      <c r="C66" s="34"/>
      <c r="D66" s="34"/>
      <c r="E66" s="34"/>
      <c r="F66" s="34"/>
      <c r="G66" s="34"/>
      <c r="H66" s="34"/>
      <c r="I66" s="34"/>
    </row>
    <row r="67" spans="2:9">
      <c r="B67" s="34"/>
      <c r="C67" s="34"/>
      <c r="D67" s="34"/>
      <c r="E67" s="34"/>
      <c r="F67" s="34"/>
      <c r="G67" s="34"/>
      <c r="H67" s="34"/>
      <c r="I67" s="34"/>
    </row>
  </sheetData>
  <mergeCells count="3">
    <mergeCell ref="G2:I2"/>
    <mergeCell ref="B5:J5"/>
    <mergeCell ref="B2:E2"/>
  </mergeCells>
  <phoneticPr fontId="61" type="noConversion"/>
  <pageMargins left="0.75" right="0.75" top="1" bottom="1" header="0.5" footer="0.5"/>
  <pageSetup scale="7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T63"/>
  <sheetViews>
    <sheetView showGridLines="0" zoomScale="70" zoomScaleNormal="70" workbookViewId="0">
      <pane xSplit="1" ySplit="1" topLeftCell="B4" activePane="bottomRight" state="frozen"/>
      <selection pane="topRight" activeCell="B1" sqref="B1"/>
      <selection pane="bottomLeft" activeCell="B1" sqref="B1"/>
      <selection pane="bottomRight"/>
    </sheetView>
  </sheetViews>
  <sheetFormatPr defaultColWidth="9.33203125" defaultRowHeight="13.2"/>
  <cols>
    <col min="1" max="1" width="15.44140625" customWidth="1"/>
    <col min="2" max="2" width="12.44140625" bestFit="1" customWidth="1"/>
    <col min="3" max="3" width="14.88671875" bestFit="1" customWidth="1"/>
    <col min="4" max="4" width="11" bestFit="1" customWidth="1"/>
    <col min="5" max="5" width="12.44140625" customWidth="1"/>
    <col min="6" max="6" width="3.5546875" customWidth="1"/>
    <col min="7" max="7" width="11.5546875" bestFit="1" customWidth="1"/>
    <col min="8" max="8" width="12.44140625" customWidth="1"/>
    <col min="9" max="9" width="12.5546875" customWidth="1"/>
    <col min="10" max="10" width="9.5546875" bestFit="1" customWidth="1"/>
    <col min="11" max="11" width="11.5546875" bestFit="1" customWidth="1"/>
    <col min="12" max="12" width="12.5546875" bestFit="1" customWidth="1"/>
    <col min="13" max="13" width="11.5546875" bestFit="1" customWidth="1"/>
    <col min="14" max="14" width="11.33203125" customWidth="1"/>
  </cols>
  <sheetData>
    <row r="1" spans="1:20" ht="13.8">
      <c r="A1" s="14" t="s">
        <v>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0" ht="13.8">
      <c r="A2" s="15"/>
      <c r="B2" s="207" t="s">
        <v>58</v>
      </c>
      <c r="C2" s="207"/>
      <c r="D2" s="207"/>
      <c r="E2" s="207"/>
      <c r="F2" s="15"/>
      <c r="G2" s="207" t="s">
        <v>59</v>
      </c>
      <c r="H2" s="207"/>
      <c r="I2" s="207"/>
      <c r="J2" s="167"/>
      <c r="K2" s="167"/>
      <c r="L2" s="15"/>
    </row>
    <row r="3" spans="1:20" ht="13.8">
      <c r="A3" s="15" t="s">
        <v>18</v>
      </c>
      <c r="B3" s="17" t="s">
        <v>69</v>
      </c>
      <c r="C3" s="17" t="s">
        <v>27</v>
      </c>
      <c r="D3" s="17" t="s">
        <v>70</v>
      </c>
      <c r="E3" s="17" t="s">
        <v>63</v>
      </c>
      <c r="F3" s="17"/>
      <c r="G3" s="167" t="s">
        <v>64</v>
      </c>
      <c r="H3" s="167"/>
      <c r="I3" s="167"/>
      <c r="J3" s="17" t="s">
        <v>71</v>
      </c>
      <c r="K3" s="17" t="s">
        <v>63</v>
      </c>
      <c r="L3" s="17" t="s">
        <v>60</v>
      </c>
    </row>
    <row r="4" spans="1:20" ht="16.2">
      <c r="A4" s="21" t="s">
        <v>61</v>
      </c>
      <c r="B4" s="23" t="s">
        <v>62</v>
      </c>
      <c r="C4" s="24"/>
      <c r="D4" s="24"/>
      <c r="E4" s="24"/>
      <c r="F4" s="24"/>
      <c r="G4" s="23" t="s">
        <v>29</v>
      </c>
      <c r="H4" s="23" t="s">
        <v>72</v>
      </c>
      <c r="I4" s="23" t="s">
        <v>73</v>
      </c>
      <c r="J4" s="24"/>
      <c r="K4" s="24"/>
      <c r="L4" s="17" t="s">
        <v>66</v>
      </c>
    </row>
    <row r="5" spans="1:20" ht="14.4">
      <c r="A5" s="15"/>
      <c r="B5" s="209" t="s">
        <v>74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20" ht="16.2">
      <c r="A6" s="15" t="s">
        <v>75</v>
      </c>
      <c r="B6" s="38">
        <v>1607.0719999999999</v>
      </c>
      <c r="C6" s="38">
        <f>C23</f>
        <v>27092.798000000003</v>
      </c>
      <c r="D6" s="166">
        <f>D23</f>
        <v>620.70845809140008</v>
      </c>
      <c r="E6" s="38">
        <f>SUM(B6:D6)</f>
        <v>29320.578458091404</v>
      </c>
      <c r="F6" s="38"/>
      <c r="G6" s="38">
        <f>K6-J6</f>
        <v>27152.951218589606</v>
      </c>
      <c r="H6" s="38">
        <f>H23</f>
        <v>12994.6476284193</v>
      </c>
      <c r="I6" s="111">
        <f>G6-H6</f>
        <v>14158.303590170306</v>
      </c>
      <c r="J6" s="38">
        <f>J23</f>
        <v>616.76923950180003</v>
      </c>
      <c r="K6" s="38">
        <f>E6-L6</f>
        <v>27769.720458091404</v>
      </c>
      <c r="L6" s="38">
        <f>L22</f>
        <v>1550.8580000000002</v>
      </c>
    </row>
    <row r="7" spans="1:20" ht="16.2">
      <c r="A7" s="15" t="s">
        <v>76</v>
      </c>
      <c r="B7" s="38">
        <f>L6</f>
        <v>1550.8580000000002</v>
      </c>
      <c r="C7" s="38">
        <v>28985</v>
      </c>
      <c r="D7" s="166">
        <v>375</v>
      </c>
      <c r="E7" s="38">
        <f>SUM(B7:D7)</f>
        <v>30910.858</v>
      </c>
      <c r="F7" s="38"/>
      <c r="G7" s="38">
        <f>H7+I7</f>
        <v>26850</v>
      </c>
      <c r="H7" s="38">
        <v>12250</v>
      </c>
      <c r="I7" s="111">
        <v>14600</v>
      </c>
      <c r="J7" s="38">
        <v>2500</v>
      </c>
      <c r="K7" s="38">
        <f>G7+J7</f>
        <v>29350</v>
      </c>
      <c r="L7" s="38">
        <f>E7-K7</f>
        <v>1560.8580000000002</v>
      </c>
      <c r="M7" s="121"/>
      <c r="N7" s="121"/>
      <c r="O7" s="121"/>
      <c r="P7" s="121"/>
      <c r="Q7" s="121"/>
      <c r="R7" s="121"/>
      <c r="S7" s="121"/>
      <c r="T7" s="121"/>
    </row>
    <row r="8" spans="1:20" ht="16.2">
      <c r="A8" s="15" t="s">
        <v>37</v>
      </c>
      <c r="B8" s="38">
        <f>L7</f>
        <v>1560.8580000000002</v>
      </c>
      <c r="C8" s="38">
        <v>30150</v>
      </c>
      <c r="D8" s="166">
        <v>375</v>
      </c>
      <c r="E8" s="38">
        <f>SUM(B8:D8)</f>
        <v>32085.858</v>
      </c>
      <c r="F8" s="38"/>
      <c r="G8" s="38">
        <f>H8+I8</f>
        <v>29650</v>
      </c>
      <c r="H8" s="38">
        <v>15500</v>
      </c>
      <c r="I8" s="111">
        <v>14150</v>
      </c>
      <c r="J8" s="38">
        <v>700</v>
      </c>
      <c r="K8" s="38">
        <f>G8+J8</f>
        <v>30350</v>
      </c>
      <c r="L8" s="38">
        <f>E8-K8</f>
        <v>1735.8580000000002</v>
      </c>
    </row>
    <row r="9" spans="1:20" ht="13.8">
      <c r="A9" s="15"/>
      <c r="B9" s="38"/>
      <c r="C9" s="38"/>
      <c r="D9" s="38"/>
      <c r="E9" s="38"/>
      <c r="F9" s="38"/>
      <c r="G9" s="38"/>
      <c r="H9" s="38"/>
      <c r="I9" s="75"/>
      <c r="J9" s="38"/>
      <c r="K9" s="38"/>
      <c r="L9" s="38"/>
    </row>
    <row r="10" spans="1:20" ht="13.8">
      <c r="A10" s="30" t="s">
        <v>35</v>
      </c>
      <c r="B10" s="5"/>
      <c r="C10" s="6"/>
      <c r="D10" s="6"/>
      <c r="E10" s="6"/>
      <c r="F10" s="5"/>
      <c r="G10" s="5"/>
      <c r="H10" s="6"/>
      <c r="I10" s="6"/>
      <c r="J10" s="6"/>
      <c r="K10" s="5"/>
      <c r="L10" s="5"/>
    </row>
    <row r="11" spans="1:20" ht="13.8">
      <c r="A11" s="15" t="s">
        <v>39</v>
      </c>
      <c r="B11" s="5">
        <v>1607.0719999999999</v>
      </c>
      <c r="C11" s="6">
        <v>2375.654</v>
      </c>
      <c r="D11" s="6">
        <f>(20588.3*2204.622)/1000000</f>
        <v>45.389419122599996</v>
      </c>
      <c r="E11" s="6">
        <f t="shared" ref="E11:E22" si="0">SUM(B11:D11)</f>
        <v>4028.1154191225996</v>
      </c>
      <c r="F11" s="5"/>
      <c r="G11" s="5">
        <f>K11-J11</f>
        <v>2513.5540054601997</v>
      </c>
      <c r="H11" s="118">
        <v>1062.24</v>
      </c>
      <c r="I11" s="6">
        <f>G11-H11</f>
        <v>1451.3140054601997</v>
      </c>
      <c r="J11" s="6">
        <f>(5879.2*2204.622)/1000000</f>
        <v>12.961413662399998</v>
      </c>
      <c r="K11" s="6">
        <f>E11-L11</f>
        <v>2526.5154191225997</v>
      </c>
      <c r="L11" s="5">
        <v>1501.6</v>
      </c>
      <c r="M11" s="115"/>
      <c r="N11" s="83"/>
      <c r="P11" s="34"/>
    </row>
    <row r="12" spans="1:20" ht="13.8">
      <c r="A12" s="15" t="s">
        <v>40</v>
      </c>
      <c r="B12" s="5">
        <f>L11</f>
        <v>1501.6</v>
      </c>
      <c r="C12" s="6">
        <v>2324.6680000000001</v>
      </c>
      <c r="D12" s="6">
        <f>(16757.1*2204.622)/1000000</f>
        <v>36.943071316199998</v>
      </c>
      <c r="E12" s="6">
        <f t="shared" si="0"/>
        <v>3863.2110713162001</v>
      </c>
      <c r="F12" s="5"/>
      <c r="G12" s="5">
        <f t="shared" ref="G12:G22" si="1">K12-J12</f>
        <v>2250.4175343679999</v>
      </c>
      <c r="H12" s="118">
        <v>1064.6769999999999</v>
      </c>
      <c r="I12" s="6">
        <f t="shared" ref="I12:I22" si="2">G12-H12</f>
        <v>1185.740534368</v>
      </c>
      <c r="J12" s="6">
        <f>(6213.1*2204.622)/1000000</f>
        <v>13.6975369482</v>
      </c>
      <c r="K12" s="6">
        <f t="shared" ref="K12:K22" si="3">E12-L12</f>
        <v>2264.1150713162001</v>
      </c>
      <c r="L12" s="5">
        <v>1599.096</v>
      </c>
      <c r="M12" s="115"/>
      <c r="N12" s="83"/>
      <c r="P12" s="34"/>
    </row>
    <row r="13" spans="1:20" ht="13.8">
      <c r="A13" s="15" t="s">
        <v>42</v>
      </c>
      <c r="B13" s="5">
        <f t="shared" ref="B13:B21" si="4">L12</f>
        <v>1599.096</v>
      </c>
      <c r="C13" s="6">
        <v>2376.2370000000001</v>
      </c>
      <c r="D13" s="6">
        <f>(21905.7*2204.622)/1000000</f>
        <v>48.293788145399994</v>
      </c>
      <c r="E13" s="6">
        <f t="shared" si="0"/>
        <v>4023.6267881454</v>
      </c>
      <c r="F13" s="5"/>
      <c r="G13" s="5">
        <f t="shared" si="1"/>
        <v>2186.9788636947997</v>
      </c>
      <c r="H13" s="118">
        <v>1141.8816284192999</v>
      </c>
      <c r="I13" s="6">
        <f t="shared" si="2"/>
        <v>1045.0972352754998</v>
      </c>
      <c r="J13" s="6">
        <f>(5812.3*2204.622)/1000000</f>
        <v>12.8139244506</v>
      </c>
      <c r="K13" s="6">
        <f t="shared" si="3"/>
        <v>2199.7927881453998</v>
      </c>
      <c r="L13" s="5">
        <v>1823.8340000000001</v>
      </c>
      <c r="M13" s="115"/>
      <c r="N13" s="83"/>
      <c r="P13" s="34"/>
    </row>
    <row r="14" spans="1:20" ht="13.8">
      <c r="A14" s="15" t="s">
        <v>43</v>
      </c>
      <c r="B14" s="5">
        <f t="shared" si="4"/>
        <v>1823.8340000000001</v>
      </c>
      <c r="C14" s="6">
        <v>2282.3240000000001</v>
      </c>
      <c r="D14" s="6">
        <f>(22997.3*2204.622)/1000000</f>
        <v>50.70035352059999</v>
      </c>
      <c r="E14" s="6">
        <f t="shared" si="0"/>
        <v>4156.8583535206008</v>
      </c>
      <c r="F14" s="5"/>
      <c r="G14" s="5">
        <f t="shared" si="1"/>
        <v>2117.3029903782008</v>
      </c>
      <c r="H14" s="118">
        <v>957.18600000000004</v>
      </c>
      <c r="I14" s="6">
        <f t="shared" si="2"/>
        <v>1160.1169903782006</v>
      </c>
      <c r="J14" s="6">
        <f>(5219.2*2204.622)/1000000</f>
        <v>11.506363142399998</v>
      </c>
      <c r="K14" s="6">
        <f t="shared" si="3"/>
        <v>2128.8093535206008</v>
      </c>
      <c r="L14" s="5">
        <v>2028.049</v>
      </c>
      <c r="M14" s="134"/>
      <c r="N14" s="83"/>
      <c r="O14" s="65"/>
      <c r="P14" s="34"/>
    </row>
    <row r="15" spans="1:20" ht="13.8">
      <c r="A15" s="15" t="s">
        <v>44</v>
      </c>
      <c r="B15" s="5">
        <f t="shared" si="4"/>
        <v>2028.049</v>
      </c>
      <c r="C15" s="6">
        <v>2288.2179999999998</v>
      </c>
      <c r="D15" s="6">
        <f>(15959.7*2204.622)/1000000</f>
        <v>35.1851057334</v>
      </c>
      <c r="E15" s="6">
        <f t="shared" si="0"/>
        <v>4351.4521057333995</v>
      </c>
      <c r="F15" s="5"/>
      <c r="G15" s="5">
        <f t="shared" si="1"/>
        <v>2190.4728978283993</v>
      </c>
      <c r="H15" s="118">
        <v>891.35900000000004</v>
      </c>
      <c r="I15" s="6">
        <f t="shared" si="2"/>
        <v>1299.1138978283993</v>
      </c>
      <c r="J15" s="6">
        <f>(6427.5*2204.622)/1000000</f>
        <v>14.170207905</v>
      </c>
      <c r="K15" s="6">
        <f t="shared" si="3"/>
        <v>2204.6431057333994</v>
      </c>
      <c r="L15" s="5">
        <v>2146.8090000000002</v>
      </c>
      <c r="M15" s="134"/>
      <c r="N15" s="83"/>
      <c r="O15" s="65"/>
      <c r="P15" s="34"/>
    </row>
    <row r="16" spans="1:20" ht="13.8">
      <c r="A16" s="15" t="s">
        <v>46</v>
      </c>
      <c r="B16" s="5">
        <f t="shared" si="4"/>
        <v>2146.8090000000002</v>
      </c>
      <c r="C16" s="6">
        <v>2403.7959999999998</v>
      </c>
      <c r="D16" s="6">
        <f>(22601.9*2204.622)/1000000</f>
        <v>49.828645981799994</v>
      </c>
      <c r="E16" s="6">
        <f t="shared" si="0"/>
        <v>4600.4336459817996</v>
      </c>
      <c r="F16" s="5"/>
      <c r="G16" s="5">
        <f t="shared" si="1"/>
        <v>2133.1231698371994</v>
      </c>
      <c r="H16" s="118">
        <v>1028.8209999999999</v>
      </c>
      <c r="I16" s="6">
        <f t="shared" si="2"/>
        <v>1104.3021698371995</v>
      </c>
      <c r="J16" s="6">
        <f>(44789.3*2204.622)/1000000</f>
        <v>98.74347614460001</v>
      </c>
      <c r="K16" s="6">
        <f t="shared" si="3"/>
        <v>2231.8666459817996</v>
      </c>
      <c r="L16" s="5">
        <v>2368.567</v>
      </c>
      <c r="M16" s="134"/>
      <c r="N16" s="83"/>
      <c r="O16" s="65"/>
      <c r="P16" s="34"/>
    </row>
    <row r="17" spans="1:17" ht="13.8">
      <c r="A17" s="15" t="s">
        <v>47</v>
      </c>
      <c r="B17" s="5">
        <f t="shared" si="4"/>
        <v>2368.567</v>
      </c>
      <c r="C17" s="6">
        <v>2096.2080000000001</v>
      </c>
      <c r="D17" s="6">
        <f>(24996.9*2204.622)/1000000</f>
        <v>55.108715671800006</v>
      </c>
      <c r="E17" s="6">
        <f t="shared" si="0"/>
        <v>4519.8837156718</v>
      </c>
      <c r="F17" s="5"/>
      <c r="G17" s="5">
        <f t="shared" si="1"/>
        <v>2186.8431246112</v>
      </c>
      <c r="H17" s="118">
        <v>1062.7339999999999</v>
      </c>
      <c r="I17" s="6">
        <f t="shared" si="2"/>
        <v>1124.1091246112001</v>
      </c>
      <c r="J17" s="6">
        <f>(10067.3*2204.622)/1000000</f>
        <v>22.194591060599997</v>
      </c>
      <c r="K17" s="6">
        <f t="shared" si="3"/>
        <v>2209.0377156718</v>
      </c>
      <c r="L17" s="5">
        <v>2310.846</v>
      </c>
      <c r="M17" s="134"/>
      <c r="N17" s="83"/>
      <c r="O17" s="65"/>
      <c r="P17" s="34"/>
    </row>
    <row r="18" spans="1:17" ht="13.8">
      <c r="A18" s="15" t="s">
        <v>48</v>
      </c>
      <c r="B18" s="5">
        <f t="shared" si="4"/>
        <v>2310.846</v>
      </c>
      <c r="C18" s="6">
        <v>2267.1660000000002</v>
      </c>
      <c r="D18" s="6">
        <f>(40376.9*2204.622)/1000000</f>
        <v>89.015802031800007</v>
      </c>
      <c r="E18" s="6">
        <f t="shared" si="0"/>
        <v>4667.027802031801</v>
      </c>
      <c r="F18" s="5"/>
      <c r="G18" s="5">
        <f t="shared" si="1"/>
        <v>2385.3173101740008</v>
      </c>
      <c r="H18" s="118">
        <v>1082.817</v>
      </c>
      <c r="I18" s="6">
        <f t="shared" si="2"/>
        <v>1302.5003101740008</v>
      </c>
      <c r="J18" s="6">
        <f>(42559.9*2204.622)/1000000</f>
        <v>93.828491857799989</v>
      </c>
      <c r="K18" s="6">
        <f t="shared" si="3"/>
        <v>2479.1458020318009</v>
      </c>
      <c r="L18" s="5">
        <v>2187.8820000000001</v>
      </c>
      <c r="M18" s="134"/>
      <c r="N18" s="83"/>
      <c r="O18" s="65"/>
      <c r="P18" s="34"/>
    </row>
    <row r="19" spans="1:17" ht="13.8">
      <c r="A19" s="15" t="s">
        <v>50</v>
      </c>
      <c r="B19" s="5">
        <f t="shared" si="4"/>
        <v>2187.8820000000001</v>
      </c>
      <c r="C19" s="6">
        <v>2182.25</v>
      </c>
      <c r="D19" s="6">
        <f>(45967.2*2204.622)/1000000</f>
        <v>101.34030039839999</v>
      </c>
      <c r="E19" s="6">
        <f t="shared" si="0"/>
        <v>4471.4723003984</v>
      </c>
      <c r="F19" s="5"/>
      <c r="G19" s="5">
        <f t="shared" si="1"/>
        <v>2231.2033797160002</v>
      </c>
      <c r="H19" s="118">
        <v>1270.4580000000001</v>
      </c>
      <c r="I19" s="6">
        <f t="shared" si="2"/>
        <v>960.74537971600012</v>
      </c>
      <c r="J19" s="6">
        <f>(52289.2*2204.622)/1000000</f>
        <v>115.27792068239999</v>
      </c>
      <c r="K19" s="6">
        <f t="shared" si="3"/>
        <v>2346.4813003984</v>
      </c>
      <c r="L19" s="5">
        <v>2124.991</v>
      </c>
      <c r="M19" s="134"/>
      <c r="N19" s="83"/>
      <c r="O19" s="65"/>
      <c r="P19" s="34"/>
    </row>
    <row r="20" spans="1:17" ht="13.8">
      <c r="A20" s="15" t="s">
        <v>51</v>
      </c>
      <c r="B20" s="5">
        <f t="shared" si="4"/>
        <v>2124.991</v>
      </c>
      <c r="C20" s="6">
        <v>2303.0819999999999</v>
      </c>
      <c r="D20" s="6">
        <f>(33102.1*2204.622)/1000000</f>
        <v>72.977617906199995</v>
      </c>
      <c r="E20" s="6">
        <f t="shared" si="0"/>
        <v>4501.0506179062004</v>
      </c>
      <c r="F20" s="5"/>
      <c r="G20" s="5">
        <f t="shared" si="1"/>
        <v>2395.4132623784008</v>
      </c>
      <c r="H20" s="118">
        <v>1139.1510000000001</v>
      </c>
      <c r="I20" s="6">
        <f t="shared" si="2"/>
        <v>1256.2622623784007</v>
      </c>
      <c r="J20" s="6">
        <f>(44044.9*2204.622)/1000000</f>
        <v>97.1023555278</v>
      </c>
      <c r="K20" s="6">
        <f t="shared" si="3"/>
        <v>2492.5156179062005</v>
      </c>
      <c r="L20" s="5">
        <v>2008.5349999999999</v>
      </c>
      <c r="M20" s="134"/>
      <c r="N20" s="83"/>
      <c r="O20" s="65"/>
      <c r="P20" s="34"/>
    </row>
    <row r="21" spans="1:17" ht="13.8">
      <c r="A21" s="15" t="s">
        <v>52</v>
      </c>
      <c r="B21" s="5">
        <f t="shared" si="4"/>
        <v>2008.5349999999999</v>
      </c>
      <c r="C21" s="97">
        <v>1991.846</v>
      </c>
      <c r="D21" s="6">
        <f>(6929.9*2204.622)/1000000</f>
        <v>15.277809997799999</v>
      </c>
      <c r="E21" s="6">
        <f t="shared" si="0"/>
        <v>4015.6588099977998</v>
      </c>
      <c r="F21" s="5"/>
      <c r="G21" s="5">
        <f t="shared" si="1"/>
        <v>2322.1978709407999</v>
      </c>
      <c r="H21" s="118">
        <v>1217.0319999999999</v>
      </c>
      <c r="I21" s="6">
        <f t="shared" si="2"/>
        <v>1105.1658709408</v>
      </c>
      <c r="J21" s="6">
        <f>(29043.5*2204.622)/1000000</f>
        <v>64.029939056999993</v>
      </c>
      <c r="K21" s="6">
        <f t="shared" si="3"/>
        <v>2386.2278099977998</v>
      </c>
      <c r="L21" s="5">
        <v>1629.431</v>
      </c>
      <c r="M21" s="134"/>
      <c r="N21" s="83"/>
      <c r="O21" s="65"/>
      <c r="P21" s="34"/>
    </row>
    <row r="22" spans="1:17" ht="13.8">
      <c r="A22" s="15" t="s">
        <v>38</v>
      </c>
      <c r="B22" s="5">
        <v>1629.431</v>
      </c>
      <c r="C22" s="97">
        <v>2201.3490000000002</v>
      </c>
      <c r="D22" s="6">
        <f>(9365.6*2204.622)/1000000</f>
        <v>20.6476078032</v>
      </c>
      <c r="E22" s="6">
        <f t="shared" si="0"/>
        <v>3851.4276078032003</v>
      </c>
      <c r="F22" s="5"/>
      <c r="G22" s="5">
        <f t="shared" si="1"/>
        <v>2240.2145531579999</v>
      </c>
      <c r="H22" s="118">
        <v>1076.2909999999999</v>
      </c>
      <c r="I22" s="6">
        <f t="shared" si="2"/>
        <v>1163.923553158</v>
      </c>
      <c r="J22" s="6">
        <f>(27376.6*2204.622)/1000000</f>
        <v>60.355054645199992</v>
      </c>
      <c r="K22" s="6">
        <f t="shared" si="3"/>
        <v>2300.5696078032001</v>
      </c>
      <c r="L22" s="5">
        <v>1550.8580000000002</v>
      </c>
      <c r="M22" s="134"/>
      <c r="N22" s="83"/>
      <c r="O22" s="65"/>
      <c r="P22" s="34"/>
    </row>
    <row r="23" spans="1:17" ht="13.8">
      <c r="A23" s="15" t="s">
        <v>29</v>
      </c>
      <c r="B23" s="5"/>
      <c r="C23" s="97">
        <f>SUM(C11:C22)</f>
        <v>27092.798000000003</v>
      </c>
      <c r="D23" s="6">
        <f>(281548.7*2204.622)/1000000</f>
        <v>620.70845809140008</v>
      </c>
      <c r="E23" s="6">
        <f>B11+C23+D23</f>
        <v>29320.578458091404</v>
      </c>
      <c r="F23" s="5"/>
      <c r="G23" s="5">
        <f>K23-J23</f>
        <v>27152.950998127406</v>
      </c>
      <c r="H23" s="118">
        <f>SUM(H11:H22)</f>
        <v>12994.6476284193</v>
      </c>
      <c r="I23" s="99">
        <f>G23-H23</f>
        <v>14158.303369708106</v>
      </c>
      <c r="J23" s="6">
        <f>(279761.9*2204.622)/1000000</f>
        <v>616.76923950180003</v>
      </c>
      <c r="K23" s="6">
        <f>SUM(K11:K22)</f>
        <v>27769.720237629204</v>
      </c>
      <c r="L23" s="5"/>
      <c r="O23" s="189"/>
      <c r="P23" s="34"/>
    </row>
    <row r="24" spans="1:17" ht="15">
      <c r="A24" s="15"/>
      <c r="B24" s="5"/>
      <c r="C24" s="6"/>
      <c r="D24" s="6"/>
      <c r="E24" s="6"/>
      <c r="F24" s="5"/>
      <c r="G24" s="5"/>
      <c r="H24" s="6"/>
      <c r="I24" s="6"/>
      <c r="J24" s="6"/>
      <c r="K24" s="5"/>
      <c r="L24" s="5"/>
      <c r="N24" s="146"/>
      <c r="O24" s="189"/>
      <c r="P24" s="34"/>
    </row>
    <row r="25" spans="1:17" ht="13.8">
      <c r="A25" s="30" t="s">
        <v>54</v>
      </c>
      <c r="B25" s="5"/>
      <c r="C25" s="6"/>
      <c r="D25" s="6"/>
      <c r="E25" s="6"/>
      <c r="F25" s="5"/>
      <c r="G25" s="5"/>
      <c r="H25" s="6"/>
      <c r="I25" s="6"/>
      <c r="J25" s="6"/>
      <c r="K25" s="5"/>
      <c r="L25" s="5"/>
      <c r="O25" s="189"/>
      <c r="P25" s="34"/>
    </row>
    <row r="26" spans="1:17" ht="13.8">
      <c r="A26" s="15" t="s">
        <v>39</v>
      </c>
      <c r="B26" s="5">
        <f>L22</f>
        <v>1550.8580000000002</v>
      </c>
      <c r="C26" s="6">
        <v>2543.453</v>
      </c>
      <c r="D26" s="6">
        <f>(13180.2*2204.622)/1000000</f>
        <v>29.057358884399999</v>
      </c>
      <c r="E26" s="6">
        <f t="shared" ref="E26:E31" si="5">SUM(B26:D26)</f>
        <v>4123.3683588844005</v>
      </c>
      <c r="F26" s="5"/>
      <c r="G26" s="5">
        <f t="shared" ref="G26:G31" si="6">K26-J26</f>
        <v>2501.2259029592005</v>
      </c>
      <c r="H26" s="191">
        <v>1231.5440000000001</v>
      </c>
      <c r="I26" s="6">
        <f>G26-H26</f>
        <v>1269.6819029592004</v>
      </c>
      <c r="J26" s="6">
        <f>(13616.6*2204.622)/1000000</f>
        <v>30.019455925199999</v>
      </c>
      <c r="K26" s="6">
        <f t="shared" ref="K26:K31" si="7">E26-L26</f>
        <v>2531.2453588844005</v>
      </c>
      <c r="L26" s="6">
        <v>1592.123</v>
      </c>
      <c r="N26" s="34"/>
      <c r="O26" s="189"/>
      <c r="P26" s="34"/>
    </row>
    <row r="27" spans="1:17" ht="13.8">
      <c r="A27" s="15" t="s">
        <v>40</v>
      </c>
      <c r="B27" s="5">
        <f t="shared" ref="B27:B32" si="8">L26</f>
        <v>1592.123</v>
      </c>
      <c r="C27" s="6">
        <v>2489.9409999999998</v>
      </c>
      <c r="D27" s="99">
        <f>(30584.4*2204.622)/1000000</f>
        <v>67.427041096799996</v>
      </c>
      <c r="E27" s="99">
        <f t="shared" si="5"/>
        <v>4149.4910410967996</v>
      </c>
      <c r="F27" s="5"/>
      <c r="G27" s="75">
        <f t="shared" si="6"/>
        <v>2402.7585652577995</v>
      </c>
      <c r="H27" s="191">
        <v>1196.578</v>
      </c>
      <c r="I27" s="99">
        <f t="shared" ref="I27:I32" si="9">G27-H27</f>
        <v>1206.1805652577996</v>
      </c>
      <c r="J27" s="99">
        <f>(58324.5*2204.622)/1000000</f>
        <v>128.58347583899999</v>
      </c>
      <c r="K27" s="99">
        <f t="shared" si="7"/>
        <v>2531.3420410967997</v>
      </c>
      <c r="L27" s="6">
        <v>1618.1489999999999</v>
      </c>
      <c r="N27" s="34"/>
      <c r="O27" s="189"/>
      <c r="P27" s="34"/>
    </row>
    <row r="28" spans="1:17" ht="13.8">
      <c r="A28" s="15" t="s">
        <v>42</v>
      </c>
      <c r="B28" s="5">
        <f t="shared" si="8"/>
        <v>1618.1489999999999</v>
      </c>
      <c r="C28" s="6">
        <v>2572.6219999999998</v>
      </c>
      <c r="D28" s="99">
        <f>(12365.1*2204.622)/1000000</f>
        <v>27.260371492199997</v>
      </c>
      <c r="E28" s="99">
        <f t="shared" si="5"/>
        <v>4218.0313714921995</v>
      </c>
      <c r="F28" s="75"/>
      <c r="G28" s="75">
        <f t="shared" si="6"/>
        <v>2251.2077308781995</v>
      </c>
      <c r="H28" s="191">
        <v>1166.152</v>
      </c>
      <c r="I28" s="136">
        <f t="shared" si="9"/>
        <v>1085.0557308781995</v>
      </c>
      <c r="J28" s="99">
        <f>(126837*2204.622)/1000000</f>
        <v>279.62764061399997</v>
      </c>
      <c r="K28" s="99">
        <f t="shared" si="7"/>
        <v>2530.8353714921996</v>
      </c>
      <c r="L28" s="6">
        <v>1687.1959999999999</v>
      </c>
      <c r="N28" s="34"/>
      <c r="O28" s="189"/>
      <c r="P28" s="34"/>
    </row>
    <row r="29" spans="1:17" ht="13.8">
      <c r="A29" s="15" t="s">
        <v>43</v>
      </c>
      <c r="B29" s="5">
        <f t="shared" si="8"/>
        <v>1687.1959999999999</v>
      </c>
      <c r="C29" s="6">
        <v>2526.6570000000002</v>
      </c>
      <c r="D29" s="99">
        <f>(13775.3*2204.622)/1000000</f>
        <v>30.369329436599998</v>
      </c>
      <c r="E29" s="99">
        <f t="shared" si="5"/>
        <v>4244.2223294366004</v>
      </c>
      <c r="F29" s="75"/>
      <c r="G29" s="75">
        <f t="shared" si="6"/>
        <v>1958.7118062530008</v>
      </c>
      <c r="H29" s="191">
        <v>654.25386278320002</v>
      </c>
      <c r="I29" s="136">
        <f t="shared" si="9"/>
        <v>1304.4579434698007</v>
      </c>
      <c r="J29" s="99">
        <f>(212713.8*2204.622)/1000000</f>
        <v>468.95352318359994</v>
      </c>
      <c r="K29" s="99">
        <f t="shared" si="7"/>
        <v>2427.6653294366006</v>
      </c>
      <c r="L29" s="6">
        <v>1816.557</v>
      </c>
      <c r="N29" s="34"/>
      <c r="O29" s="189"/>
      <c r="P29" s="34"/>
    </row>
    <row r="30" spans="1:17" s="122" customFormat="1" ht="13.8">
      <c r="A30" s="117" t="s">
        <v>44</v>
      </c>
      <c r="B30" s="143">
        <f t="shared" si="8"/>
        <v>1816.557</v>
      </c>
      <c r="C30" s="101">
        <v>2245.19</v>
      </c>
      <c r="D30" s="99">
        <f>(11981.2*2204.622)/1000000</f>
        <v>26.414017106399999</v>
      </c>
      <c r="E30" s="136">
        <f t="shared" si="5"/>
        <v>4088.1610171064003</v>
      </c>
      <c r="F30" s="144"/>
      <c r="G30" s="144">
        <f t="shared" si="6"/>
        <v>1864.1661514552004</v>
      </c>
      <c r="H30" s="191">
        <v>576</v>
      </c>
      <c r="I30" s="99">
        <f t="shared" si="9"/>
        <v>1288.1661514552004</v>
      </c>
      <c r="J30" s="99">
        <f>(136249.6*2204.622)/1000000</f>
        <v>300.37886565119999</v>
      </c>
      <c r="K30" s="136">
        <f t="shared" si="7"/>
        <v>2164.5450171064003</v>
      </c>
      <c r="L30" s="6">
        <v>1923.616</v>
      </c>
      <c r="N30" s="139"/>
      <c r="O30" s="189"/>
      <c r="P30" s="34"/>
      <c r="Q30"/>
    </row>
    <row r="31" spans="1:17" ht="13.8">
      <c r="A31" s="15" t="s">
        <v>46</v>
      </c>
      <c r="B31" s="5">
        <f t="shared" si="8"/>
        <v>1923.616</v>
      </c>
      <c r="C31" s="6">
        <v>2475.2069999999999</v>
      </c>
      <c r="D31" s="99">
        <f>(12692.6*2204.622)/1000000</f>
        <v>27.982385197199999</v>
      </c>
      <c r="E31" s="99">
        <f t="shared" si="5"/>
        <v>4426.8053851971999</v>
      </c>
      <c r="F31" s="75"/>
      <c r="G31" s="75">
        <f t="shared" si="6"/>
        <v>2003.3059631614001</v>
      </c>
      <c r="H31" s="191">
        <v>832.27700000000004</v>
      </c>
      <c r="I31" s="99">
        <f t="shared" si="9"/>
        <v>1171.0289631614</v>
      </c>
      <c r="J31" s="99">
        <f>(155958.9*2204.622)/1000000</f>
        <v>343.83042203579998</v>
      </c>
      <c r="K31" s="99">
        <f t="shared" si="7"/>
        <v>2347.1363851972001</v>
      </c>
      <c r="L31" s="6">
        <v>2079.6689999999999</v>
      </c>
      <c r="N31" s="34"/>
      <c r="O31" s="189"/>
      <c r="P31" s="34"/>
    </row>
    <row r="32" spans="1:17" ht="13.8">
      <c r="A32" s="15" t="s">
        <v>47</v>
      </c>
      <c r="B32" s="5">
        <f t="shared" si="8"/>
        <v>2079.6689999999999</v>
      </c>
      <c r="C32" s="6">
        <v>2402.8789999999999</v>
      </c>
      <c r="D32" s="99">
        <f>(12042.9*2204.622)/1000000</f>
        <v>26.5500422838</v>
      </c>
      <c r="E32" s="99">
        <f>SUM(B32:D32)</f>
        <v>4509.0980422838002</v>
      </c>
      <c r="F32" s="75"/>
      <c r="G32" s="75">
        <f>K32-J32</f>
        <v>2182.6129131838002</v>
      </c>
      <c r="H32" s="191">
        <v>829.46</v>
      </c>
      <c r="I32" s="99">
        <f t="shared" si="9"/>
        <v>1353.1529131838001</v>
      </c>
      <c r="J32" s="99">
        <f>(159050*2204.622)/1000000</f>
        <v>350.64512909999996</v>
      </c>
      <c r="K32" s="99">
        <f>E32-L32</f>
        <v>2533.2580422838</v>
      </c>
      <c r="L32" s="6">
        <v>1975.84</v>
      </c>
      <c r="N32" s="34"/>
      <c r="P32" s="34"/>
    </row>
    <row r="33" spans="1:16" ht="13.8">
      <c r="A33" s="15" t="s">
        <v>48</v>
      </c>
      <c r="B33" s="5">
        <f>L32</f>
        <v>1975.84</v>
      </c>
      <c r="C33" s="6">
        <v>2415.5070000000001</v>
      </c>
      <c r="D33" s="99">
        <f>(14753*2204.622)/1000000</f>
        <v>32.524788365999996</v>
      </c>
      <c r="E33" s="99">
        <f>SUM(B33:D33)</f>
        <v>4423.8717883660001</v>
      </c>
      <c r="F33" s="75"/>
      <c r="G33" s="75">
        <f>K33-J33</f>
        <v>2234.2212434378002</v>
      </c>
      <c r="H33" s="191">
        <v>1024.8389999999999</v>
      </c>
      <c r="I33" s="99">
        <f>G33-H33</f>
        <v>1209.3822434378003</v>
      </c>
      <c r="J33" s="99">
        <f>(142303.1*2204.622)/1000000</f>
        <v>313.72454492820003</v>
      </c>
      <c r="K33" s="99">
        <f>E33-L33</f>
        <v>2547.9457883660002</v>
      </c>
      <c r="L33" s="6">
        <v>1875.9259999999999</v>
      </c>
      <c r="N33" s="34"/>
      <c r="P33" s="34"/>
    </row>
    <row r="34" spans="1:16" ht="13.8">
      <c r="A34" s="15" t="s">
        <v>50</v>
      </c>
      <c r="B34" s="5">
        <f>L33</f>
        <v>1875.9259999999999</v>
      </c>
      <c r="C34" s="6">
        <v>2349.1329999999998</v>
      </c>
      <c r="D34" s="99">
        <f>(12449.7*2204.622)/1000000</f>
        <v>27.446882513399999</v>
      </c>
      <c r="E34" s="99">
        <f>SUM(B34:D34)</f>
        <v>4252.5058825133992</v>
      </c>
      <c r="F34" s="75"/>
      <c r="G34" s="75">
        <f>K34-J34</f>
        <v>2265.0004825617993</v>
      </c>
      <c r="H34" s="191">
        <v>1044.633</v>
      </c>
      <c r="I34" s="99">
        <f>G34-H34</f>
        <v>1220.3674825617993</v>
      </c>
      <c r="J34" s="99">
        <f>(42457.8*2204.622)/1000000</f>
        <v>93.603399951599997</v>
      </c>
      <c r="K34" s="99">
        <f>E34-L34</f>
        <v>2358.6038825133992</v>
      </c>
      <c r="L34" s="6">
        <v>1893.902</v>
      </c>
      <c r="N34" s="34"/>
      <c r="P34" s="34"/>
    </row>
    <row r="35" spans="1:16" ht="13.8">
      <c r="A35" s="15" t="s">
        <v>51</v>
      </c>
      <c r="B35" s="5">
        <f>L34</f>
        <v>1893.902</v>
      </c>
      <c r="C35" s="6">
        <v>2431.8110000000001</v>
      </c>
      <c r="D35" s="99">
        <f>(12822.5*2204.622)/1000000</f>
        <v>28.268765594999998</v>
      </c>
      <c r="E35" s="99">
        <f>SUM(B35:D35)</f>
        <v>4353.9817655950001</v>
      </c>
      <c r="F35" s="75"/>
      <c r="G35" s="75">
        <f>K35-J35</f>
        <v>2417.2302754312</v>
      </c>
      <c r="H35" s="191" t="s">
        <v>77</v>
      </c>
      <c r="I35" s="99" t="s">
        <v>163</v>
      </c>
      <c r="J35" s="99">
        <f>(28582.9*2204.622)/1000000</f>
        <v>63.014490163799998</v>
      </c>
      <c r="K35" s="99">
        <f>E35-L35</f>
        <v>2480.244765595</v>
      </c>
      <c r="L35" s="6">
        <v>1873.7370000000001</v>
      </c>
      <c r="N35" s="34"/>
      <c r="P35" s="34"/>
    </row>
    <row r="36" spans="1:16" ht="16.2">
      <c r="A36" s="170" t="s">
        <v>158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6" ht="14.4">
      <c r="A37" s="15" t="s">
        <v>68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6" ht="13.8">
      <c r="A38" s="20" t="s">
        <v>57</v>
      </c>
      <c r="B38" s="36">
        <f>Contents!A18</f>
        <v>45916</v>
      </c>
      <c r="K38" s="34"/>
    </row>
    <row r="39" spans="1:16">
      <c r="E39" s="34"/>
    </row>
    <row r="40" spans="1:16">
      <c r="C40" s="131"/>
      <c r="D40" s="131"/>
      <c r="E40" s="132"/>
      <c r="F40" s="131"/>
      <c r="G40" s="131"/>
      <c r="H40" s="131"/>
      <c r="I40" s="131"/>
      <c r="J40" s="131"/>
      <c r="K40" s="133"/>
    </row>
    <row r="41" spans="1:16">
      <c r="C41" s="131"/>
      <c r="D41" s="131"/>
      <c r="E41" s="132"/>
      <c r="F41" s="131"/>
      <c r="G41" s="131"/>
      <c r="H41" s="131"/>
      <c r="I41" s="131"/>
      <c r="J41" s="131"/>
      <c r="K41" s="133"/>
    </row>
    <row r="42" spans="1:16">
      <c r="C42" s="131"/>
      <c r="D42" s="131"/>
      <c r="E42" s="132"/>
      <c r="F42" s="131"/>
      <c r="G42" s="131"/>
      <c r="H42" s="131"/>
      <c r="I42" s="131"/>
      <c r="J42" s="131"/>
      <c r="K42" s="133"/>
    </row>
    <row r="43" spans="1:16">
      <c r="C43" s="131"/>
      <c r="D43" s="131"/>
      <c r="E43" s="132"/>
      <c r="F43" s="131"/>
      <c r="G43" s="131"/>
      <c r="H43" s="131"/>
      <c r="I43" s="131"/>
      <c r="J43" s="131"/>
      <c r="K43" s="133"/>
    </row>
    <row r="44" spans="1:16">
      <c r="C44" s="131"/>
      <c r="D44" s="131"/>
      <c r="E44" s="132"/>
      <c r="F44" s="131"/>
      <c r="G44" s="131"/>
      <c r="H44" s="131"/>
      <c r="I44" s="131"/>
      <c r="J44" s="131"/>
      <c r="K44" s="133"/>
    </row>
    <row r="45" spans="1:16">
      <c r="C45" s="131"/>
      <c r="D45" s="131"/>
      <c r="E45" s="132"/>
      <c r="F45" s="131"/>
      <c r="G45" s="131"/>
      <c r="H45" s="131"/>
      <c r="I45" s="131"/>
      <c r="J45" s="131"/>
      <c r="K45" s="133"/>
    </row>
    <row r="46" spans="1:16">
      <c r="C46" s="131"/>
      <c r="D46" s="131"/>
      <c r="E46" s="132"/>
      <c r="F46" s="131"/>
      <c r="G46" s="131"/>
      <c r="H46" s="131"/>
      <c r="I46" s="131"/>
      <c r="J46" s="131"/>
      <c r="K46" s="133"/>
    </row>
    <row r="47" spans="1:16">
      <c r="C47" s="131"/>
      <c r="D47" s="131"/>
      <c r="E47" s="132"/>
      <c r="F47" s="131"/>
      <c r="G47" s="131"/>
      <c r="H47" s="131"/>
      <c r="I47" s="131"/>
      <c r="J47" s="131"/>
      <c r="K47" s="133"/>
    </row>
    <row r="48" spans="1:16">
      <c r="C48" s="131"/>
      <c r="D48" s="131"/>
      <c r="E48" s="132"/>
      <c r="F48" s="131"/>
      <c r="G48" s="131"/>
      <c r="H48" s="131"/>
      <c r="I48" s="131"/>
      <c r="J48" s="131"/>
      <c r="K48" s="133"/>
    </row>
    <row r="49" spans="3:11">
      <c r="C49" s="131"/>
      <c r="D49" s="131"/>
      <c r="E49" s="132"/>
      <c r="F49" s="131"/>
      <c r="G49" s="131"/>
      <c r="H49" s="131"/>
      <c r="I49" s="131"/>
      <c r="J49" s="131"/>
      <c r="K49" s="133"/>
    </row>
    <row r="50" spans="3:11">
      <c r="C50" s="131"/>
      <c r="D50" s="131"/>
      <c r="E50" s="132"/>
      <c r="F50" s="131"/>
      <c r="G50" s="131"/>
      <c r="H50" s="131"/>
      <c r="I50" s="131"/>
      <c r="J50" s="131"/>
      <c r="K50" s="133"/>
    </row>
    <row r="51" spans="3:11">
      <c r="C51" s="131"/>
      <c r="D51" s="131"/>
      <c r="E51" s="132"/>
      <c r="F51" s="131"/>
      <c r="G51" s="131"/>
      <c r="H51" s="131"/>
      <c r="I51" s="131"/>
      <c r="J51" s="131"/>
      <c r="K51" s="133"/>
    </row>
    <row r="53" spans="3:11">
      <c r="C53" s="34"/>
      <c r="D53" s="34"/>
      <c r="E53" s="34"/>
      <c r="F53" s="34"/>
      <c r="G53" s="34"/>
      <c r="H53" s="34"/>
      <c r="I53" s="34"/>
      <c r="J53" s="34"/>
      <c r="K53" s="34"/>
    </row>
    <row r="54" spans="3:11">
      <c r="C54" s="34"/>
      <c r="D54" s="34"/>
      <c r="E54" s="34"/>
      <c r="F54" s="34"/>
      <c r="G54" s="34"/>
      <c r="H54" s="34"/>
      <c r="I54" s="34"/>
      <c r="J54" s="34"/>
      <c r="K54" s="34"/>
    </row>
    <row r="55" spans="3:11">
      <c r="C55" s="34"/>
      <c r="D55" s="34"/>
      <c r="E55" s="34"/>
      <c r="F55" s="34"/>
      <c r="G55" s="34"/>
      <c r="H55" s="34"/>
      <c r="I55" s="34"/>
      <c r="J55" s="34"/>
      <c r="K55" s="34"/>
    </row>
    <row r="56" spans="3:11">
      <c r="C56" s="34"/>
      <c r="D56" s="34"/>
      <c r="E56" s="34"/>
      <c r="F56" s="34"/>
      <c r="G56" s="34"/>
      <c r="H56" s="34"/>
      <c r="I56" s="34"/>
      <c r="J56" s="34"/>
      <c r="K56" s="34"/>
    </row>
    <row r="57" spans="3:11">
      <c r="C57" s="34"/>
      <c r="D57" s="34"/>
      <c r="E57" s="34"/>
      <c r="F57" s="34"/>
      <c r="G57" s="34"/>
      <c r="H57" s="34"/>
      <c r="I57" s="34"/>
      <c r="J57" s="34"/>
      <c r="K57" s="34"/>
    </row>
    <row r="58" spans="3:11">
      <c r="C58" s="34"/>
      <c r="D58" s="34"/>
      <c r="E58" s="34"/>
      <c r="F58" s="34"/>
      <c r="G58" s="34"/>
      <c r="H58" s="34"/>
      <c r="I58" s="34"/>
      <c r="J58" s="34"/>
      <c r="K58" s="34"/>
    </row>
    <row r="59" spans="3:11">
      <c r="C59" s="34"/>
      <c r="D59" s="34"/>
      <c r="E59" s="34"/>
      <c r="F59" s="34"/>
      <c r="G59" s="34"/>
      <c r="H59" s="34"/>
      <c r="I59" s="34"/>
      <c r="J59" s="34"/>
      <c r="K59" s="34"/>
    </row>
    <row r="60" spans="3:11">
      <c r="C60" s="34"/>
      <c r="D60" s="34"/>
      <c r="E60" s="34"/>
      <c r="F60" s="34"/>
      <c r="G60" s="34"/>
      <c r="H60" s="34"/>
      <c r="I60" s="34"/>
      <c r="J60" s="34"/>
      <c r="K60" s="34"/>
    </row>
    <row r="61" spans="3:11">
      <c r="C61" s="34"/>
      <c r="D61" s="34"/>
      <c r="E61" s="34"/>
      <c r="F61" s="34"/>
      <c r="G61" s="34"/>
      <c r="H61" s="34"/>
      <c r="I61" s="34"/>
      <c r="J61" s="34"/>
      <c r="K61" s="34"/>
    </row>
    <row r="62" spans="3:11">
      <c r="C62" s="34"/>
      <c r="D62" s="34"/>
      <c r="E62" s="34"/>
      <c r="F62" s="34"/>
      <c r="G62" s="34"/>
      <c r="H62" s="34"/>
      <c r="I62" s="34"/>
      <c r="J62" s="34"/>
      <c r="K62" s="34"/>
    </row>
    <row r="63" spans="3:11">
      <c r="C63" s="34"/>
      <c r="D63" s="34"/>
      <c r="E63" s="34"/>
      <c r="F63" s="34"/>
      <c r="G63" s="34"/>
      <c r="H63" s="34"/>
      <c r="I63" s="34"/>
      <c r="J63" s="34"/>
      <c r="K63" s="34"/>
    </row>
  </sheetData>
  <mergeCells count="3">
    <mergeCell ref="B5:L5"/>
    <mergeCell ref="G2:I2"/>
    <mergeCell ref="B2:E2"/>
  </mergeCells>
  <phoneticPr fontId="61" type="noConversion"/>
  <pageMargins left="0.75" right="0.75" top="1" bottom="1" header="0.5" footer="0.5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54"/>
  <sheetViews>
    <sheetView showGridLines="0" zoomScale="70" zoomScaleNormal="70" workbookViewId="0"/>
  </sheetViews>
  <sheetFormatPr defaultColWidth="9.33203125" defaultRowHeight="13.2"/>
  <cols>
    <col min="1" max="1" width="15.44140625" customWidth="1"/>
    <col min="2" max="2" width="13.33203125" customWidth="1"/>
    <col min="3" max="3" width="12.33203125" customWidth="1"/>
    <col min="4" max="4" width="16.5546875" customWidth="1"/>
    <col min="5" max="5" width="15.44140625" customWidth="1"/>
    <col min="6" max="6" width="11.44140625" customWidth="1"/>
    <col min="7" max="7" width="11.5546875" customWidth="1"/>
    <col min="8" max="8" width="14" customWidth="1"/>
    <col min="9" max="9" width="9.5546875" customWidth="1"/>
    <col min="10" max="11" width="7.5546875" customWidth="1"/>
    <col min="12" max="12" width="10" customWidth="1"/>
    <col min="13" max="13" width="9.5546875" customWidth="1"/>
    <col min="14" max="14" width="9.5546875" bestFit="1" customWidth="1"/>
    <col min="15" max="15" width="8.44140625" bestFit="1" customWidth="1"/>
    <col min="19" max="19" width="17.44140625" bestFit="1" customWidth="1"/>
    <col min="21" max="21" width="28.44140625" bestFit="1" customWidth="1"/>
  </cols>
  <sheetData>
    <row r="1" spans="1:15" ht="13.8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</row>
    <row r="2" spans="1:15" ht="13.8">
      <c r="A2" s="15"/>
      <c r="B2" s="207" t="s">
        <v>58</v>
      </c>
      <c r="C2" s="207"/>
      <c r="D2" s="207"/>
      <c r="E2" s="207"/>
      <c r="F2" s="66"/>
      <c r="G2" s="207" t="s">
        <v>59</v>
      </c>
      <c r="H2" s="207"/>
      <c r="I2" s="207"/>
      <c r="J2" s="207"/>
      <c r="K2" s="66"/>
      <c r="L2" s="15"/>
      <c r="M2" s="15"/>
      <c r="N2" s="15"/>
      <c r="O2" s="15"/>
    </row>
    <row r="3" spans="1:15" ht="13.8">
      <c r="A3" s="15" t="s">
        <v>18</v>
      </c>
      <c r="B3" s="20" t="s">
        <v>69</v>
      </c>
      <c r="C3" s="20"/>
      <c r="D3" s="20"/>
      <c r="E3" s="20"/>
      <c r="F3" s="20"/>
      <c r="G3" s="20"/>
      <c r="H3" s="20"/>
      <c r="I3" s="20"/>
      <c r="J3" s="20"/>
      <c r="K3" s="17" t="s">
        <v>60</v>
      </c>
      <c r="L3" s="15"/>
      <c r="M3" s="15"/>
      <c r="N3" s="15"/>
      <c r="O3" s="15"/>
    </row>
    <row r="4" spans="1:15" ht="13.8">
      <c r="A4" s="21" t="s">
        <v>78</v>
      </c>
      <c r="B4" s="23" t="s">
        <v>79</v>
      </c>
      <c r="C4" s="52" t="s">
        <v>27</v>
      </c>
      <c r="D4" s="25" t="s">
        <v>70</v>
      </c>
      <c r="E4" s="23" t="s">
        <v>80</v>
      </c>
      <c r="F4" s="24"/>
      <c r="G4" s="23" t="s">
        <v>81</v>
      </c>
      <c r="H4" s="23" t="s">
        <v>31</v>
      </c>
      <c r="I4" s="23" t="s">
        <v>82</v>
      </c>
      <c r="J4" s="23" t="s">
        <v>83</v>
      </c>
      <c r="K4" s="23" t="s">
        <v>62</v>
      </c>
      <c r="L4" s="15"/>
      <c r="M4" s="15"/>
      <c r="N4" s="15"/>
      <c r="O4" s="15"/>
    </row>
    <row r="5" spans="1:15" ht="14.4">
      <c r="A5" s="15"/>
      <c r="B5" s="212" t="s">
        <v>84</v>
      </c>
      <c r="C5" s="212"/>
      <c r="D5" s="212"/>
      <c r="E5" s="212"/>
      <c r="F5" s="212"/>
      <c r="G5" s="212"/>
      <c r="H5" s="212"/>
      <c r="I5" s="212"/>
      <c r="J5" s="212"/>
      <c r="K5" s="212"/>
      <c r="L5" s="15"/>
      <c r="M5" s="15"/>
      <c r="N5" s="15"/>
      <c r="O5" s="15"/>
    </row>
    <row r="6" spans="1:15" ht="13.8">
      <c r="A6" s="15" t="s">
        <v>35</v>
      </c>
      <c r="B6" s="68">
        <v>385.13499999999999</v>
      </c>
      <c r="C6" s="68">
        <v>3644</v>
      </c>
      <c r="D6" s="149">
        <v>24.143999999999998</v>
      </c>
      <c r="E6" s="68">
        <f>B6+C6+D6</f>
        <v>4053.279</v>
      </c>
      <c r="F6" s="69"/>
      <c r="G6" s="68">
        <v>1371.923</v>
      </c>
      <c r="H6" s="150">
        <v>388.65120000000002</v>
      </c>
      <c r="I6" s="68">
        <f>J6-G6-H6</f>
        <v>1922.5301148147448</v>
      </c>
      <c r="J6" s="68">
        <f>E6-K6</f>
        <v>3683.1043148147451</v>
      </c>
      <c r="K6" s="68">
        <v>370.17468518525493</v>
      </c>
      <c r="L6" s="114"/>
      <c r="M6" s="114"/>
      <c r="N6" s="114"/>
      <c r="O6" s="15"/>
    </row>
    <row r="7" spans="1:15" ht="15" customHeight="1">
      <c r="A7" s="15" t="s">
        <v>36</v>
      </c>
      <c r="B7" s="68">
        <f>K6</f>
        <v>370.17468518525493</v>
      </c>
      <c r="C7" s="68">
        <v>4262</v>
      </c>
      <c r="D7" s="149">
        <v>70.58</v>
      </c>
      <c r="E7" s="68">
        <f>B7+C7+D7</f>
        <v>4702.7546851852549</v>
      </c>
      <c r="F7" s="69"/>
      <c r="G7" s="68">
        <v>1195.82</v>
      </c>
      <c r="H7" s="150">
        <v>233.58799999999999</v>
      </c>
      <c r="I7" s="68">
        <f>J7-G7-H7</f>
        <v>2872.9566851852546</v>
      </c>
      <c r="J7" s="68">
        <f>E7-K7</f>
        <v>4302.3646851852545</v>
      </c>
      <c r="K7" s="68">
        <v>400.39</v>
      </c>
      <c r="L7" s="114"/>
      <c r="M7" s="15"/>
      <c r="N7" s="114"/>
      <c r="O7" s="15"/>
    </row>
    <row r="8" spans="1:15" ht="15" customHeight="1">
      <c r="A8" s="14" t="s">
        <v>37</v>
      </c>
      <c r="B8" s="198">
        <f>K7</f>
        <v>400.39</v>
      </c>
      <c r="C8" s="198">
        <v>4000</v>
      </c>
      <c r="D8" s="199">
        <v>50</v>
      </c>
      <c r="E8" s="198">
        <f>B8+C8+D8</f>
        <v>4450.3900000000003</v>
      </c>
      <c r="F8" s="200"/>
      <c r="G8" s="198">
        <v>1250</v>
      </c>
      <c r="H8" s="201">
        <v>200</v>
      </c>
      <c r="I8" s="198">
        <v>2620</v>
      </c>
      <c r="J8" s="198">
        <f>SUM(G8:I8)</f>
        <v>4070</v>
      </c>
      <c r="K8" s="198">
        <f>E8-J8</f>
        <v>380.39000000000033</v>
      </c>
      <c r="L8" s="15"/>
      <c r="M8" s="15"/>
      <c r="N8" s="15"/>
      <c r="O8" s="15"/>
    </row>
    <row r="9" spans="1:15" ht="16.2">
      <c r="A9" s="169" t="s">
        <v>159</v>
      </c>
      <c r="B9" s="15"/>
      <c r="C9" s="67"/>
      <c r="D9" s="67"/>
      <c r="E9" s="67"/>
      <c r="F9" s="67"/>
      <c r="G9" s="70"/>
      <c r="H9" s="67"/>
      <c r="I9" s="67"/>
      <c r="J9" s="67"/>
      <c r="K9" s="15"/>
      <c r="L9" s="15"/>
      <c r="M9" s="15"/>
      <c r="N9" s="15"/>
      <c r="O9" s="15"/>
    </row>
    <row r="10" spans="1:15" ht="14.4">
      <c r="A10" s="15" t="s">
        <v>85</v>
      </c>
      <c r="B10" s="28"/>
      <c r="C10" s="33"/>
      <c r="D10" s="15"/>
      <c r="E10" s="28"/>
      <c r="F10" s="28"/>
      <c r="G10" s="28"/>
      <c r="H10" s="28"/>
      <c r="I10" s="28"/>
      <c r="J10" s="28"/>
      <c r="K10" s="15"/>
      <c r="L10" s="15"/>
      <c r="M10" s="15"/>
      <c r="N10" s="15"/>
      <c r="O10" s="15"/>
    </row>
    <row r="11" spans="1:15" ht="14.4">
      <c r="A11" s="15" t="s">
        <v>86</v>
      </c>
      <c r="B11" s="28"/>
      <c r="C11" s="33"/>
      <c r="D11" s="15"/>
      <c r="E11" s="28"/>
      <c r="F11" s="28"/>
      <c r="G11" s="28"/>
      <c r="H11" s="28"/>
      <c r="I11" s="28"/>
      <c r="J11" s="28"/>
      <c r="K11" s="15"/>
      <c r="L11" s="15"/>
      <c r="M11" s="15"/>
      <c r="N11" s="15"/>
      <c r="O11" s="15"/>
    </row>
    <row r="12" spans="1:15" ht="13.8">
      <c r="A12" s="15"/>
      <c r="B12" s="28"/>
      <c r="C12" s="33"/>
      <c r="D12" s="15"/>
      <c r="E12" s="28"/>
      <c r="F12" s="28"/>
      <c r="G12" s="28"/>
      <c r="H12" s="28"/>
      <c r="I12" s="28"/>
      <c r="J12" s="28"/>
      <c r="K12" s="15"/>
      <c r="L12" s="15"/>
      <c r="M12" s="15"/>
      <c r="N12" s="15"/>
      <c r="O12" s="15"/>
    </row>
    <row r="13" spans="1:15" ht="13.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13.8">
      <c r="A14" s="14" t="s">
        <v>5</v>
      </c>
      <c r="B14" s="14"/>
      <c r="C14" s="14"/>
      <c r="D14" s="14"/>
      <c r="E14" s="14"/>
      <c r="F14" s="14"/>
      <c r="G14" s="14"/>
      <c r="H14" s="14"/>
      <c r="I14" s="15"/>
      <c r="J14" s="14"/>
      <c r="K14" s="15"/>
      <c r="L14" s="15"/>
      <c r="M14" s="15"/>
      <c r="N14" s="15"/>
      <c r="O14" s="15"/>
    </row>
    <row r="15" spans="1:15" ht="13.8">
      <c r="A15" s="15"/>
      <c r="B15" s="207" t="s">
        <v>58</v>
      </c>
      <c r="C15" s="207"/>
      <c r="D15" s="207"/>
      <c r="E15" s="207"/>
      <c r="F15" s="15"/>
      <c r="G15" s="207" t="s">
        <v>59</v>
      </c>
      <c r="H15" s="207"/>
      <c r="I15" s="207"/>
      <c r="J15" s="15"/>
      <c r="K15" s="15"/>
      <c r="L15" s="15"/>
      <c r="M15" s="15"/>
      <c r="N15" s="15"/>
      <c r="O15" s="15"/>
    </row>
    <row r="16" spans="1:15" ht="13.8">
      <c r="A16" s="15" t="s">
        <v>18</v>
      </c>
      <c r="B16" s="17" t="s">
        <v>69</v>
      </c>
      <c r="C16" s="20"/>
      <c r="D16" s="20"/>
      <c r="E16" s="20"/>
      <c r="F16" s="20"/>
      <c r="G16" s="20"/>
      <c r="H16" s="20"/>
      <c r="I16" s="20"/>
      <c r="J16" s="17" t="s">
        <v>60</v>
      </c>
      <c r="K16" s="15"/>
      <c r="L16" s="15"/>
      <c r="M16" s="15"/>
      <c r="N16" s="15"/>
      <c r="O16" s="15"/>
    </row>
    <row r="17" spans="1:15" ht="13.8">
      <c r="A17" s="21" t="s">
        <v>61</v>
      </c>
      <c r="B17" s="23" t="s">
        <v>62</v>
      </c>
      <c r="C17" s="52" t="s">
        <v>27</v>
      </c>
      <c r="D17" s="25" t="s">
        <v>70</v>
      </c>
      <c r="E17" s="23" t="s">
        <v>83</v>
      </c>
      <c r="F17" s="24"/>
      <c r="G17" s="68" t="s">
        <v>87</v>
      </c>
      <c r="H17" s="23" t="s">
        <v>31</v>
      </c>
      <c r="I17" s="25" t="s">
        <v>63</v>
      </c>
      <c r="J17" s="23" t="s">
        <v>62</v>
      </c>
      <c r="K17" s="15"/>
      <c r="L17" s="15"/>
      <c r="M17" s="15"/>
      <c r="N17" s="15"/>
      <c r="O17" s="15"/>
    </row>
    <row r="18" spans="1:15" ht="14.4">
      <c r="A18" s="15"/>
      <c r="B18" s="212" t="s">
        <v>88</v>
      </c>
      <c r="C18" s="212"/>
      <c r="D18" s="212"/>
      <c r="E18" s="212"/>
      <c r="F18" s="212"/>
      <c r="G18" s="212"/>
      <c r="H18" s="212"/>
      <c r="I18" s="212"/>
      <c r="J18" s="212"/>
      <c r="K18" s="15"/>
      <c r="L18" s="15"/>
      <c r="M18" s="15"/>
      <c r="N18" s="15"/>
      <c r="O18" s="15"/>
    </row>
    <row r="19" spans="1:15" ht="13.8">
      <c r="A19" s="15" t="s">
        <v>35</v>
      </c>
      <c r="B19" s="68">
        <v>32.561</v>
      </c>
      <c r="C19" s="150">
        <v>568.43899999999996</v>
      </c>
      <c r="D19" s="149">
        <v>0.05</v>
      </c>
      <c r="E19" s="150">
        <f>B19+C19+D19</f>
        <v>601.04999999999995</v>
      </c>
      <c r="F19" s="69"/>
      <c r="G19" s="150">
        <f>I19-H19</f>
        <v>515.85099999999989</v>
      </c>
      <c r="H19" s="150">
        <v>50.69</v>
      </c>
      <c r="I19" s="150">
        <f>E19-J19</f>
        <v>566.54099999999994</v>
      </c>
      <c r="J19" s="68">
        <v>34.509</v>
      </c>
      <c r="K19" s="15"/>
      <c r="L19" s="114"/>
      <c r="M19" s="15"/>
      <c r="N19" s="15"/>
      <c r="O19" s="15"/>
    </row>
    <row r="20" spans="1:15" ht="16.2">
      <c r="A20" s="15" t="s">
        <v>36</v>
      </c>
      <c r="B20" s="68">
        <f>J19</f>
        <v>34.509</v>
      </c>
      <c r="C20" s="150">
        <v>575</v>
      </c>
      <c r="D20" s="149">
        <v>0</v>
      </c>
      <c r="E20" s="150">
        <f>B20+C20+D20</f>
        <v>609.50900000000001</v>
      </c>
      <c r="F20" s="69"/>
      <c r="G20" s="150">
        <v>520</v>
      </c>
      <c r="H20" s="150">
        <v>50</v>
      </c>
      <c r="I20" s="150">
        <f>SUM(G20:H20)</f>
        <v>570</v>
      </c>
      <c r="J20" s="68">
        <f>E20-I20</f>
        <v>39.509000000000015</v>
      </c>
      <c r="K20" s="15"/>
      <c r="L20" s="114"/>
      <c r="M20" s="15"/>
      <c r="N20" s="15"/>
      <c r="O20" s="15"/>
    </row>
    <row r="21" spans="1:15" ht="16.2">
      <c r="A21" s="14" t="s">
        <v>37</v>
      </c>
      <c r="B21" s="68">
        <f>J20</f>
        <v>39.509000000000015</v>
      </c>
      <c r="C21" s="150">
        <v>550</v>
      </c>
      <c r="D21" s="149">
        <v>0</v>
      </c>
      <c r="E21" s="150">
        <f>B21+C21+D21</f>
        <v>589.50900000000001</v>
      </c>
      <c r="F21" s="69"/>
      <c r="G21" s="150">
        <v>500</v>
      </c>
      <c r="H21" s="150">
        <v>50</v>
      </c>
      <c r="I21" s="150">
        <f>SUM(G21:H21)</f>
        <v>550</v>
      </c>
      <c r="J21" s="68">
        <f>E21-I21</f>
        <v>39.509000000000015</v>
      </c>
      <c r="K21" s="15"/>
      <c r="L21" s="15"/>
      <c r="M21" s="15"/>
      <c r="N21" s="15"/>
      <c r="O21" s="15"/>
    </row>
    <row r="22" spans="1:15" ht="16.2">
      <c r="A22" s="169" t="s">
        <v>159</v>
      </c>
      <c r="B22" s="66"/>
      <c r="C22" s="147"/>
      <c r="D22" s="147"/>
      <c r="E22" s="147"/>
      <c r="F22" s="147"/>
      <c r="G22" s="147"/>
      <c r="H22" s="147"/>
      <c r="I22" s="66"/>
      <c r="J22" s="66"/>
      <c r="K22" s="15"/>
      <c r="L22" s="15"/>
      <c r="M22" s="15"/>
      <c r="N22" s="15"/>
      <c r="O22" s="15"/>
    </row>
    <row r="23" spans="1:15" ht="14.4">
      <c r="A23" s="15" t="s">
        <v>89</v>
      </c>
      <c r="B23" s="69"/>
      <c r="C23" s="69"/>
      <c r="D23" s="69"/>
      <c r="E23" s="69"/>
      <c r="F23" s="69"/>
      <c r="G23" s="69"/>
      <c r="H23" s="69"/>
      <c r="I23" s="15"/>
      <c r="J23" s="15"/>
      <c r="K23" s="15"/>
      <c r="L23" s="15"/>
      <c r="M23" s="15"/>
      <c r="N23" s="15"/>
      <c r="O23" s="15"/>
    </row>
    <row r="24" spans="1:15" ht="13.8">
      <c r="A24" s="15"/>
      <c r="B24" s="28"/>
      <c r="C24" s="28"/>
      <c r="D24" s="28"/>
      <c r="E24" s="28"/>
      <c r="F24" s="28"/>
      <c r="G24" s="28"/>
      <c r="H24" s="28"/>
      <c r="I24" s="15"/>
      <c r="J24" s="15"/>
      <c r="K24" s="15"/>
      <c r="L24" s="15"/>
      <c r="M24" s="15"/>
      <c r="N24" s="15"/>
      <c r="O24" s="15"/>
    </row>
    <row r="25" spans="1:15" ht="13.8">
      <c r="A25" s="15"/>
      <c r="B25" s="28"/>
      <c r="C25" s="33"/>
      <c r="D25" s="28"/>
      <c r="E25" s="28"/>
      <c r="F25" s="28"/>
      <c r="G25" s="28"/>
      <c r="H25" s="28"/>
      <c r="I25" s="15"/>
      <c r="J25" s="15"/>
      <c r="K25" s="15"/>
      <c r="L25" s="15"/>
      <c r="M25" s="15"/>
      <c r="N25" s="15"/>
      <c r="O25" s="15"/>
    </row>
    <row r="26" spans="1:15" ht="13.8">
      <c r="A26" s="14" t="s">
        <v>6</v>
      </c>
      <c r="B26" s="14"/>
      <c r="C26" s="14"/>
      <c r="D26" s="14"/>
      <c r="E26" s="14"/>
      <c r="F26" s="14"/>
      <c r="G26" s="14"/>
      <c r="H26" s="14"/>
      <c r="I26" s="15"/>
      <c r="J26" s="14"/>
      <c r="K26" s="15"/>
      <c r="L26" s="15"/>
      <c r="M26" s="15"/>
      <c r="N26" s="15"/>
      <c r="O26" s="15"/>
    </row>
    <row r="27" spans="1:15" ht="13.8">
      <c r="A27" s="15"/>
      <c r="B27" s="207" t="s">
        <v>58</v>
      </c>
      <c r="C27" s="207"/>
      <c r="D27" s="207"/>
      <c r="E27" s="207"/>
      <c r="F27" s="15"/>
      <c r="G27" s="207" t="s">
        <v>59</v>
      </c>
      <c r="H27" s="207"/>
      <c r="I27" s="207"/>
      <c r="J27" s="15"/>
      <c r="K27" s="15"/>
      <c r="L27" s="15"/>
      <c r="M27" s="15"/>
      <c r="N27" s="15"/>
      <c r="O27" s="15"/>
    </row>
    <row r="28" spans="1:15" ht="13.8">
      <c r="A28" s="15" t="s">
        <v>18</v>
      </c>
      <c r="B28" s="17" t="s">
        <v>69</v>
      </c>
      <c r="C28" s="20"/>
      <c r="D28" s="20"/>
      <c r="E28" s="20"/>
      <c r="F28" s="20"/>
      <c r="G28" s="20"/>
      <c r="H28" s="20"/>
      <c r="I28" s="20"/>
      <c r="J28" s="17" t="s">
        <v>60</v>
      </c>
      <c r="K28" s="15"/>
      <c r="L28" s="15"/>
      <c r="M28" s="15"/>
      <c r="N28" s="15"/>
      <c r="O28" s="15"/>
    </row>
    <row r="29" spans="1:15" ht="13.8">
      <c r="A29" s="21" t="s">
        <v>61</v>
      </c>
      <c r="B29" s="23" t="s">
        <v>62</v>
      </c>
      <c r="C29" s="23" t="s">
        <v>27</v>
      </c>
      <c r="D29" s="25" t="s">
        <v>70</v>
      </c>
      <c r="E29" s="23" t="s">
        <v>83</v>
      </c>
      <c r="F29" s="24"/>
      <c r="G29" s="23" t="s">
        <v>64</v>
      </c>
      <c r="H29" s="23" t="s">
        <v>31</v>
      </c>
      <c r="I29" s="23" t="s">
        <v>63</v>
      </c>
      <c r="J29" s="23" t="s">
        <v>66</v>
      </c>
      <c r="K29" s="15"/>
      <c r="L29" s="15"/>
      <c r="M29" s="15"/>
      <c r="N29" s="15"/>
      <c r="O29" s="15"/>
    </row>
    <row r="30" spans="1:15" ht="14.4">
      <c r="A30" s="15"/>
      <c r="B30" s="212" t="s">
        <v>74</v>
      </c>
      <c r="C30" s="212"/>
      <c r="D30" s="212"/>
      <c r="E30" s="212"/>
      <c r="F30" s="212"/>
      <c r="G30" s="212"/>
      <c r="H30" s="212"/>
      <c r="I30" s="212"/>
      <c r="J30" s="212"/>
      <c r="K30" s="15"/>
      <c r="L30" s="15"/>
      <c r="M30" s="15"/>
      <c r="N30" s="15"/>
      <c r="O30" s="15"/>
    </row>
    <row r="31" spans="1:15" ht="13.8">
      <c r="A31" s="15" t="s">
        <v>35</v>
      </c>
      <c r="B31" s="149">
        <v>50.117999999999995</v>
      </c>
      <c r="C31" s="150">
        <v>358.70499999999998</v>
      </c>
      <c r="D31" s="149">
        <v>1.9690000000000001</v>
      </c>
      <c r="E31" s="151">
        <f>B31+C31+D31</f>
        <v>410.79199999999997</v>
      </c>
      <c r="F31" s="69"/>
      <c r="G31" s="150">
        <f>I31-H31</f>
        <v>338.35299999999995</v>
      </c>
      <c r="H31" s="150">
        <v>22.446000000000002</v>
      </c>
      <c r="I31" s="150">
        <f>E31-J31</f>
        <v>360.79899999999998</v>
      </c>
      <c r="J31" s="150">
        <v>49.993000000000002</v>
      </c>
      <c r="K31" s="15"/>
      <c r="L31" s="114"/>
      <c r="M31" s="15"/>
      <c r="N31" s="15"/>
      <c r="O31" s="15"/>
    </row>
    <row r="32" spans="1:15" ht="16.2">
      <c r="A32" s="15" t="s">
        <v>36</v>
      </c>
      <c r="B32" s="149">
        <f>J31</f>
        <v>49.993000000000002</v>
      </c>
      <c r="C32" s="150">
        <v>320</v>
      </c>
      <c r="D32" s="149">
        <v>5</v>
      </c>
      <c r="E32" s="151">
        <f>B32+C32+D32</f>
        <v>374.99299999999999</v>
      </c>
      <c r="F32" s="69"/>
      <c r="G32" s="150">
        <v>290</v>
      </c>
      <c r="H32" s="150">
        <v>35</v>
      </c>
      <c r="I32" s="150">
        <f>SUM(G32:H32)</f>
        <v>325</v>
      </c>
      <c r="J32" s="150">
        <f>E32-I32</f>
        <v>49.992999999999995</v>
      </c>
      <c r="K32" s="15"/>
      <c r="L32" s="15"/>
      <c r="M32" s="15"/>
      <c r="N32" s="15"/>
      <c r="O32" s="15"/>
    </row>
    <row r="33" spans="1:18" ht="16.2">
      <c r="A33" s="14" t="s">
        <v>37</v>
      </c>
      <c r="B33" s="199">
        <f>J32</f>
        <v>49.992999999999995</v>
      </c>
      <c r="C33" s="201">
        <v>335</v>
      </c>
      <c r="D33" s="199">
        <v>5</v>
      </c>
      <c r="E33" s="202">
        <f>B33+C33+D33</f>
        <v>389.99299999999999</v>
      </c>
      <c r="F33" s="200"/>
      <c r="G33" s="201">
        <v>290</v>
      </c>
      <c r="H33" s="201">
        <v>50</v>
      </c>
      <c r="I33" s="201">
        <f>SUM(G33:H33)</f>
        <v>340</v>
      </c>
      <c r="J33" s="201">
        <f>E33-I33</f>
        <v>49.992999999999995</v>
      </c>
      <c r="K33" s="15"/>
      <c r="L33" s="15"/>
      <c r="M33" s="15"/>
      <c r="N33" s="15"/>
      <c r="O33" s="15"/>
    </row>
    <row r="34" spans="1:18" ht="16.2">
      <c r="A34" s="169" t="s">
        <v>159</v>
      </c>
      <c r="B34" s="15"/>
      <c r="C34" s="67"/>
      <c r="D34" s="67"/>
      <c r="E34" s="67"/>
      <c r="F34" s="67"/>
      <c r="G34" s="67"/>
      <c r="H34" s="67"/>
      <c r="I34" s="15"/>
      <c r="J34" s="15"/>
      <c r="K34" s="15"/>
      <c r="L34" s="15"/>
      <c r="M34" s="15"/>
      <c r="N34" s="15"/>
      <c r="O34" s="15"/>
      <c r="R34" s="104"/>
    </row>
    <row r="35" spans="1:18" ht="14.4">
      <c r="A35" s="15" t="s">
        <v>89</v>
      </c>
      <c r="B35" s="28"/>
      <c r="C35" s="33"/>
      <c r="D35" s="28"/>
      <c r="E35" s="28"/>
      <c r="F35" s="28"/>
      <c r="G35" s="28"/>
      <c r="H35" s="28"/>
      <c r="I35" s="15"/>
      <c r="J35" s="15"/>
      <c r="K35" s="15"/>
      <c r="L35" s="15"/>
      <c r="M35" s="15"/>
      <c r="N35" s="15"/>
      <c r="O35" s="15"/>
      <c r="R35" s="104"/>
    </row>
    <row r="36" spans="1:18" ht="13.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8" ht="13.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8" ht="13.8">
      <c r="A38" s="14" t="s">
        <v>7</v>
      </c>
      <c r="B38" s="14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5"/>
      <c r="N38" s="15"/>
      <c r="O38" s="15"/>
    </row>
    <row r="39" spans="1:18" ht="13.8">
      <c r="A39" s="15"/>
      <c r="B39" s="207" t="s">
        <v>14</v>
      </c>
      <c r="C39" s="207"/>
      <c r="D39" s="17" t="s">
        <v>15</v>
      </c>
      <c r="E39" s="207" t="s">
        <v>16</v>
      </c>
      <c r="F39" s="207"/>
      <c r="G39" s="207"/>
      <c r="H39" s="207"/>
      <c r="I39" s="15"/>
      <c r="J39" s="207" t="s">
        <v>59</v>
      </c>
      <c r="K39" s="207"/>
      <c r="L39" s="207"/>
      <c r="M39" s="207"/>
      <c r="N39" s="207"/>
      <c r="O39" s="66"/>
    </row>
    <row r="40" spans="1:18" ht="13.8">
      <c r="A40" s="15" t="s">
        <v>18</v>
      </c>
      <c r="B40" s="17" t="s">
        <v>19</v>
      </c>
      <c r="C40" s="17" t="s">
        <v>20</v>
      </c>
      <c r="D40" s="15"/>
      <c r="E40" s="17" t="s">
        <v>69</v>
      </c>
      <c r="F40" s="17"/>
      <c r="G40" s="17"/>
      <c r="H40" s="17"/>
      <c r="I40" s="15"/>
      <c r="J40" s="49" t="s">
        <v>87</v>
      </c>
      <c r="K40" s="17"/>
      <c r="L40" s="17" t="s">
        <v>23</v>
      </c>
      <c r="M40" s="17"/>
      <c r="N40" s="17"/>
      <c r="O40" s="17" t="s">
        <v>60</v>
      </c>
    </row>
    <row r="41" spans="1:18" ht="13.8">
      <c r="A41" s="21" t="s">
        <v>78</v>
      </c>
      <c r="B41" s="22"/>
      <c r="C41" s="22"/>
      <c r="D41" s="22"/>
      <c r="E41" s="23" t="s">
        <v>62</v>
      </c>
      <c r="F41" s="23" t="s">
        <v>27</v>
      </c>
      <c r="G41" s="23" t="s">
        <v>70</v>
      </c>
      <c r="H41" s="23" t="s">
        <v>83</v>
      </c>
      <c r="I41" s="23"/>
      <c r="J41" s="23" t="s">
        <v>90</v>
      </c>
      <c r="K41" s="23" t="s">
        <v>81</v>
      </c>
      <c r="L41" s="23" t="s">
        <v>30</v>
      </c>
      <c r="M41" s="25" t="s">
        <v>31</v>
      </c>
      <c r="N41" s="23" t="s">
        <v>63</v>
      </c>
      <c r="O41" s="23" t="s">
        <v>66</v>
      </c>
    </row>
    <row r="42" spans="1:18" ht="14.4">
      <c r="A42" s="15"/>
      <c r="B42" s="210" t="s">
        <v>91</v>
      </c>
      <c r="C42" s="211"/>
      <c r="D42" s="71" t="s">
        <v>92</v>
      </c>
      <c r="E42" s="213" t="s">
        <v>93</v>
      </c>
      <c r="F42" s="212"/>
      <c r="G42" s="212"/>
      <c r="H42" s="212"/>
      <c r="I42" s="212"/>
      <c r="J42" s="212"/>
      <c r="K42" s="212"/>
      <c r="L42" s="212"/>
      <c r="M42" s="212"/>
      <c r="N42" s="212"/>
      <c r="O42" s="211"/>
    </row>
    <row r="43" spans="1:18" ht="13.8">
      <c r="A43" s="15"/>
      <c r="B43" s="17"/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8" s="80" customFormat="1" ht="13.8">
      <c r="A44" s="15" t="s">
        <v>35</v>
      </c>
      <c r="B44" s="68">
        <v>1645</v>
      </c>
      <c r="C44" s="68">
        <v>1557</v>
      </c>
      <c r="D44" s="68">
        <f>F44*1000/C44</f>
        <v>3774.9261400128453</v>
      </c>
      <c r="E44" s="68">
        <v>2033.086</v>
      </c>
      <c r="F44" s="68">
        <v>5877.56</v>
      </c>
      <c r="G44" s="150">
        <v>104.29</v>
      </c>
      <c r="H44" s="68">
        <v>8014.9596675784951</v>
      </c>
      <c r="I44" s="68"/>
      <c r="J44" s="68">
        <v>3123.5</v>
      </c>
      <c r="K44" s="68">
        <v>654.23564369999997</v>
      </c>
      <c r="L44" s="150">
        <f>N44-M44-J44-K44</f>
        <v>1299.9133958744405</v>
      </c>
      <c r="M44" s="150">
        <v>1456.688628004054</v>
      </c>
      <c r="N44" s="68">
        <f>H44-O44</f>
        <v>6534.3376675784948</v>
      </c>
      <c r="O44" s="68">
        <v>1480.6220000000001</v>
      </c>
      <c r="P44" s="203"/>
      <c r="Q44" s="203"/>
    </row>
    <row r="45" spans="1:18" s="80" customFormat="1" ht="16.2">
      <c r="A45" s="15" t="s">
        <v>36</v>
      </c>
      <c r="B45" s="68">
        <v>1801</v>
      </c>
      <c r="C45" s="68">
        <v>1758</v>
      </c>
      <c r="D45" s="68">
        <f>F45*1000/C45</f>
        <v>3667.8156996587031</v>
      </c>
      <c r="E45" s="68">
        <f>O44</f>
        <v>1480.6220000000001</v>
      </c>
      <c r="F45" s="68">
        <v>6448.02</v>
      </c>
      <c r="G45" s="150">
        <v>117</v>
      </c>
      <c r="H45" s="68">
        <f>SUM(E45:G45)</f>
        <v>8045.6420000000007</v>
      </c>
      <c r="I45" s="68"/>
      <c r="J45" s="68">
        <v>3175</v>
      </c>
      <c r="K45" s="68">
        <v>718</v>
      </c>
      <c r="L45" s="150">
        <f>N45-M45-J45-K45</f>
        <v>1400.9980000000005</v>
      </c>
      <c r="M45" s="150">
        <v>1188</v>
      </c>
      <c r="N45" s="68">
        <f>H45-O45</f>
        <v>6481.9980000000005</v>
      </c>
      <c r="O45" s="68">
        <v>1563.644</v>
      </c>
      <c r="P45" s="203"/>
      <c r="Q45" s="203"/>
    </row>
    <row r="46" spans="1:18" s="80" customFormat="1" ht="16.2">
      <c r="A46" s="14" t="s">
        <v>37</v>
      </c>
      <c r="B46" s="198">
        <v>1954</v>
      </c>
      <c r="C46" s="198">
        <v>1901</v>
      </c>
      <c r="D46" s="198">
        <f>F46/C46*1000</f>
        <v>3890.0578642819569</v>
      </c>
      <c r="E46" s="198">
        <f>O45</f>
        <v>1563.644</v>
      </c>
      <c r="F46" s="198">
        <v>7395</v>
      </c>
      <c r="G46" s="201">
        <v>105</v>
      </c>
      <c r="H46" s="198">
        <f>SUM(E46:G46)</f>
        <v>9063.6440000000002</v>
      </c>
      <c r="I46" s="198"/>
      <c r="J46" s="198">
        <v>3233.3</v>
      </c>
      <c r="K46" s="198">
        <v>875</v>
      </c>
      <c r="L46" s="201">
        <f>244.9+1233.2</f>
        <v>1478.1000000000001</v>
      </c>
      <c r="M46" s="201">
        <v>1450</v>
      </c>
      <c r="N46" s="198">
        <f>SUM(J46:M46)</f>
        <v>7036.4000000000005</v>
      </c>
      <c r="O46" s="198">
        <f>H46-N46</f>
        <v>2027.2439999999997</v>
      </c>
      <c r="P46" s="203"/>
      <c r="Q46" s="203"/>
    </row>
    <row r="47" spans="1:18" ht="16.2">
      <c r="A47" s="169" t="s">
        <v>159</v>
      </c>
      <c r="B47" s="15"/>
      <c r="C47" s="67"/>
      <c r="D47" s="67"/>
      <c r="E47" s="67"/>
      <c r="F47" s="67"/>
      <c r="G47" s="67"/>
      <c r="H47" s="67"/>
      <c r="I47" s="15"/>
      <c r="J47" s="15"/>
      <c r="K47" s="15"/>
      <c r="L47" s="15"/>
      <c r="M47" s="15"/>
      <c r="N47" s="15"/>
      <c r="O47" s="15"/>
    </row>
    <row r="48" spans="1:18" ht="14.4">
      <c r="A48" s="15" t="s">
        <v>94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4.4">
      <c r="A49" s="15" t="s">
        <v>86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3.8">
      <c r="A50" s="20" t="s">
        <v>57</v>
      </c>
      <c r="B50" s="72">
        <f>Contents!A18</f>
        <v>45916</v>
      </c>
      <c r="C50" s="15"/>
      <c r="D50" s="15"/>
      <c r="E50" s="15"/>
      <c r="F50" s="15"/>
      <c r="G50" s="15"/>
      <c r="H50" s="15"/>
      <c r="I50" s="15"/>
      <c r="J50" s="114"/>
      <c r="K50" s="15"/>
      <c r="L50" s="15"/>
      <c r="M50" s="15"/>
      <c r="N50" s="15"/>
      <c r="O50" s="15"/>
    </row>
    <row r="51" spans="1:15" ht="18" customHeight="1">
      <c r="A51" s="73"/>
      <c r="B51" s="74"/>
      <c r="C51" s="74"/>
      <c r="D51" s="74"/>
      <c r="E51" s="74"/>
      <c r="F51" s="74"/>
      <c r="G51" s="74"/>
      <c r="H51" s="74"/>
      <c r="I51" s="74"/>
      <c r="J51" s="86"/>
      <c r="K51" s="74"/>
      <c r="L51" s="74"/>
      <c r="M51" s="74"/>
      <c r="N51" s="74"/>
      <c r="O51" s="74"/>
    </row>
    <row r="52" spans="1:15" ht="15.6">
      <c r="G52" s="57"/>
      <c r="H52" s="57"/>
    </row>
    <row r="53" spans="1:15" ht="15.6">
      <c r="G53" s="57"/>
      <c r="H53" s="57"/>
    </row>
    <row r="54" spans="1:15" ht="15.6">
      <c r="G54" s="57"/>
      <c r="H54" s="57"/>
    </row>
  </sheetData>
  <mergeCells count="14">
    <mergeCell ref="G2:J2"/>
    <mergeCell ref="G15:I15"/>
    <mergeCell ref="B15:E15"/>
    <mergeCell ref="B2:E2"/>
    <mergeCell ref="B27:E27"/>
    <mergeCell ref="G27:I27"/>
    <mergeCell ref="B5:K5"/>
    <mergeCell ref="B39:C39"/>
    <mergeCell ref="B42:C42"/>
    <mergeCell ref="B18:J18"/>
    <mergeCell ref="E39:H39"/>
    <mergeCell ref="B30:J30"/>
    <mergeCell ref="E42:O42"/>
    <mergeCell ref="J39:N39"/>
  </mergeCells>
  <phoneticPr fontId="61" type="noConversion"/>
  <pageMargins left="0.75" right="0.75" top="1" bottom="1" header="0.5" footer="0.5"/>
  <pageSetup scale="53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L51"/>
  <sheetViews>
    <sheetView showGridLines="0" zoomScale="70" zoomScaleNormal="70" workbookViewId="0">
      <pane xSplit="1" ySplit="4" topLeftCell="B5" activePane="bottomRight" state="frozen"/>
      <selection pane="topRight" activeCell="F44" sqref="F44"/>
      <selection pane="bottomLeft" activeCell="F44" sqref="F44"/>
      <selection pane="bottomRight"/>
    </sheetView>
  </sheetViews>
  <sheetFormatPr defaultColWidth="9.33203125" defaultRowHeight="13.2"/>
  <cols>
    <col min="1" max="1" width="11.5546875" customWidth="1"/>
    <col min="2" max="2" width="18.6640625" bestFit="1" customWidth="1"/>
    <col min="3" max="3" width="22.33203125" bestFit="1" customWidth="1"/>
    <col min="4" max="4" width="23.6640625" customWidth="1"/>
    <col min="5" max="5" width="25.44140625" customWidth="1"/>
    <col min="6" max="6" width="16.5546875" bestFit="1" customWidth="1"/>
    <col min="7" max="7" width="18.6640625" bestFit="1" customWidth="1"/>
  </cols>
  <sheetData>
    <row r="1" spans="1:10" ht="15.6" customHeight="1">
      <c r="A1" s="14" t="s">
        <v>8</v>
      </c>
      <c r="B1" s="14"/>
      <c r="C1" s="14"/>
      <c r="D1" s="14"/>
      <c r="E1" s="14"/>
      <c r="F1" s="14"/>
      <c r="G1" s="14"/>
    </row>
    <row r="2" spans="1:10" ht="15.6" customHeight="1">
      <c r="A2" s="15" t="s">
        <v>95</v>
      </c>
      <c r="B2" s="17" t="s">
        <v>96</v>
      </c>
      <c r="C2" s="17" t="s">
        <v>97</v>
      </c>
      <c r="D2" s="17" t="s">
        <v>98</v>
      </c>
      <c r="E2" s="17" t="s">
        <v>99</v>
      </c>
      <c r="F2" s="17" t="s">
        <v>100</v>
      </c>
      <c r="G2" s="17" t="s">
        <v>101</v>
      </c>
    </row>
    <row r="3" spans="1:10" ht="15.6" customHeight="1">
      <c r="A3" s="14" t="s">
        <v>102</v>
      </c>
      <c r="B3" s="24"/>
      <c r="C3" s="43"/>
      <c r="D3" s="43"/>
      <c r="E3" s="43"/>
      <c r="F3" s="43"/>
      <c r="G3" s="43"/>
    </row>
    <row r="4" spans="1:10" ht="14.4">
      <c r="A4" s="44"/>
      <c r="B4" s="45" t="s">
        <v>103</v>
      </c>
      <c r="C4" s="45" t="s">
        <v>104</v>
      </c>
      <c r="D4" s="45" t="s">
        <v>105</v>
      </c>
      <c r="E4" s="45" t="s">
        <v>105</v>
      </c>
      <c r="F4" s="45" t="s">
        <v>106</v>
      </c>
      <c r="G4" s="45" t="s">
        <v>103</v>
      </c>
    </row>
    <row r="5" spans="1:10" ht="13.8">
      <c r="A5" s="15"/>
      <c r="B5" s="15"/>
      <c r="C5" s="15"/>
      <c r="D5" s="17"/>
      <c r="E5" s="15"/>
      <c r="F5" s="15"/>
      <c r="G5" s="15"/>
    </row>
    <row r="6" spans="1:10" ht="13.8">
      <c r="A6" s="15" t="s">
        <v>107</v>
      </c>
      <c r="B6" s="46">
        <v>11.3</v>
      </c>
      <c r="C6" s="46">
        <v>161</v>
      </c>
      <c r="D6" s="46">
        <v>23.3</v>
      </c>
      <c r="E6" s="46">
        <v>19.3</v>
      </c>
      <c r="F6" s="46">
        <v>22.5</v>
      </c>
      <c r="G6" s="46">
        <v>12.2</v>
      </c>
      <c r="J6" s="58"/>
    </row>
    <row r="7" spans="1:10" ht="13.8">
      <c r="A7" s="15" t="s">
        <v>108</v>
      </c>
      <c r="B7" s="46">
        <v>12.5</v>
      </c>
      <c r="C7" s="46">
        <v>260</v>
      </c>
      <c r="D7" s="46">
        <v>29.1</v>
      </c>
      <c r="E7" s="46">
        <v>24</v>
      </c>
      <c r="F7" s="46">
        <v>31.8</v>
      </c>
      <c r="G7" s="46">
        <v>13.9</v>
      </c>
      <c r="J7" s="58"/>
    </row>
    <row r="8" spans="1:10" ht="13.8">
      <c r="A8" s="15" t="s">
        <v>109</v>
      </c>
      <c r="B8" s="46">
        <v>14.4</v>
      </c>
      <c r="C8" s="46">
        <v>252</v>
      </c>
      <c r="D8" s="46">
        <v>25.4</v>
      </c>
      <c r="E8" s="46">
        <v>26.5</v>
      </c>
      <c r="F8" s="46">
        <v>30.1</v>
      </c>
      <c r="G8" s="46">
        <v>13.8</v>
      </c>
      <c r="J8" s="58"/>
    </row>
    <row r="9" spans="1:10" ht="13.8">
      <c r="A9" s="15" t="s">
        <v>110</v>
      </c>
      <c r="B9" s="46">
        <v>13</v>
      </c>
      <c r="C9" s="46">
        <v>246</v>
      </c>
      <c r="D9" s="46">
        <v>21.4</v>
      </c>
      <c r="E9" s="46">
        <v>20.6</v>
      </c>
      <c r="F9" s="46">
        <v>24.9</v>
      </c>
      <c r="G9" s="46">
        <v>13.8</v>
      </c>
      <c r="J9" s="58"/>
    </row>
    <row r="10" spans="1:10" ht="13.8">
      <c r="A10" s="15" t="s">
        <v>111</v>
      </c>
      <c r="B10" s="46">
        <v>10.1</v>
      </c>
      <c r="C10" s="46">
        <v>194</v>
      </c>
      <c r="D10" s="46">
        <v>21.7</v>
      </c>
      <c r="E10" s="46">
        <v>16.899999999999999</v>
      </c>
      <c r="F10" s="46">
        <v>22</v>
      </c>
      <c r="G10" s="46">
        <v>11.8</v>
      </c>
      <c r="J10" s="58"/>
    </row>
    <row r="11" spans="1:10" ht="13.8">
      <c r="A11" s="15" t="s">
        <v>112</v>
      </c>
      <c r="B11" s="46">
        <v>8.9499999999999993</v>
      </c>
      <c r="C11" s="46">
        <v>227</v>
      </c>
      <c r="D11" s="46">
        <v>19.600000000000001</v>
      </c>
      <c r="E11" s="46">
        <v>15.6</v>
      </c>
      <c r="F11" s="46">
        <v>19.3</v>
      </c>
      <c r="G11" s="46">
        <v>8.9499999999999993</v>
      </c>
      <c r="J11" s="58"/>
    </row>
    <row r="12" spans="1:10" ht="13.8">
      <c r="A12" s="15" t="s">
        <v>113</v>
      </c>
      <c r="B12" s="46">
        <v>9.4700000000000006</v>
      </c>
      <c r="C12" s="46">
        <v>195</v>
      </c>
      <c r="D12" s="46">
        <v>17.399999999999999</v>
      </c>
      <c r="E12" s="46">
        <v>16.600000000000001</v>
      </c>
      <c r="F12" s="46">
        <v>19.7</v>
      </c>
      <c r="G12" s="46">
        <v>8</v>
      </c>
      <c r="J12" s="58"/>
    </row>
    <row r="13" spans="1:10" ht="13.8">
      <c r="A13" s="15" t="s">
        <v>114</v>
      </c>
      <c r="B13" s="46">
        <v>9.33</v>
      </c>
      <c r="C13" s="46">
        <v>142</v>
      </c>
      <c r="D13" s="46">
        <v>17.2</v>
      </c>
      <c r="E13" s="46">
        <v>17.5</v>
      </c>
      <c r="F13" s="46">
        <v>22.9</v>
      </c>
      <c r="G13" s="46">
        <v>9.5299999999999994</v>
      </c>
      <c r="J13" s="58"/>
    </row>
    <row r="14" spans="1:10" ht="13.8">
      <c r="A14" s="15" t="s">
        <v>115</v>
      </c>
      <c r="B14" s="46">
        <v>8.48</v>
      </c>
      <c r="C14" s="46">
        <v>155</v>
      </c>
      <c r="D14" s="46">
        <v>17.399999999999999</v>
      </c>
      <c r="E14" s="46">
        <v>15.8</v>
      </c>
      <c r="F14" s="46">
        <v>21.5</v>
      </c>
      <c r="G14" s="46">
        <v>9.89</v>
      </c>
      <c r="J14" s="58"/>
    </row>
    <row r="15" spans="1:10" ht="13.8">
      <c r="A15" s="15" t="s">
        <v>116</v>
      </c>
      <c r="B15" s="46">
        <v>8.57</v>
      </c>
      <c r="C15" s="46">
        <v>161</v>
      </c>
      <c r="D15" s="46">
        <v>19.5</v>
      </c>
      <c r="E15" s="46">
        <v>14.8</v>
      </c>
      <c r="F15" s="46">
        <v>20.5</v>
      </c>
      <c r="G15" s="46">
        <v>9.15</v>
      </c>
      <c r="J15" s="58"/>
    </row>
    <row r="16" spans="1:10" ht="13.8">
      <c r="A16" s="15" t="s">
        <v>117</v>
      </c>
      <c r="B16" s="46">
        <v>10.8</v>
      </c>
      <c r="C16" s="46">
        <v>194</v>
      </c>
      <c r="D16" s="46">
        <v>21.3</v>
      </c>
      <c r="E16" s="46">
        <v>18.400000000000002</v>
      </c>
      <c r="F16" s="46">
        <v>21</v>
      </c>
      <c r="G16" s="46">
        <v>11.1</v>
      </c>
      <c r="J16" s="58"/>
    </row>
    <row r="17" spans="1:10" ht="13.8">
      <c r="A17" s="15" t="s">
        <v>118</v>
      </c>
      <c r="B17" s="46">
        <v>13.3</v>
      </c>
      <c r="C17" s="46">
        <v>243</v>
      </c>
      <c r="D17" s="88">
        <v>32.9</v>
      </c>
      <c r="E17" s="46">
        <v>32.9</v>
      </c>
      <c r="F17" s="46">
        <v>24.3</v>
      </c>
      <c r="G17" s="46">
        <v>25.9</v>
      </c>
      <c r="J17" s="58"/>
    </row>
    <row r="18" spans="1:10" ht="13.8">
      <c r="A18" s="15" t="s">
        <v>119</v>
      </c>
      <c r="B18" s="46">
        <v>14.2</v>
      </c>
      <c r="C18" s="88">
        <v>306</v>
      </c>
      <c r="D18" s="46">
        <v>27.8</v>
      </c>
      <c r="E18" s="46">
        <v>29.8</v>
      </c>
      <c r="F18" s="46">
        <v>26.8</v>
      </c>
      <c r="G18" s="88">
        <v>17.5</v>
      </c>
      <c r="H18" s="98"/>
      <c r="J18" s="58"/>
    </row>
    <row r="19" spans="1:10" ht="13.8">
      <c r="A19" s="15" t="s">
        <v>35</v>
      </c>
      <c r="B19" s="46">
        <v>12.4</v>
      </c>
      <c r="C19" s="46">
        <v>223</v>
      </c>
      <c r="D19" s="88">
        <v>21.2</v>
      </c>
      <c r="E19" s="46">
        <v>24.3</v>
      </c>
      <c r="F19" s="46">
        <v>26.9</v>
      </c>
      <c r="G19" s="88">
        <v>12.1</v>
      </c>
      <c r="H19" s="98"/>
      <c r="J19" s="58"/>
    </row>
    <row r="20" spans="1:10" ht="16.2">
      <c r="A20" s="15" t="s">
        <v>120</v>
      </c>
      <c r="B20" s="46">
        <v>10</v>
      </c>
      <c r="C20" s="46">
        <v>225</v>
      </c>
      <c r="D20" s="88">
        <v>23.3</v>
      </c>
      <c r="E20" s="46">
        <v>20.2</v>
      </c>
      <c r="F20" s="46">
        <v>26.1</v>
      </c>
      <c r="G20" s="88">
        <v>12.5</v>
      </c>
      <c r="H20" s="98"/>
      <c r="J20" s="58"/>
    </row>
    <row r="21" spans="1:10" ht="16.2">
      <c r="A21" s="15" t="s">
        <v>121</v>
      </c>
      <c r="B21" s="46">
        <v>10</v>
      </c>
      <c r="C21" s="46">
        <v>224</v>
      </c>
      <c r="D21" s="88">
        <v>23.05</v>
      </c>
      <c r="E21" s="46">
        <v>22</v>
      </c>
      <c r="F21" s="46">
        <v>25</v>
      </c>
      <c r="G21" s="88">
        <v>13.5</v>
      </c>
      <c r="H21" s="98"/>
      <c r="J21" s="58"/>
    </row>
    <row r="22" spans="1:10" ht="13.8">
      <c r="A22" s="15"/>
      <c r="B22" s="152"/>
      <c r="C22" s="152"/>
      <c r="D22" s="152"/>
      <c r="E22" s="152"/>
      <c r="F22" s="152"/>
      <c r="G22" s="152"/>
      <c r="H22" s="40"/>
      <c r="J22" s="58"/>
    </row>
    <row r="23" spans="1:10" ht="13.8">
      <c r="A23" s="48" t="s">
        <v>35</v>
      </c>
      <c r="B23" s="46"/>
      <c r="C23" s="46"/>
      <c r="D23" s="46"/>
      <c r="E23" s="116"/>
      <c r="F23" s="46"/>
      <c r="G23" s="116"/>
    </row>
    <row r="24" spans="1:10" ht="13.8">
      <c r="A24" s="15" t="s">
        <v>38</v>
      </c>
      <c r="B24" s="46">
        <v>13.2</v>
      </c>
      <c r="C24" s="46">
        <v>242</v>
      </c>
      <c r="D24" s="46">
        <v>24.2</v>
      </c>
      <c r="E24" s="116">
        <v>25</v>
      </c>
      <c r="F24" s="46">
        <v>26.9</v>
      </c>
      <c r="G24" s="116">
        <v>12</v>
      </c>
    </row>
    <row r="25" spans="1:10" ht="13.8">
      <c r="A25" s="15" t="s">
        <v>39</v>
      </c>
      <c r="B25" s="46">
        <v>12.7</v>
      </c>
      <c r="C25" s="46">
        <v>233</v>
      </c>
      <c r="D25" s="46">
        <v>20</v>
      </c>
      <c r="E25" s="116">
        <v>23.7</v>
      </c>
      <c r="F25" s="46">
        <v>26.7</v>
      </c>
      <c r="G25" s="116">
        <v>13</v>
      </c>
    </row>
    <row r="26" spans="1:10" ht="13.8">
      <c r="A26" s="15" t="s">
        <v>40</v>
      </c>
      <c r="B26" s="46">
        <v>13</v>
      </c>
      <c r="C26" s="46">
        <v>227</v>
      </c>
      <c r="D26" s="46">
        <v>22.6</v>
      </c>
      <c r="E26" s="116">
        <v>25.6</v>
      </c>
      <c r="F26" s="46">
        <v>29.4</v>
      </c>
      <c r="G26" s="116">
        <v>12.2</v>
      </c>
    </row>
    <row r="27" spans="1:10" ht="13.8">
      <c r="A27" s="15" t="s">
        <v>42</v>
      </c>
      <c r="B27" s="46">
        <v>13.1</v>
      </c>
      <c r="C27" s="46">
        <v>209</v>
      </c>
      <c r="D27" s="46">
        <v>24</v>
      </c>
      <c r="E27" s="116">
        <v>23.9</v>
      </c>
      <c r="F27" s="46">
        <v>23.7</v>
      </c>
      <c r="G27" s="116">
        <v>13.4</v>
      </c>
    </row>
    <row r="28" spans="1:10" ht="13.8">
      <c r="A28" s="15" t="s">
        <v>43</v>
      </c>
      <c r="B28" s="46">
        <v>12.8</v>
      </c>
      <c r="C28" s="46">
        <v>174</v>
      </c>
      <c r="D28" s="46">
        <v>21.4</v>
      </c>
      <c r="E28" s="116">
        <v>24.4</v>
      </c>
      <c r="F28" s="46">
        <v>27.1</v>
      </c>
      <c r="G28" s="116">
        <v>12.1</v>
      </c>
    </row>
    <row r="29" spans="1:10" ht="13.8">
      <c r="A29" s="15" t="s">
        <v>44</v>
      </c>
      <c r="B29" s="46">
        <v>11.9</v>
      </c>
      <c r="C29" s="46">
        <v>177</v>
      </c>
      <c r="D29" s="46">
        <v>22.4</v>
      </c>
      <c r="E29" s="116">
        <v>22.8</v>
      </c>
      <c r="F29" s="46">
        <v>26.4</v>
      </c>
      <c r="G29" s="116">
        <v>12.3</v>
      </c>
    </row>
    <row r="30" spans="1:10" ht="13.8">
      <c r="A30" s="15" t="s">
        <v>46</v>
      </c>
      <c r="B30" s="46">
        <v>11.8</v>
      </c>
      <c r="C30" s="46" t="s">
        <v>77</v>
      </c>
      <c r="D30" s="46">
        <v>22.5</v>
      </c>
      <c r="E30" s="116">
        <v>21.6</v>
      </c>
      <c r="F30" s="46">
        <v>27</v>
      </c>
      <c r="G30" s="116">
        <v>11.5</v>
      </c>
    </row>
    <row r="31" spans="1:10" ht="13.8">
      <c r="A31" s="15" t="s">
        <v>47</v>
      </c>
      <c r="B31" s="46">
        <v>11.8</v>
      </c>
      <c r="C31" s="46" t="s">
        <v>77</v>
      </c>
      <c r="D31" s="46">
        <v>20</v>
      </c>
      <c r="E31" s="116">
        <v>21.9</v>
      </c>
      <c r="F31" s="46">
        <v>27.2</v>
      </c>
      <c r="G31" s="116">
        <v>12.1</v>
      </c>
    </row>
    <row r="32" spans="1:10" ht="13.8">
      <c r="A32" s="15" t="s">
        <v>48</v>
      </c>
      <c r="B32" s="46">
        <v>11.9</v>
      </c>
      <c r="C32" s="46" t="s">
        <v>77</v>
      </c>
      <c r="D32" s="46">
        <v>23</v>
      </c>
      <c r="E32" s="116">
        <v>25.1</v>
      </c>
      <c r="F32" s="46">
        <v>26.7</v>
      </c>
      <c r="G32" s="116">
        <v>12.2</v>
      </c>
    </row>
    <row r="33" spans="1:12" ht="13.8">
      <c r="A33" s="117" t="s">
        <v>50</v>
      </c>
      <c r="B33" s="116">
        <v>11.8</v>
      </c>
      <c r="C33" s="116" t="s">
        <v>77</v>
      </c>
      <c r="D33" s="46">
        <v>17</v>
      </c>
      <c r="E33" s="116">
        <v>20.6</v>
      </c>
      <c r="F33" s="116">
        <v>26.2</v>
      </c>
      <c r="G33" s="116">
        <v>12</v>
      </c>
    </row>
    <row r="34" spans="1:12" ht="13.8">
      <c r="A34" s="15" t="s">
        <v>51</v>
      </c>
      <c r="B34" s="46">
        <v>11.3</v>
      </c>
      <c r="C34" s="46" t="s">
        <v>77</v>
      </c>
      <c r="D34" s="46">
        <v>20.9</v>
      </c>
      <c r="E34" s="46">
        <v>20.3</v>
      </c>
      <c r="F34" s="46">
        <v>27.3</v>
      </c>
      <c r="G34" s="46">
        <v>12.2</v>
      </c>
    </row>
    <row r="35" spans="1:12" ht="13.8">
      <c r="A35" s="15" t="s">
        <v>52</v>
      </c>
      <c r="B35" s="46">
        <v>10.3</v>
      </c>
      <c r="C35" s="46">
        <v>226</v>
      </c>
      <c r="D35" s="46">
        <v>18</v>
      </c>
      <c r="E35" s="46">
        <v>20</v>
      </c>
      <c r="F35" s="46">
        <v>26.8</v>
      </c>
      <c r="G35" s="46">
        <v>12</v>
      </c>
    </row>
    <row r="36" spans="1:12" ht="13.8">
      <c r="A36" s="15"/>
      <c r="B36" s="46"/>
      <c r="C36" s="46"/>
      <c r="D36" s="46"/>
      <c r="E36" s="116"/>
      <c r="F36" s="46"/>
      <c r="G36" s="116"/>
    </row>
    <row r="37" spans="1:12" ht="13.8">
      <c r="A37" s="48" t="s">
        <v>54</v>
      </c>
      <c r="B37" s="46"/>
      <c r="C37" s="46"/>
      <c r="D37" s="46"/>
      <c r="E37" s="116"/>
      <c r="F37" s="46"/>
      <c r="G37" s="116"/>
    </row>
    <row r="38" spans="1:12" ht="13.8">
      <c r="A38" s="15" t="s">
        <v>38</v>
      </c>
      <c r="B38" s="46">
        <v>10.199999999999999</v>
      </c>
      <c r="C38" s="46">
        <v>229</v>
      </c>
      <c r="D38" s="46">
        <v>18.2</v>
      </c>
      <c r="E38" s="46">
        <v>19</v>
      </c>
      <c r="F38" s="46">
        <v>26.7</v>
      </c>
      <c r="G38" s="46">
        <v>12</v>
      </c>
      <c r="L38" s="58"/>
    </row>
    <row r="39" spans="1:12" ht="13.8">
      <c r="A39" s="15" t="s">
        <v>39</v>
      </c>
      <c r="B39" s="46">
        <v>9.91</v>
      </c>
      <c r="C39" s="46">
        <v>223</v>
      </c>
      <c r="D39" s="46">
        <v>21</v>
      </c>
      <c r="E39" s="46">
        <v>20.3</v>
      </c>
      <c r="F39" s="46">
        <v>26</v>
      </c>
      <c r="G39" s="46">
        <v>11.9</v>
      </c>
      <c r="L39" s="58"/>
    </row>
    <row r="40" spans="1:12" ht="13.8">
      <c r="A40" s="15" t="s">
        <v>40</v>
      </c>
      <c r="B40" s="46">
        <v>9.84</v>
      </c>
      <c r="C40" s="46">
        <v>221</v>
      </c>
      <c r="D40" s="46">
        <v>18.5</v>
      </c>
      <c r="E40" s="46">
        <v>19.7</v>
      </c>
      <c r="F40" s="46">
        <v>25.2</v>
      </c>
      <c r="G40" s="46">
        <v>11.7</v>
      </c>
      <c r="H40" s="46"/>
      <c r="L40" s="58"/>
    </row>
    <row r="41" spans="1:12" ht="13.8">
      <c r="A41" s="15" t="s">
        <v>42</v>
      </c>
      <c r="B41" s="46">
        <v>9.7899999999999991</v>
      </c>
      <c r="C41" s="46">
        <v>224</v>
      </c>
      <c r="D41" s="46">
        <v>21.5</v>
      </c>
      <c r="E41" s="46">
        <v>19.3</v>
      </c>
      <c r="F41" s="46">
        <v>23.9</v>
      </c>
      <c r="G41" s="46">
        <v>12.3</v>
      </c>
      <c r="L41" s="58"/>
    </row>
    <row r="42" spans="1:12" ht="13.8">
      <c r="A42" s="15" t="s">
        <v>43</v>
      </c>
      <c r="B42" s="46">
        <v>10</v>
      </c>
      <c r="C42" s="46">
        <v>217</v>
      </c>
      <c r="D42" s="46">
        <v>23.1</v>
      </c>
      <c r="E42" s="46">
        <v>20.100000000000001</v>
      </c>
      <c r="F42" s="46">
        <v>25.9</v>
      </c>
      <c r="G42" s="46">
        <v>12.8</v>
      </c>
      <c r="L42" s="58"/>
    </row>
    <row r="43" spans="1:12" s="122" customFormat="1" ht="13.8">
      <c r="A43" s="117" t="s">
        <v>44</v>
      </c>
      <c r="B43" s="116">
        <v>10.199999999999999</v>
      </c>
      <c r="C43" s="116">
        <v>250</v>
      </c>
      <c r="D43" s="116">
        <v>25.2</v>
      </c>
      <c r="E43" s="116">
        <v>20.9</v>
      </c>
      <c r="F43" s="116">
        <v>25.3</v>
      </c>
      <c r="G43" s="116">
        <v>12.5</v>
      </c>
      <c r="L43" s="145"/>
    </row>
    <row r="44" spans="1:12" ht="13.8">
      <c r="A44" s="15" t="s">
        <v>46</v>
      </c>
      <c r="B44" s="46">
        <v>10.199999999999999</v>
      </c>
      <c r="C44" s="46" t="s">
        <v>77</v>
      </c>
      <c r="D44" s="46">
        <v>26.5</v>
      </c>
      <c r="E44" s="46">
        <v>20</v>
      </c>
      <c r="F44" s="46">
        <v>26.4</v>
      </c>
      <c r="G44" s="46">
        <v>13</v>
      </c>
      <c r="L44" s="58"/>
    </row>
    <row r="45" spans="1:12" ht="13.8">
      <c r="A45" s="15" t="s">
        <v>47</v>
      </c>
      <c r="B45" s="46">
        <v>10.199999999999999</v>
      </c>
      <c r="C45" s="46" t="s">
        <v>77</v>
      </c>
      <c r="D45" s="46">
        <v>26.9</v>
      </c>
      <c r="E45" s="46">
        <v>20.7</v>
      </c>
      <c r="F45" s="46">
        <v>25.6</v>
      </c>
      <c r="G45" s="46">
        <v>13.4</v>
      </c>
      <c r="L45" s="58"/>
    </row>
    <row r="46" spans="1:12" ht="13.8">
      <c r="A46" s="15" t="s">
        <v>48</v>
      </c>
      <c r="B46" s="46">
        <v>10.4</v>
      </c>
      <c r="C46" s="46" t="s">
        <v>77</v>
      </c>
      <c r="D46" s="46">
        <v>28.7</v>
      </c>
      <c r="E46" s="46">
        <v>23.6</v>
      </c>
      <c r="F46" s="46">
        <v>25.9</v>
      </c>
      <c r="G46" s="46">
        <v>13.1</v>
      </c>
      <c r="L46" s="58"/>
    </row>
    <row r="47" spans="1:12" ht="13.8">
      <c r="A47" s="15" t="s">
        <v>50</v>
      </c>
      <c r="B47" s="46">
        <v>10.4</v>
      </c>
      <c r="C47" s="46" t="s">
        <v>77</v>
      </c>
      <c r="D47" s="46">
        <v>30.7</v>
      </c>
      <c r="E47" s="46">
        <v>22.2</v>
      </c>
      <c r="F47" s="46">
        <v>26.4</v>
      </c>
      <c r="G47" s="46">
        <v>14.6</v>
      </c>
      <c r="L47" s="58"/>
    </row>
    <row r="48" spans="1:12" ht="13.8">
      <c r="A48" s="15" t="s">
        <v>51</v>
      </c>
      <c r="B48" s="46">
        <v>10.199999999999999</v>
      </c>
      <c r="C48" s="46" t="s">
        <v>77</v>
      </c>
      <c r="D48" s="46">
        <v>29.3</v>
      </c>
      <c r="E48" s="46">
        <v>22.7</v>
      </c>
      <c r="F48" s="46">
        <v>27.1</v>
      </c>
      <c r="G48" s="46">
        <v>14.1</v>
      </c>
      <c r="L48" s="58"/>
    </row>
    <row r="49" spans="1:8" ht="16.2">
      <c r="A49" s="171" t="s">
        <v>160</v>
      </c>
      <c r="B49" s="66"/>
      <c r="C49" s="66"/>
      <c r="D49" s="66"/>
      <c r="E49" s="66"/>
      <c r="F49" s="66"/>
      <c r="G49" s="66"/>
      <c r="H49" s="89"/>
    </row>
    <row r="50" spans="1:8" ht="14.4">
      <c r="A50" s="15" t="s">
        <v>122</v>
      </c>
      <c r="B50" s="15"/>
      <c r="C50" s="15"/>
      <c r="D50" s="15"/>
      <c r="E50" s="15"/>
      <c r="F50" s="15"/>
      <c r="G50" s="15"/>
    </row>
    <row r="51" spans="1:8" ht="13.8">
      <c r="A51" s="20" t="s">
        <v>57</v>
      </c>
      <c r="B51" s="36">
        <f>Contents!A18</f>
        <v>45916</v>
      </c>
      <c r="C51" s="15"/>
      <c r="D51" s="15"/>
      <c r="E51" s="15"/>
      <c r="F51" s="15"/>
      <c r="G51" s="15"/>
    </row>
  </sheetData>
  <phoneticPr fontId="61" type="noConversion"/>
  <pageMargins left="0.75" right="0.75" top="1" bottom="1" header="0.5" footer="0.5"/>
  <pageSetup scale="6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N72"/>
  <sheetViews>
    <sheetView showGridLines="0" zoomScale="70" zoomScaleNormal="70" workbookViewId="0">
      <pane xSplit="1" ySplit="4" topLeftCell="B5" activePane="bottomRight" state="frozen"/>
      <selection pane="topRight" activeCell="F44" sqref="F44"/>
      <selection pane="bottomLeft" activeCell="F44" sqref="F44"/>
      <selection pane="bottomRight"/>
    </sheetView>
  </sheetViews>
  <sheetFormatPr defaultColWidth="9.33203125" defaultRowHeight="13.2"/>
  <cols>
    <col min="1" max="1" width="20.5546875" customWidth="1"/>
    <col min="2" max="2" width="11.5546875" customWidth="1"/>
    <col min="3" max="3" width="12.33203125" bestFit="1" customWidth="1"/>
    <col min="4" max="4" width="13.5546875" customWidth="1"/>
    <col min="5" max="5" width="11.5546875" customWidth="1"/>
    <col min="6" max="7" width="13.33203125" customWidth="1"/>
    <col min="8" max="8" width="12" customWidth="1"/>
    <col min="9" max="9" width="13.44140625" customWidth="1"/>
  </cols>
  <sheetData>
    <row r="1" spans="1:14" ht="13.8">
      <c r="A1" s="14" t="s">
        <v>9</v>
      </c>
      <c r="B1" s="14"/>
      <c r="C1" s="14"/>
      <c r="D1" s="14"/>
      <c r="E1" s="14"/>
      <c r="F1" s="14"/>
      <c r="G1" s="14"/>
      <c r="H1" s="14"/>
      <c r="I1" s="15"/>
    </row>
    <row r="2" spans="1:14" ht="15.6" customHeight="1">
      <c r="A2" s="49" t="s">
        <v>95</v>
      </c>
      <c r="B2" s="17" t="s">
        <v>123</v>
      </c>
      <c r="C2" s="17" t="s">
        <v>124</v>
      </c>
      <c r="D2" s="17" t="s">
        <v>125</v>
      </c>
      <c r="E2" s="50" t="s">
        <v>126</v>
      </c>
      <c r="F2" s="50" t="s">
        <v>127</v>
      </c>
      <c r="G2" s="17" t="s">
        <v>128</v>
      </c>
      <c r="H2" s="17" t="s">
        <v>129</v>
      </c>
      <c r="I2" s="51" t="s">
        <v>130</v>
      </c>
    </row>
    <row r="3" spans="1:14" ht="15.6" customHeight="1">
      <c r="A3" s="52" t="s">
        <v>102</v>
      </c>
      <c r="B3" s="23" t="s">
        <v>131</v>
      </c>
      <c r="C3" s="23" t="s">
        <v>132</v>
      </c>
      <c r="D3" s="23" t="s">
        <v>133</v>
      </c>
      <c r="E3" s="23" t="s">
        <v>133</v>
      </c>
      <c r="F3" s="23" t="s">
        <v>134</v>
      </c>
      <c r="G3" s="23" t="s">
        <v>135</v>
      </c>
      <c r="H3" s="23"/>
      <c r="I3" s="23" t="s">
        <v>136</v>
      </c>
    </row>
    <row r="4" spans="1:14" ht="14.4">
      <c r="A4" s="53" t="s">
        <v>137</v>
      </c>
      <c r="C4" s="54"/>
      <c r="D4" s="54"/>
      <c r="E4" s="54"/>
      <c r="F4" s="54"/>
      <c r="G4" s="54"/>
      <c r="H4" s="54"/>
      <c r="I4" s="54"/>
    </row>
    <row r="5" spans="1:14" ht="13.8">
      <c r="A5" s="15"/>
      <c r="B5" s="15"/>
      <c r="C5" s="15"/>
      <c r="D5" s="15"/>
      <c r="E5" s="15"/>
      <c r="F5" s="15"/>
      <c r="G5" s="15"/>
      <c r="H5" s="15"/>
      <c r="I5" s="15"/>
    </row>
    <row r="6" spans="1:14" ht="13.8">
      <c r="A6" s="15" t="s">
        <v>107</v>
      </c>
      <c r="B6" s="46">
        <v>53.2</v>
      </c>
      <c r="C6" s="46">
        <v>54.5</v>
      </c>
      <c r="D6" s="46">
        <v>86.12</v>
      </c>
      <c r="E6" s="46">
        <v>58.68</v>
      </c>
      <c r="F6" s="46">
        <v>77.239999999999995</v>
      </c>
      <c r="G6" s="46">
        <v>60.76</v>
      </c>
      <c r="H6" s="46">
        <v>51.52</v>
      </c>
      <c r="I6" s="46">
        <v>51.34</v>
      </c>
    </row>
    <row r="7" spans="1:14" ht="13.8">
      <c r="A7" s="15" t="s">
        <v>108</v>
      </c>
      <c r="B7" s="46">
        <v>51.9</v>
      </c>
      <c r="C7" s="46">
        <v>53.22</v>
      </c>
      <c r="D7" s="46">
        <v>83.2</v>
      </c>
      <c r="E7" s="46">
        <v>57.19</v>
      </c>
      <c r="F7" s="46">
        <v>100.15</v>
      </c>
      <c r="G7" s="46">
        <v>56.09</v>
      </c>
      <c r="H7" s="46">
        <v>48.11</v>
      </c>
      <c r="I7" s="46">
        <v>50.33</v>
      </c>
    </row>
    <row r="8" spans="1:14" ht="13.8">
      <c r="A8" s="15" t="s">
        <v>109</v>
      </c>
      <c r="B8" s="46">
        <v>47.13</v>
      </c>
      <c r="C8" s="46">
        <v>48.6</v>
      </c>
      <c r="D8" s="46">
        <v>65.87</v>
      </c>
      <c r="E8" s="46">
        <v>56.17</v>
      </c>
      <c r="F8" s="46">
        <v>91.83</v>
      </c>
      <c r="G8" s="46">
        <v>46.66</v>
      </c>
      <c r="H8" s="46">
        <v>51.8</v>
      </c>
      <c r="I8" s="46">
        <v>43.24</v>
      </c>
    </row>
    <row r="9" spans="1:14" ht="13.8">
      <c r="A9" s="15" t="s">
        <v>110</v>
      </c>
      <c r="B9" s="46">
        <v>38.229999999999997</v>
      </c>
      <c r="C9" s="46">
        <v>60.66</v>
      </c>
      <c r="D9" s="46">
        <v>59.12</v>
      </c>
      <c r="E9" s="46">
        <v>43.7</v>
      </c>
      <c r="F9" s="46">
        <v>68.23</v>
      </c>
      <c r="G9" s="46">
        <v>39.43</v>
      </c>
      <c r="H9" s="46">
        <v>43.93</v>
      </c>
      <c r="I9" s="46">
        <v>39.76</v>
      </c>
    </row>
    <row r="10" spans="1:14" ht="13.8">
      <c r="A10" s="15" t="s">
        <v>111</v>
      </c>
      <c r="B10" s="46">
        <v>31.6</v>
      </c>
      <c r="C10" s="46">
        <v>45.74</v>
      </c>
      <c r="D10" s="46">
        <v>66.72</v>
      </c>
      <c r="E10" s="46">
        <v>37.81</v>
      </c>
      <c r="F10" s="46">
        <v>57.96</v>
      </c>
      <c r="G10" s="46">
        <v>37.479999999999997</v>
      </c>
      <c r="H10" s="46">
        <v>33.43</v>
      </c>
      <c r="I10" s="46">
        <v>31.36</v>
      </c>
    </row>
    <row r="11" spans="1:14" ht="13.8">
      <c r="A11" s="15" t="s">
        <v>112</v>
      </c>
      <c r="B11" s="46">
        <v>29.86</v>
      </c>
      <c r="C11" s="46">
        <v>45.87</v>
      </c>
      <c r="D11" s="46">
        <v>57.81</v>
      </c>
      <c r="E11" s="46">
        <v>35.270000000000003</v>
      </c>
      <c r="F11" s="46">
        <v>58.26</v>
      </c>
      <c r="G11" s="46">
        <v>39.25</v>
      </c>
      <c r="H11" s="46">
        <v>32.229999999999997</v>
      </c>
      <c r="I11" s="46">
        <v>30.07</v>
      </c>
    </row>
    <row r="12" spans="1:14" ht="13.8">
      <c r="A12" s="15" t="s">
        <v>113</v>
      </c>
      <c r="B12" s="46">
        <v>32.549999999999997</v>
      </c>
      <c r="C12" s="46">
        <v>40.92</v>
      </c>
      <c r="D12" s="46">
        <v>53.54</v>
      </c>
      <c r="E12" s="46">
        <v>38.729999999999997</v>
      </c>
      <c r="F12" s="46">
        <v>66.73</v>
      </c>
      <c r="G12" s="46">
        <v>37.43</v>
      </c>
      <c r="H12" s="46">
        <v>33.07</v>
      </c>
      <c r="I12" s="46">
        <v>34.75</v>
      </c>
    </row>
    <row r="13" spans="1:14" ht="13.8">
      <c r="A13" s="15" t="s">
        <v>114</v>
      </c>
      <c r="B13" s="46">
        <v>30.04</v>
      </c>
      <c r="C13" s="46">
        <v>31.87</v>
      </c>
      <c r="D13" s="46">
        <v>54.57</v>
      </c>
      <c r="E13" s="46">
        <v>38.270000000000003</v>
      </c>
      <c r="F13" s="46">
        <v>66.72</v>
      </c>
      <c r="G13" s="46">
        <v>30.35</v>
      </c>
      <c r="H13" s="46">
        <v>34.159999999999997</v>
      </c>
      <c r="I13" s="46">
        <v>31.21</v>
      </c>
    </row>
    <row r="14" spans="1:14" ht="13.8">
      <c r="A14" s="15" t="s">
        <v>115</v>
      </c>
      <c r="B14" s="46">
        <v>28.26</v>
      </c>
      <c r="C14" s="46">
        <v>35.14</v>
      </c>
      <c r="D14" s="46">
        <v>53.28</v>
      </c>
      <c r="E14" s="46">
        <v>36.090000000000003</v>
      </c>
      <c r="F14" s="46">
        <v>64.72</v>
      </c>
      <c r="G14" s="46">
        <v>26.93</v>
      </c>
      <c r="H14" s="46">
        <v>31.65</v>
      </c>
      <c r="I14" s="46">
        <v>33.11</v>
      </c>
    </row>
    <row r="15" spans="1:14" ht="13.8">
      <c r="A15" s="15" t="s">
        <v>116</v>
      </c>
      <c r="B15" s="46">
        <v>29.65</v>
      </c>
      <c r="C15" s="46">
        <v>40.18</v>
      </c>
      <c r="D15" s="46">
        <v>65.03</v>
      </c>
      <c r="E15" s="46">
        <v>37.869999999999997</v>
      </c>
      <c r="F15" s="46">
        <v>65.599999999999994</v>
      </c>
      <c r="G15" s="46">
        <v>39.47</v>
      </c>
      <c r="H15" s="46">
        <v>35.75</v>
      </c>
      <c r="I15" s="46">
        <v>38.369999999999997</v>
      </c>
      <c r="M15" s="58"/>
      <c r="N15" s="58"/>
    </row>
    <row r="16" spans="1:14" ht="13.8">
      <c r="A16" s="15" t="s">
        <v>117</v>
      </c>
      <c r="B16" s="46">
        <v>56.87</v>
      </c>
      <c r="C16" s="46">
        <v>80.94</v>
      </c>
      <c r="D16" s="46">
        <v>79</v>
      </c>
      <c r="E16" s="46">
        <v>70.459999999999994</v>
      </c>
      <c r="F16" s="46">
        <v>99.4</v>
      </c>
      <c r="G16" s="46">
        <v>53.88</v>
      </c>
      <c r="H16" s="46">
        <v>55.89</v>
      </c>
      <c r="I16" s="46">
        <v>54.98</v>
      </c>
      <c r="M16" s="58"/>
      <c r="N16" s="58"/>
    </row>
    <row r="17" spans="1:14" ht="13.8">
      <c r="A17" s="15" t="s">
        <v>118</v>
      </c>
      <c r="B17" s="46">
        <v>72.98</v>
      </c>
      <c r="C17" s="46">
        <v>107.15</v>
      </c>
      <c r="D17" s="46">
        <v>111.39</v>
      </c>
      <c r="E17" s="46">
        <v>90.52</v>
      </c>
      <c r="F17" s="46">
        <v>106.8</v>
      </c>
      <c r="G17" s="46">
        <v>64.28</v>
      </c>
      <c r="H17" s="46">
        <v>82</v>
      </c>
      <c r="I17" s="46">
        <v>81.84</v>
      </c>
      <c r="M17" s="58"/>
      <c r="N17" s="58"/>
    </row>
    <row r="18" spans="1:14" ht="13.8">
      <c r="A18" s="15" t="s">
        <v>119</v>
      </c>
      <c r="B18" s="46">
        <v>65.260000000000005</v>
      </c>
      <c r="C18" s="46">
        <v>102.53</v>
      </c>
      <c r="D18" s="46">
        <v>80.11</v>
      </c>
      <c r="E18" s="46">
        <v>73.14</v>
      </c>
      <c r="F18" s="46">
        <v>96.5</v>
      </c>
      <c r="G18" s="46">
        <v>61.62</v>
      </c>
      <c r="H18" s="46">
        <v>84.25</v>
      </c>
      <c r="I18" s="46">
        <v>76.95</v>
      </c>
      <c r="M18" s="58"/>
      <c r="N18" s="58"/>
    </row>
    <row r="19" spans="1:14" ht="13.8">
      <c r="A19" s="15" t="s">
        <v>35</v>
      </c>
      <c r="B19" s="46">
        <v>47.28</v>
      </c>
      <c r="C19" s="46">
        <v>78.94</v>
      </c>
      <c r="D19" s="46">
        <v>58.65</v>
      </c>
      <c r="E19" s="46">
        <v>55.48</v>
      </c>
      <c r="F19" s="88">
        <v>80.099999999999994</v>
      </c>
      <c r="G19" s="46" t="s">
        <v>77</v>
      </c>
      <c r="H19" s="46">
        <v>55.041249999999998</v>
      </c>
      <c r="I19" s="46">
        <v>53.968000000000004</v>
      </c>
      <c r="M19" s="58"/>
      <c r="N19" s="58"/>
    </row>
    <row r="20" spans="1:14" s="80" customFormat="1" ht="16.2">
      <c r="A20" s="15" t="s">
        <v>138</v>
      </c>
      <c r="B20" s="46">
        <v>47.5</v>
      </c>
      <c r="C20" s="46">
        <v>79</v>
      </c>
      <c r="D20" s="46">
        <v>60</v>
      </c>
      <c r="E20" s="46">
        <v>54.5</v>
      </c>
      <c r="F20" s="46">
        <v>82.5</v>
      </c>
      <c r="G20" s="46" t="s">
        <v>77</v>
      </c>
      <c r="H20" s="46">
        <v>54</v>
      </c>
      <c r="I20" s="46">
        <v>59</v>
      </c>
      <c r="M20" s="204"/>
      <c r="N20" s="204"/>
    </row>
    <row r="21" spans="1:14" s="80" customFormat="1" ht="16.2">
      <c r="A21" s="15" t="s">
        <v>139</v>
      </c>
      <c r="B21" s="46">
        <v>53</v>
      </c>
      <c r="C21" s="46">
        <v>85</v>
      </c>
      <c r="D21" s="46">
        <v>65</v>
      </c>
      <c r="E21" s="46">
        <v>58</v>
      </c>
      <c r="F21" s="46">
        <v>88</v>
      </c>
      <c r="G21" s="46" t="s">
        <v>77</v>
      </c>
      <c r="H21" s="46">
        <v>59</v>
      </c>
      <c r="I21" s="46">
        <f>60+2</f>
        <v>62</v>
      </c>
      <c r="M21" s="204"/>
      <c r="N21" s="204"/>
    </row>
    <row r="22" spans="1:14" ht="13.8">
      <c r="A22" s="129"/>
      <c r="B22" s="128"/>
      <c r="C22" s="128"/>
      <c r="D22" s="128"/>
      <c r="E22" s="128"/>
      <c r="F22" s="128"/>
      <c r="G22" s="128"/>
      <c r="H22" s="128"/>
      <c r="I22" s="128"/>
    </row>
    <row r="23" spans="1:14" ht="13.8">
      <c r="A23" s="30" t="s">
        <v>35</v>
      </c>
      <c r="B23" s="46"/>
      <c r="C23" s="46"/>
      <c r="D23" s="46"/>
      <c r="E23" s="46"/>
      <c r="F23" s="46"/>
      <c r="G23" s="46"/>
      <c r="H23" s="46"/>
      <c r="I23" s="46"/>
    </row>
    <row r="24" spans="1:14" ht="13.8">
      <c r="A24" s="15" t="s">
        <v>39</v>
      </c>
      <c r="B24" s="46">
        <v>56.599999999999994</v>
      </c>
      <c r="C24" s="46">
        <v>92</v>
      </c>
      <c r="D24" s="46">
        <v>64.75</v>
      </c>
      <c r="E24" s="46">
        <v>65.1875</v>
      </c>
      <c r="F24" s="46">
        <v>83.25</v>
      </c>
      <c r="G24" s="46" t="s">
        <v>77</v>
      </c>
      <c r="H24" s="88">
        <v>90</v>
      </c>
      <c r="I24" s="46">
        <v>65.17</v>
      </c>
    </row>
    <row r="25" spans="1:14" ht="13.8">
      <c r="A25" s="15" t="s">
        <v>40</v>
      </c>
      <c r="B25" s="46">
        <v>53.39</v>
      </c>
      <c r="C25" s="46">
        <v>86.38</v>
      </c>
      <c r="D25" s="46">
        <v>62.25</v>
      </c>
      <c r="E25" s="46">
        <v>61.63</v>
      </c>
      <c r="F25" s="46">
        <v>81.5</v>
      </c>
      <c r="G25" s="46" t="s">
        <v>77</v>
      </c>
      <c r="H25" s="88" t="s">
        <v>77</v>
      </c>
      <c r="I25" s="46">
        <v>57.024999999999999</v>
      </c>
    </row>
    <row r="26" spans="1:14" ht="13.8">
      <c r="A26" s="15" t="s">
        <v>42</v>
      </c>
      <c r="B26" s="46">
        <v>52.33</v>
      </c>
      <c r="C26" s="46">
        <v>83.1</v>
      </c>
      <c r="D26" s="46">
        <v>58.6</v>
      </c>
      <c r="E26" s="46">
        <v>59.45</v>
      </c>
      <c r="F26" s="46">
        <v>77.8</v>
      </c>
      <c r="G26" s="46" t="s">
        <v>77</v>
      </c>
      <c r="H26" s="88">
        <v>65</v>
      </c>
      <c r="I26" s="46">
        <v>50.67</v>
      </c>
    </row>
    <row r="27" spans="1:14" ht="13.8">
      <c r="A27" s="15" t="s">
        <v>43</v>
      </c>
      <c r="B27" s="46">
        <v>49.1</v>
      </c>
      <c r="C27" s="46">
        <v>79.5</v>
      </c>
      <c r="D27" s="46">
        <v>58.13</v>
      </c>
      <c r="E27" s="46">
        <v>57.25</v>
      </c>
      <c r="F27" s="46">
        <v>76.5</v>
      </c>
      <c r="G27" s="46" t="s">
        <v>77</v>
      </c>
      <c r="H27" s="88" t="s">
        <v>77</v>
      </c>
      <c r="I27" s="46" t="s">
        <v>77</v>
      </c>
    </row>
    <row r="28" spans="1:14" ht="13.8">
      <c r="A28" s="15" t="s">
        <v>44</v>
      </c>
      <c r="B28" s="46">
        <v>47.33</v>
      </c>
      <c r="C28" s="46">
        <v>76.5</v>
      </c>
      <c r="D28" s="46">
        <v>57.38</v>
      </c>
      <c r="E28" s="46">
        <v>53.06</v>
      </c>
      <c r="F28" s="46">
        <v>76.75</v>
      </c>
      <c r="G28" s="46" t="s">
        <v>77</v>
      </c>
      <c r="H28" s="88">
        <v>45.33</v>
      </c>
      <c r="I28" s="46">
        <v>52.5</v>
      </c>
    </row>
    <row r="29" spans="1:14" ht="13.8">
      <c r="A29" s="15" t="s">
        <v>46</v>
      </c>
      <c r="B29" s="46">
        <v>46.57</v>
      </c>
      <c r="C29" s="46">
        <v>79.95</v>
      </c>
      <c r="D29" s="46">
        <v>57.45</v>
      </c>
      <c r="E29" s="46">
        <v>55.55</v>
      </c>
      <c r="F29" s="46">
        <v>76</v>
      </c>
      <c r="G29" s="46" t="s">
        <v>77</v>
      </c>
      <c r="H29" s="88" t="s">
        <v>77</v>
      </c>
      <c r="I29" s="46">
        <v>52</v>
      </c>
    </row>
    <row r="30" spans="1:14" ht="13.8">
      <c r="A30" s="15" t="s">
        <v>47</v>
      </c>
      <c r="B30" s="46">
        <v>45.1325</v>
      </c>
      <c r="C30" s="46">
        <v>77.25</v>
      </c>
      <c r="D30" s="46">
        <v>56.06</v>
      </c>
      <c r="E30" s="46">
        <v>54.38</v>
      </c>
      <c r="F30" s="46">
        <v>75.13</v>
      </c>
      <c r="G30" s="46" t="s">
        <v>77</v>
      </c>
      <c r="H30" s="88">
        <v>41</v>
      </c>
      <c r="I30" s="46">
        <v>52.17</v>
      </c>
    </row>
    <row r="31" spans="1:14" ht="13.8">
      <c r="A31" s="15" t="s">
        <v>48</v>
      </c>
      <c r="B31" s="46">
        <v>43.302</v>
      </c>
      <c r="C31" s="46">
        <v>74.55</v>
      </c>
      <c r="D31" s="46">
        <v>54.6</v>
      </c>
      <c r="E31" s="46">
        <v>52.75</v>
      </c>
      <c r="F31" s="46">
        <v>73.8</v>
      </c>
      <c r="G31" s="46" t="s">
        <v>77</v>
      </c>
      <c r="H31" s="88">
        <v>42</v>
      </c>
      <c r="I31" s="46">
        <v>48.875</v>
      </c>
    </row>
    <row r="32" spans="1:14" ht="13.8">
      <c r="A32" s="15" t="s">
        <v>50</v>
      </c>
      <c r="B32" s="46">
        <v>42.51</v>
      </c>
      <c r="C32" s="46">
        <v>74.38</v>
      </c>
      <c r="D32" s="46">
        <v>58.88</v>
      </c>
      <c r="E32" s="46">
        <v>51.31</v>
      </c>
      <c r="F32" s="46">
        <v>77.5</v>
      </c>
      <c r="G32" s="46" t="s">
        <v>77</v>
      </c>
      <c r="H32" s="88">
        <v>46</v>
      </c>
      <c r="I32" s="46">
        <v>54.1</v>
      </c>
    </row>
    <row r="33" spans="1:10" ht="13.8">
      <c r="A33" s="15" t="s">
        <v>51</v>
      </c>
      <c r="B33" s="46">
        <v>45.57</v>
      </c>
      <c r="C33" s="46">
        <v>77.94</v>
      </c>
      <c r="D33" s="46">
        <v>59.69</v>
      </c>
      <c r="E33" s="46">
        <v>54.75</v>
      </c>
      <c r="F33" s="46">
        <v>79</v>
      </c>
      <c r="G33" s="46" t="s">
        <v>77</v>
      </c>
      <c r="H33" s="88">
        <v>55</v>
      </c>
      <c r="I33" s="88">
        <v>54.5</v>
      </c>
    </row>
    <row r="34" spans="1:10" ht="13.8">
      <c r="A34" s="15" t="s">
        <v>52</v>
      </c>
      <c r="B34" s="46">
        <v>42.51</v>
      </c>
      <c r="C34" s="46">
        <v>72.95</v>
      </c>
      <c r="D34" s="46">
        <v>58.1</v>
      </c>
      <c r="E34" s="46">
        <v>51.05</v>
      </c>
      <c r="F34" s="46">
        <v>78.8</v>
      </c>
      <c r="G34" s="46" t="s">
        <v>77</v>
      </c>
      <c r="H34" s="88">
        <v>56</v>
      </c>
      <c r="I34" s="88">
        <v>52.67</v>
      </c>
    </row>
    <row r="35" spans="1:10" ht="13.8">
      <c r="A35" s="15" t="s">
        <v>38</v>
      </c>
      <c r="B35" s="46">
        <v>43.04</v>
      </c>
      <c r="C35" s="46">
        <v>72.75</v>
      </c>
      <c r="D35" s="46">
        <v>57.9375</v>
      </c>
      <c r="E35" s="46">
        <v>49.4375</v>
      </c>
      <c r="F35" s="46">
        <v>79.25</v>
      </c>
      <c r="G35" s="46" t="s">
        <v>77</v>
      </c>
      <c r="H35" s="88" t="s">
        <v>77</v>
      </c>
      <c r="I35" s="88" t="s">
        <v>77</v>
      </c>
    </row>
    <row r="36" spans="1:10" ht="13.8">
      <c r="A36" s="15"/>
      <c r="B36" s="46"/>
      <c r="C36" s="46"/>
      <c r="D36" s="46"/>
      <c r="E36" s="46"/>
      <c r="F36" s="46"/>
      <c r="G36" s="46"/>
      <c r="H36" s="46"/>
      <c r="I36" s="46"/>
    </row>
    <row r="37" spans="1:10" ht="13.8">
      <c r="A37" s="30" t="s">
        <v>54</v>
      </c>
      <c r="B37" s="46"/>
      <c r="C37" s="46"/>
      <c r="D37" s="46"/>
      <c r="E37" s="46"/>
      <c r="F37" s="46"/>
      <c r="G37" s="46"/>
      <c r="H37" s="46"/>
      <c r="I37" s="46"/>
      <c r="J37" s="98"/>
    </row>
    <row r="38" spans="1:10" ht="13.8">
      <c r="A38" s="15" t="s">
        <v>39</v>
      </c>
      <c r="B38" s="46">
        <v>44.3</v>
      </c>
      <c r="C38" s="46">
        <v>75.06</v>
      </c>
      <c r="D38" s="46">
        <v>59.5</v>
      </c>
      <c r="E38" s="46">
        <v>50.69</v>
      </c>
      <c r="F38" s="46">
        <v>79.13</v>
      </c>
      <c r="G38" s="46" t="s">
        <v>77</v>
      </c>
      <c r="H38" s="88" t="s">
        <v>77</v>
      </c>
      <c r="I38" s="46">
        <v>49.625</v>
      </c>
      <c r="J38" s="120"/>
    </row>
    <row r="39" spans="1:10" ht="13.8">
      <c r="A39" s="15" t="s">
        <v>40</v>
      </c>
      <c r="B39" s="46">
        <v>45.604999999999997</v>
      </c>
      <c r="C39" s="46">
        <v>76.349999999999994</v>
      </c>
      <c r="D39" s="46">
        <v>59.7</v>
      </c>
      <c r="E39" s="46">
        <v>51.45</v>
      </c>
      <c r="F39" s="46">
        <v>78.2</v>
      </c>
      <c r="G39" s="46" t="s">
        <v>77</v>
      </c>
      <c r="H39" s="88" t="s">
        <v>77</v>
      </c>
      <c r="I39" s="46" t="s">
        <v>77</v>
      </c>
      <c r="J39" s="120"/>
    </row>
    <row r="40" spans="1:10" ht="13.8">
      <c r="A40" s="15" t="s">
        <v>42</v>
      </c>
      <c r="B40" s="46">
        <v>42.48</v>
      </c>
      <c r="C40" s="46">
        <v>71.56</v>
      </c>
      <c r="D40" s="46">
        <v>58.13</v>
      </c>
      <c r="E40" s="46">
        <v>46.94</v>
      </c>
      <c r="F40" s="46">
        <v>78.25</v>
      </c>
      <c r="G40" s="46" t="s">
        <v>77</v>
      </c>
      <c r="H40" s="88">
        <v>55</v>
      </c>
      <c r="I40" s="46" t="s">
        <v>77</v>
      </c>
      <c r="J40" s="120"/>
    </row>
    <row r="41" spans="1:10" ht="13.8">
      <c r="A41" s="15" t="s">
        <v>140</v>
      </c>
      <c r="B41" s="46">
        <v>43.305999999999997</v>
      </c>
      <c r="C41" s="46">
        <v>75.349999999999994</v>
      </c>
      <c r="D41" s="46">
        <v>59.5</v>
      </c>
      <c r="E41" s="46">
        <v>49.8</v>
      </c>
      <c r="F41" s="46">
        <v>79.599999999999994</v>
      </c>
      <c r="G41" s="46" t="s">
        <v>77</v>
      </c>
      <c r="H41" s="88">
        <v>45.5</v>
      </c>
      <c r="I41" s="46" t="s">
        <v>77</v>
      </c>
      <c r="J41" s="120"/>
    </row>
    <row r="42" spans="1:10" ht="13.8">
      <c r="A42" s="15" t="s">
        <v>44</v>
      </c>
      <c r="B42" s="46">
        <v>44.497500000000002</v>
      </c>
      <c r="C42" s="46">
        <v>77.19</v>
      </c>
      <c r="D42" s="46">
        <v>60.88</v>
      </c>
      <c r="E42" s="46">
        <v>50.81</v>
      </c>
      <c r="F42" s="46">
        <v>80.25</v>
      </c>
      <c r="G42" s="46" t="s">
        <v>77</v>
      </c>
      <c r="H42" s="88" t="s">
        <v>77</v>
      </c>
      <c r="I42" s="46">
        <v>57</v>
      </c>
      <c r="J42" s="120"/>
    </row>
    <row r="43" spans="1:10" ht="13.8">
      <c r="A43" s="15" t="s">
        <v>46</v>
      </c>
      <c r="B43" s="46">
        <v>41.994999999999997</v>
      </c>
      <c r="C43" s="46">
        <v>74.13</v>
      </c>
      <c r="D43" s="46">
        <v>60.3125</v>
      </c>
      <c r="E43" s="46">
        <v>47.88</v>
      </c>
      <c r="F43" s="46">
        <v>78.88</v>
      </c>
      <c r="G43" s="46" t="s">
        <v>77</v>
      </c>
      <c r="H43" s="88" t="s">
        <v>77</v>
      </c>
      <c r="I43" s="46">
        <v>50.33</v>
      </c>
      <c r="J43" s="120"/>
    </row>
    <row r="44" spans="1:10" ht="13.8">
      <c r="A44" s="15" t="s">
        <v>47</v>
      </c>
      <c r="B44" s="46">
        <v>47.142499999999998</v>
      </c>
      <c r="C44" s="46">
        <v>79.75</v>
      </c>
      <c r="D44" s="46">
        <v>61.75</v>
      </c>
      <c r="E44" s="46">
        <v>53.88</v>
      </c>
      <c r="F44" s="46">
        <v>80.13</v>
      </c>
      <c r="G44" s="46" t="s">
        <v>77</v>
      </c>
      <c r="H44" s="88" t="s">
        <v>77</v>
      </c>
      <c r="I44" s="46">
        <v>56</v>
      </c>
      <c r="J44" s="120"/>
    </row>
    <row r="45" spans="1:10" ht="13.8">
      <c r="A45" s="15" t="s">
        <v>48</v>
      </c>
      <c r="B45" s="46">
        <v>48.514000000000003</v>
      </c>
      <c r="C45" s="46">
        <v>80.2</v>
      </c>
      <c r="D45" s="46">
        <v>60.7</v>
      </c>
      <c r="E45" s="46">
        <v>56.3</v>
      </c>
      <c r="F45" s="46">
        <v>79.2</v>
      </c>
      <c r="G45" s="46" t="s">
        <v>77</v>
      </c>
      <c r="H45" s="88">
        <v>57</v>
      </c>
      <c r="I45" s="46">
        <v>58</v>
      </c>
      <c r="J45" s="120"/>
    </row>
    <row r="46" spans="1:10" ht="13.8">
      <c r="A46" s="15" t="s">
        <v>50</v>
      </c>
      <c r="B46" s="46">
        <v>50.792499999999997</v>
      </c>
      <c r="C46" s="46">
        <v>83.13</v>
      </c>
      <c r="D46" s="46">
        <v>59.19</v>
      </c>
      <c r="E46" s="46">
        <v>62.75</v>
      </c>
      <c r="F46" s="46">
        <v>79.25</v>
      </c>
      <c r="G46" s="46" t="s">
        <v>77</v>
      </c>
      <c r="H46" s="88">
        <v>60</v>
      </c>
      <c r="I46" s="46">
        <v>72</v>
      </c>
      <c r="J46" s="120"/>
    </row>
    <row r="47" spans="1:10" ht="13.8">
      <c r="A47" s="15" t="s">
        <v>51</v>
      </c>
      <c r="B47" s="46">
        <v>56.52</v>
      </c>
      <c r="C47" s="46">
        <v>88.0625</v>
      </c>
      <c r="D47" s="46">
        <v>61.375</v>
      </c>
      <c r="E47" s="46">
        <v>66.25</v>
      </c>
      <c r="F47" s="46">
        <v>80.125</v>
      </c>
      <c r="G47" s="46" t="s">
        <v>77</v>
      </c>
      <c r="H47" s="88" t="s">
        <v>77</v>
      </c>
      <c r="I47" s="46" t="s">
        <v>77</v>
      </c>
      <c r="J47" s="120"/>
    </row>
    <row r="48" spans="1:10" ht="13.8">
      <c r="A48" s="15" t="s">
        <v>52</v>
      </c>
      <c r="B48" s="46">
        <v>54.794000000000004</v>
      </c>
      <c r="C48" s="46">
        <v>85.5</v>
      </c>
      <c r="D48" s="46">
        <v>60.55</v>
      </c>
      <c r="E48" s="46">
        <v>62</v>
      </c>
      <c r="F48" s="46">
        <v>80.8</v>
      </c>
      <c r="G48" s="46" t="s">
        <v>77</v>
      </c>
      <c r="H48" s="88" t="s">
        <v>77</v>
      </c>
      <c r="I48" s="46">
        <v>68</v>
      </c>
      <c r="J48" s="120"/>
    </row>
    <row r="49" spans="1:9" ht="16.2">
      <c r="A49" s="170" t="s">
        <v>161</v>
      </c>
      <c r="B49" s="105"/>
      <c r="C49" s="105"/>
      <c r="D49" s="105"/>
      <c r="E49" s="105"/>
      <c r="F49" s="105"/>
      <c r="G49" s="105"/>
      <c r="H49" s="105"/>
      <c r="I49" s="106"/>
    </row>
    <row r="50" spans="1:9" ht="16.2">
      <c r="A50" s="15" t="s">
        <v>162</v>
      </c>
      <c r="B50" s="56"/>
      <c r="C50" s="56"/>
      <c r="D50" s="56"/>
      <c r="E50" s="56"/>
      <c r="F50" s="56"/>
      <c r="G50" s="56"/>
      <c r="H50" s="56"/>
      <c r="I50" s="56"/>
    </row>
    <row r="51" spans="1:9" ht="14.4">
      <c r="A51" s="15" t="s">
        <v>141</v>
      </c>
      <c r="B51" s="15"/>
      <c r="C51" s="15"/>
      <c r="D51" s="15"/>
      <c r="E51" s="15"/>
      <c r="F51" s="56"/>
      <c r="G51" s="15"/>
      <c r="H51" s="15"/>
      <c r="I51" s="15"/>
    </row>
    <row r="52" spans="1:9" ht="13.8">
      <c r="A52" s="49" t="s">
        <v>57</v>
      </c>
      <c r="B52" s="36">
        <f>Contents!A18</f>
        <v>45916</v>
      </c>
      <c r="C52" s="15"/>
      <c r="D52" s="15"/>
      <c r="E52" s="15"/>
      <c r="F52" s="15"/>
      <c r="G52" s="15"/>
      <c r="H52" s="15"/>
      <c r="I52" s="15"/>
    </row>
    <row r="53" spans="1:9" ht="15.6">
      <c r="C53" s="57"/>
      <c r="G53" s="57"/>
      <c r="H53" s="57"/>
      <c r="I53" s="57"/>
    </row>
    <row r="54" spans="1:9">
      <c r="B54" s="89"/>
      <c r="C54" s="89"/>
      <c r="D54" s="89"/>
      <c r="E54" s="89"/>
      <c r="F54" s="89"/>
      <c r="G54" s="89"/>
      <c r="H54" s="89"/>
      <c r="I54" s="89"/>
    </row>
    <row r="55" spans="1:9" ht="15.6">
      <c r="B55" s="82"/>
      <c r="C55" s="82"/>
      <c r="D55" s="82"/>
      <c r="E55" s="82"/>
      <c r="F55" s="82"/>
      <c r="G55" s="82"/>
      <c r="H55" s="57"/>
      <c r="I55" s="57"/>
    </row>
    <row r="56" spans="1:9" ht="15.6">
      <c r="B56" s="89"/>
      <c r="C56" s="57"/>
      <c r="G56" s="57"/>
      <c r="H56" s="57"/>
      <c r="I56" s="57"/>
    </row>
    <row r="57" spans="1:9" ht="15.6">
      <c r="C57" s="57"/>
      <c r="G57" s="57"/>
      <c r="H57" s="57"/>
      <c r="I57" s="57"/>
    </row>
    <row r="58" spans="1:9" ht="15.6">
      <c r="C58" s="57"/>
      <c r="G58" s="57"/>
      <c r="H58" s="57"/>
      <c r="I58" s="57"/>
    </row>
    <row r="59" spans="1:9" ht="15.6">
      <c r="C59" s="57"/>
      <c r="G59" s="57"/>
      <c r="H59" s="57"/>
      <c r="I59" s="57"/>
    </row>
    <row r="60" spans="1:9" ht="15.6">
      <c r="C60" s="57"/>
      <c r="G60" s="57"/>
      <c r="H60" s="57"/>
      <c r="I60" s="57"/>
    </row>
    <row r="61" spans="1:9" ht="15.6">
      <c r="C61" s="57"/>
      <c r="G61" s="57"/>
      <c r="H61" s="57"/>
      <c r="I61" s="57"/>
    </row>
    <row r="62" spans="1:9" ht="15.6">
      <c r="C62" s="57"/>
      <c r="G62" s="57"/>
      <c r="H62" s="57"/>
      <c r="I62" s="57"/>
    </row>
    <row r="63" spans="1:9" ht="15.6">
      <c r="C63" s="57"/>
      <c r="G63" s="57"/>
      <c r="H63" s="57"/>
      <c r="I63" s="57"/>
    </row>
    <row r="64" spans="1:9" ht="15.6">
      <c r="C64" s="57"/>
      <c r="G64" s="57"/>
      <c r="H64" s="57"/>
      <c r="I64" s="57"/>
    </row>
    <row r="65" spans="3:9" ht="15.6">
      <c r="C65" s="57"/>
      <c r="G65" s="57"/>
      <c r="H65" s="57"/>
      <c r="I65" s="57"/>
    </row>
    <row r="66" spans="3:9" ht="15.6">
      <c r="C66" s="57"/>
      <c r="G66" s="57"/>
      <c r="H66" s="57"/>
      <c r="I66" s="57"/>
    </row>
    <row r="67" spans="3:9" ht="15.6">
      <c r="C67" s="57"/>
      <c r="G67" s="57"/>
      <c r="H67" s="57"/>
      <c r="I67" s="57"/>
    </row>
    <row r="68" spans="3:9" ht="15.6">
      <c r="C68" s="57"/>
      <c r="G68" s="57"/>
      <c r="H68" s="57"/>
      <c r="I68" s="57"/>
    </row>
    <row r="69" spans="3:9" ht="15.6">
      <c r="C69" s="57"/>
      <c r="H69" s="57"/>
      <c r="I69" s="57"/>
    </row>
    <row r="70" spans="3:9" ht="15.6">
      <c r="C70" s="57"/>
      <c r="H70" s="57"/>
      <c r="I70" s="57"/>
    </row>
    <row r="71" spans="3:9" ht="15.6">
      <c r="C71" s="57"/>
      <c r="F71" s="58"/>
      <c r="H71" s="57"/>
      <c r="I71" s="57"/>
    </row>
    <row r="72" spans="3:9" ht="15.6">
      <c r="F72" s="58"/>
      <c r="H72" s="57"/>
      <c r="I72" s="57"/>
    </row>
  </sheetData>
  <phoneticPr fontId="61" type="noConversion"/>
  <pageMargins left="0.75" right="0.75" top="1" bottom="1" header="0.5" footer="0.5"/>
  <pageSetup scale="83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B62"/>
  <sheetViews>
    <sheetView showGridLines="0" zoomScale="70" zoomScaleNormal="70" workbookViewId="0">
      <pane xSplit="1" ySplit="4" topLeftCell="B19" activePane="bottomRight" state="frozen"/>
      <selection pane="topRight" activeCell="F44" sqref="F44"/>
      <selection pane="bottomLeft" activeCell="F44" sqref="F44"/>
      <selection pane="bottomRight"/>
    </sheetView>
  </sheetViews>
  <sheetFormatPr defaultColWidth="9.33203125" defaultRowHeight="13.2"/>
  <cols>
    <col min="1" max="1" width="32.109375" customWidth="1"/>
    <col min="2" max="7" width="13.5546875" customWidth="1"/>
    <col min="8" max="8" width="12.44140625" bestFit="1" customWidth="1"/>
    <col min="9" max="9" width="11.44140625" customWidth="1"/>
    <col min="11" max="11" width="8.6640625" customWidth="1"/>
    <col min="12" max="12" width="18" bestFit="1" customWidth="1"/>
  </cols>
  <sheetData>
    <row r="1" spans="1:28" ht="13.8">
      <c r="A1" s="14" t="s">
        <v>10</v>
      </c>
      <c r="B1" s="14"/>
      <c r="C1" s="14"/>
      <c r="D1" s="14"/>
      <c r="E1" s="14"/>
      <c r="F1" s="14"/>
      <c r="G1" s="14"/>
    </row>
    <row r="2" spans="1:28" ht="15.6" customHeight="1">
      <c r="A2" s="15" t="s">
        <v>95</v>
      </c>
      <c r="B2" s="17" t="s">
        <v>123</v>
      </c>
      <c r="C2" s="59" t="s">
        <v>124</v>
      </c>
      <c r="D2" s="59" t="s">
        <v>125</v>
      </c>
      <c r="E2" s="59" t="s">
        <v>127</v>
      </c>
      <c r="F2" s="17" t="s">
        <v>142</v>
      </c>
      <c r="G2" s="17" t="s">
        <v>143</v>
      </c>
      <c r="AB2" s="60"/>
    </row>
    <row r="3" spans="1:28" ht="15.6" customHeight="1">
      <c r="A3" s="14" t="s">
        <v>102</v>
      </c>
      <c r="B3" s="23" t="s">
        <v>144</v>
      </c>
      <c r="C3" s="23" t="s">
        <v>145</v>
      </c>
      <c r="D3" s="23" t="s">
        <v>146</v>
      </c>
      <c r="E3" s="23" t="s">
        <v>147</v>
      </c>
      <c r="F3" s="23" t="s">
        <v>148</v>
      </c>
      <c r="G3" s="23" t="s">
        <v>149</v>
      </c>
      <c r="AB3" s="60"/>
    </row>
    <row r="4" spans="1:28" ht="14.4">
      <c r="A4" s="53" t="s">
        <v>150</v>
      </c>
      <c r="C4" s="54"/>
      <c r="D4" s="54"/>
      <c r="E4" s="54"/>
      <c r="F4" s="54"/>
      <c r="G4" s="54"/>
      <c r="AB4" s="60"/>
    </row>
    <row r="5" spans="1:28" ht="13.8">
      <c r="A5" s="15"/>
      <c r="B5" s="15"/>
      <c r="C5" s="15"/>
      <c r="D5" s="15"/>
      <c r="E5" s="15"/>
      <c r="F5" s="15"/>
      <c r="G5" s="15"/>
      <c r="AB5" s="60"/>
    </row>
    <row r="6" spans="1:28" ht="13.8">
      <c r="A6" s="15" t="s">
        <v>107</v>
      </c>
      <c r="B6" s="55">
        <v>345.52</v>
      </c>
      <c r="C6" s="55">
        <v>273.83999999999997</v>
      </c>
      <c r="D6" s="55">
        <v>219.72</v>
      </c>
      <c r="E6" s="47" t="s">
        <v>77</v>
      </c>
      <c r="F6" s="55">
        <v>263.63</v>
      </c>
      <c r="G6" s="55">
        <v>240.65</v>
      </c>
      <c r="H6" s="58"/>
      <c r="I6" s="58"/>
      <c r="J6" s="58"/>
      <c r="AB6" s="60"/>
    </row>
    <row r="7" spans="1:28" ht="13.8">
      <c r="A7" s="15" t="s">
        <v>108</v>
      </c>
      <c r="B7" s="55">
        <v>393.53</v>
      </c>
      <c r="C7" s="55">
        <v>275.13</v>
      </c>
      <c r="D7" s="55">
        <v>246.75</v>
      </c>
      <c r="E7" s="47" t="s">
        <v>77</v>
      </c>
      <c r="F7" s="55">
        <v>307.58999999999997</v>
      </c>
      <c r="G7" s="55">
        <v>265.68</v>
      </c>
      <c r="H7" s="58"/>
      <c r="I7" s="58"/>
      <c r="J7" s="58"/>
      <c r="AB7" s="60"/>
    </row>
    <row r="8" spans="1:28" ht="13.8">
      <c r="A8" s="15" t="s">
        <v>109</v>
      </c>
      <c r="B8" s="55">
        <v>468.11</v>
      </c>
      <c r="C8" s="55">
        <v>331.52</v>
      </c>
      <c r="D8" s="55">
        <v>241.57</v>
      </c>
      <c r="E8" s="47" t="s">
        <v>77</v>
      </c>
      <c r="F8" s="55">
        <v>354.22</v>
      </c>
      <c r="G8" s="55">
        <v>329.31</v>
      </c>
      <c r="H8" s="58"/>
      <c r="I8" s="58"/>
      <c r="J8" s="58"/>
      <c r="AB8" s="60"/>
    </row>
    <row r="9" spans="1:28" ht="13.8">
      <c r="A9" s="15" t="s">
        <v>110</v>
      </c>
      <c r="B9" s="55">
        <v>489.94</v>
      </c>
      <c r="C9" s="55">
        <v>377.71</v>
      </c>
      <c r="D9" s="55">
        <v>238.87</v>
      </c>
      <c r="E9" s="47" t="s">
        <v>77</v>
      </c>
      <c r="F9" s="55">
        <v>359.7</v>
      </c>
      <c r="G9" s="55">
        <v>337.23</v>
      </c>
      <c r="H9" s="58"/>
      <c r="I9" s="58"/>
      <c r="J9" s="58"/>
      <c r="AB9" s="60"/>
    </row>
    <row r="10" spans="1:28" ht="13.8">
      <c r="A10" s="15" t="s">
        <v>111</v>
      </c>
      <c r="B10" s="55">
        <v>368.49</v>
      </c>
      <c r="C10" s="55">
        <v>304.27</v>
      </c>
      <c r="D10" s="55">
        <v>209.97</v>
      </c>
      <c r="E10" s="47" t="s">
        <v>77</v>
      </c>
      <c r="F10" s="55">
        <v>301.2</v>
      </c>
      <c r="G10" s="55">
        <v>256.58</v>
      </c>
      <c r="H10" s="58"/>
      <c r="I10" s="58"/>
      <c r="J10" s="58"/>
      <c r="AB10" s="60"/>
    </row>
    <row r="11" spans="1:28" ht="13.8">
      <c r="A11" s="15" t="s">
        <v>112</v>
      </c>
      <c r="B11" s="55">
        <v>324.56</v>
      </c>
      <c r="C11" s="55">
        <v>261.19</v>
      </c>
      <c r="D11" s="55">
        <v>153.16999999999999</v>
      </c>
      <c r="E11" s="47" t="s">
        <v>77</v>
      </c>
      <c r="F11" s="55">
        <v>262.2</v>
      </c>
      <c r="G11" s="55">
        <v>260.23</v>
      </c>
      <c r="H11" s="58"/>
      <c r="I11" s="58"/>
      <c r="J11" s="58"/>
      <c r="AB11" s="60"/>
    </row>
    <row r="12" spans="1:28" ht="13.8">
      <c r="A12" s="15" t="s">
        <v>113</v>
      </c>
      <c r="B12" s="55">
        <v>316.88</v>
      </c>
      <c r="C12" s="55">
        <v>208.61</v>
      </c>
      <c r="D12" s="55">
        <v>145.1</v>
      </c>
      <c r="E12" s="47" t="s">
        <v>77</v>
      </c>
      <c r="F12" s="55">
        <v>267.94</v>
      </c>
      <c r="G12" s="55">
        <v>282.49</v>
      </c>
      <c r="H12" s="58"/>
      <c r="I12" s="58"/>
      <c r="J12" s="58"/>
      <c r="AB12" s="60"/>
    </row>
    <row r="13" spans="1:28" ht="13.8">
      <c r="A13" s="15" t="s">
        <v>114</v>
      </c>
      <c r="B13" s="55">
        <v>345.02</v>
      </c>
      <c r="C13" s="55">
        <v>260.88</v>
      </c>
      <c r="D13" s="55">
        <v>173.53</v>
      </c>
      <c r="E13" s="47" t="s">
        <v>77</v>
      </c>
      <c r="F13" s="55">
        <v>291.14999999999998</v>
      </c>
      <c r="G13" s="55">
        <v>239.15</v>
      </c>
      <c r="H13" s="58"/>
      <c r="I13" s="58"/>
      <c r="J13" s="58"/>
    </row>
    <row r="14" spans="1:28" ht="13.8">
      <c r="A14" s="15" t="s">
        <v>115</v>
      </c>
      <c r="B14" s="55">
        <v>308.27999999999997</v>
      </c>
      <c r="C14" s="55">
        <v>228.64</v>
      </c>
      <c r="D14" s="55">
        <v>164.16</v>
      </c>
      <c r="E14" s="47" t="s">
        <v>77</v>
      </c>
      <c r="F14" s="55">
        <v>272.38</v>
      </c>
      <c r="G14" s="55">
        <v>225.77</v>
      </c>
      <c r="H14" s="58"/>
      <c r="I14" s="58"/>
      <c r="J14" s="58"/>
    </row>
    <row r="15" spans="1:28" ht="13.8">
      <c r="A15" s="15" t="s">
        <v>116</v>
      </c>
      <c r="B15" s="55">
        <v>299.5</v>
      </c>
      <c r="C15" s="55">
        <v>247.04</v>
      </c>
      <c r="D15" s="55">
        <v>187.7</v>
      </c>
      <c r="E15" s="47" t="s">
        <v>77</v>
      </c>
      <c r="F15" s="55">
        <v>273.99</v>
      </c>
      <c r="G15" s="55">
        <v>245.88</v>
      </c>
      <c r="H15" s="58"/>
      <c r="I15" s="58"/>
      <c r="J15" s="58"/>
    </row>
    <row r="16" spans="1:28" ht="13.8">
      <c r="A16" s="15" t="s">
        <v>117</v>
      </c>
      <c r="B16" s="55">
        <v>392.31</v>
      </c>
      <c r="C16" s="55">
        <v>375.51</v>
      </c>
      <c r="D16" s="85">
        <v>246.22</v>
      </c>
      <c r="E16" s="47" t="s">
        <v>77</v>
      </c>
      <c r="F16" s="55">
        <v>351.87</v>
      </c>
      <c r="G16" s="55">
        <v>288.12</v>
      </c>
      <c r="H16" s="58"/>
      <c r="I16" s="58"/>
      <c r="J16" s="58"/>
    </row>
    <row r="17" spans="1:13" ht="13.8">
      <c r="A17" s="15" t="s">
        <v>118</v>
      </c>
      <c r="B17" s="55">
        <v>439.81</v>
      </c>
      <c r="C17" s="55">
        <v>355.33</v>
      </c>
      <c r="D17" s="55">
        <v>279.98</v>
      </c>
      <c r="E17" s="47" t="s">
        <v>77</v>
      </c>
      <c r="F17" s="55">
        <v>439.1</v>
      </c>
      <c r="G17" s="55">
        <v>332.21</v>
      </c>
      <c r="H17" s="58"/>
      <c r="I17" s="58"/>
      <c r="J17" s="58"/>
    </row>
    <row r="18" spans="1:13" ht="13.8">
      <c r="A18" s="15" t="s">
        <v>119</v>
      </c>
      <c r="B18" s="55">
        <v>451.91</v>
      </c>
      <c r="C18" s="55">
        <v>379.13</v>
      </c>
      <c r="D18" s="55">
        <v>244.34</v>
      </c>
      <c r="E18" s="47" t="s">
        <v>77</v>
      </c>
      <c r="F18" s="55">
        <v>431.34</v>
      </c>
      <c r="G18" s="85">
        <v>359.06</v>
      </c>
      <c r="H18" s="58"/>
      <c r="I18" s="58"/>
      <c r="J18" s="58"/>
    </row>
    <row r="19" spans="1:13" ht="13.8">
      <c r="A19" s="15" t="s">
        <v>35</v>
      </c>
      <c r="B19" s="55">
        <v>384.11</v>
      </c>
      <c r="C19" s="55">
        <v>343.08</v>
      </c>
      <c r="D19" s="55">
        <v>194.19</v>
      </c>
      <c r="E19" s="47" t="s">
        <v>77</v>
      </c>
      <c r="F19" s="55">
        <v>378.28</v>
      </c>
      <c r="G19" s="85">
        <v>297.39368181818185</v>
      </c>
      <c r="H19" s="58"/>
      <c r="I19" s="58"/>
      <c r="J19" s="58"/>
    </row>
    <row r="20" spans="1:13" s="80" customFormat="1" ht="16.2">
      <c r="A20" s="15" t="s">
        <v>138</v>
      </c>
      <c r="B20" s="55">
        <v>298</v>
      </c>
      <c r="C20" s="55">
        <v>289</v>
      </c>
      <c r="D20" s="55">
        <v>147</v>
      </c>
      <c r="E20" s="47" t="s">
        <v>77</v>
      </c>
      <c r="F20" s="55">
        <v>270</v>
      </c>
      <c r="G20" s="55">
        <f>195+48</f>
        <v>243</v>
      </c>
      <c r="H20" s="204"/>
      <c r="I20" s="204"/>
      <c r="J20" s="204"/>
    </row>
    <row r="21" spans="1:13" s="80" customFormat="1" ht="16.2">
      <c r="A21" s="15" t="s">
        <v>139</v>
      </c>
      <c r="B21" s="55">
        <v>280</v>
      </c>
      <c r="C21" s="55">
        <v>268</v>
      </c>
      <c r="D21" s="55">
        <v>140</v>
      </c>
      <c r="E21" s="47" t="s">
        <v>77</v>
      </c>
      <c r="F21" s="55">
        <v>255</v>
      </c>
      <c r="G21" s="55">
        <v>225</v>
      </c>
      <c r="H21" s="204"/>
      <c r="I21" s="204"/>
      <c r="J21" s="204"/>
    </row>
    <row r="22" spans="1:13" ht="13.8">
      <c r="A22" s="129"/>
      <c r="B22" s="128"/>
      <c r="C22" s="128"/>
      <c r="D22" s="128"/>
      <c r="E22" s="128"/>
      <c r="F22" s="128"/>
      <c r="G22" s="128"/>
      <c r="H22" s="128"/>
      <c r="I22" s="128"/>
      <c r="J22" s="62"/>
      <c r="K22" s="62"/>
      <c r="L22" s="62"/>
      <c r="M22" s="62"/>
    </row>
    <row r="23" spans="1:13" ht="13.8">
      <c r="A23" s="30" t="s">
        <v>35</v>
      </c>
      <c r="B23" s="85"/>
      <c r="C23" s="55"/>
      <c r="D23" s="55"/>
      <c r="E23" s="47"/>
      <c r="F23" s="55"/>
      <c r="G23" s="55"/>
      <c r="H23" s="46"/>
      <c r="I23" s="58"/>
    </row>
    <row r="24" spans="1:13" ht="13.8">
      <c r="A24" s="15" t="s">
        <v>39</v>
      </c>
      <c r="B24" s="85">
        <v>416.16</v>
      </c>
      <c r="C24" s="55">
        <v>348.75</v>
      </c>
      <c r="D24" s="55">
        <v>229.16500000000002</v>
      </c>
      <c r="E24" s="47" t="s">
        <v>77</v>
      </c>
      <c r="F24" s="55">
        <v>407.1</v>
      </c>
      <c r="G24" s="55">
        <v>325</v>
      </c>
      <c r="H24" s="46"/>
      <c r="I24" s="58"/>
    </row>
    <row r="25" spans="1:13" ht="13.8">
      <c r="A25" s="15" t="s">
        <v>40</v>
      </c>
      <c r="B25" s="85">
        <v>464.27</v>
      </c>
      <c r="C25" s="55">
        <v>350</v>
      </c>
      <c r="D25" s="55">
        <v>266.67</v>
      </c>
      <c r="E25" s="47" t="s">
        <v>77</v>
      </c>
      <c r="F25" s="55">
        <v>441.77</v>
      </c>
      <c r="G25" s="85">
        <v>348.33</v>
      </c>
      <c r="H25" s="46"/>
      <c r="I25" s="58"/>
    </row>
    <row r="26" spans="1:13" ht="13.8">
      <c r="A26" s="15" t="s">
        <v>42</v>
      </c>
      <c r="B26" s="85">
        <v>440.6</v>
      </c>
      <c r="C26" s="55">
        <v>358.75</v>
      </c>
      <c r="D26" s="55">
        <v>270</v>
      </c>
      <c r="E26" s="47" t="s">
        <v>77</v>
      </c>
      <c r="F26" s="55">
        <v>395.04999999999995</v>
      </c>
      <c r="G26" s="85">
        <v>365</v>
      </c>
      <c r="H26" s="46"/>
      <c r="I26" s="58"/>
    </row>
    <row r="27" spans="1:13" ht="13.8">
      <c r="A27" s="15" t="s">
        <v>43</v>
      </c>
      <c r="B27" s="85">
        <v>378.4</v>
      </c>
      <c r="C27" s="55">
        <v>352.5</v>
      </c>
      <c r="D27" s="55">
        <v>270</v>
      </c>
      <c r="E27" s="47" t="s">
        <v>77</v>
      </c>
      <c r="F27" s="55">
        <v>349.3</v>
      </c>
      <c r="G27" s="85">
        <v>365</v>
      </c>
      <c r="H27" s="46"/>
      <c r="I27" s="58"/>
    </row>
    <row r="28" spans="1:13" ht="13.8">
      <c r="A28" s="15" t="s">
        <v>44</v>
      </c>
      <c r="B28" s="85">
        <v>363.625</v>
      </c>
      <c r="C28" s="55">
        <v>355</v>
      </c>
      <c r="D28" s="55">
        <v>210</v>
      </c>
      <c r="E28" s="47" t="s">
        <v>77</v>
      </c>
      <c r="F28" s="55">
        <v>357.75</v>
      </c>
      <c r="G28" s="85" t="s">
        <v>77</v>
      </c>
      <c r="H28" s="46"/>
      <c r="I28" s="58"/>
    </row>
    <row r="29" spans="1:13" ht="13.8">
      <c r="A29" s="15" t="s">
        <v>46</v>
      </c>
      <c r="B29" s="85">
        <v>361.75</v>
      </c>
      <c r="C29" s="55">
        <v>343.33</v>
      </c>
      <c r="D29" s="55">
        <v>140</v>
      </c>
      <c r="E29" s="47" t="s">
        <v>77</v>
      </c>
      <c r="F29" s="55">
        <v>348.34</v>
      </c>
      <c r="G29" s="85">
        <v>331</v>
      </c>
      <c r="H29" s="46"/>
      <c r="I29" s="58"/>
    </row>
    <row r="30" spans="1:13" ht="13.8">
      <c r="A30" s="15" t="s">
        <v>47</v>
      </c>
      <c r="B30" s="85">
        <v>357.67500000000001</v>
      </c>
      <c r="C30" s="55">
        <v>333.75</v>
      </c>
      <c r="D30" s="55">
        <v>142.5</v>
      </c>
      <c r="E30" s="47" t="s">
        <v>77</v>
      </c>
      <c r="F30" s="55">
        <v>357.17500000000001</v>
      </c>
      <c r="G30" s="85">
        <v>292.5</v>
      </c>
      <c r="H30" s="46"/>
      <c r="I30" s="58"/>
    </row>
    <row r="31" spans="1:13" ht="13.8">
      <c r="A31" s="15" t="s">
        <v>48</v>
      </c>
      <c r="B31" s="85">
        <v>388.65</v>
      </c>
      <c r="C31" s="55">
        <v>330</v>
      </c>
      <c r="D31" s="55">
        <v>170</v>
      </c>
      <c r="E31" s="47" t="s">
        <v>77</v>
      </c>
      <c r="F31" s="55">
        <v>411.82</v>
      </c>
      <c r="G31" s="85">
        <v>259</v>
      </c>
      <c r="H31" s="46"/>
      <c r="I31" s="58"/>
    </row>
    <row r="32" spans="1:13" ht="13.8">
      <c r="A32" s="15" t="s">
        <v>50</v>
      </c>
      <c r="B32" s="85">
        <v>384.1</v>
      </c>
      <c r="C32" s="55" t="s">
        <v>77</v>
      </c>
      <c r="D32" s="55">
        <v>166.25</v>
      </c>
      <c r="E32" s="47" t="s">
        <v>77</v>
      </c>
      <c r="F32" s="55">
        <v>416.6</v>
      </c>
      <c r="G32" s="85">
        <v>253.54249999999999</v>
      </c>
      <c r="H32" s="46"/>
      <c r="I32" s="58"/>
    </row>
    <row r="33" spans="1:9" ht="13.8">
      <c r="A33" s="15" t="s">
        <v>51</v>
      </c>
      <c r="B33" s="85">
        <v>364.3</v>
      </c>
      <c r="C33" s="55">
        <v>335</v>
      </c>
      <c r="D33" s="55">
        <v>155</v>
      </c>
      <c r="E33" s="47" t="s">
        <v>77</v>
      </c>
      <c r="F33" s="55">
        <v>387.87</v>
      </c>
      <c r="G33" s="85">
        <v>250.833</v>
      </c>
      <c r="H33" s="46"/>
      <c r="I33" s="58"/>
    </row>
    <row r="34" spans="1:9" ht="13.8">
      <c r="A34" s="15" t="s">
        <v>52</v>
      </c>
      <c r="B34" s="85">
        <v>343.4</v>
      </c>
      <c r="C34" s="55" t="s">
        <v>77</v>
      </c>
      <c r="D34" s="55">
        <v>154.5</v>
      </c>
      <c r="E34" s="47" t="s">
        <v>77</v>
      </c>
      <c r="F34" s="55">
        <v>341.42500000000001</v>
      </c>
      <c r="G34" s="85">
        <v>244.5</v>
      </c>
      <c r="H34" s="46"/>
      <c r="I34" s="58"/>
    </row>
    <row r="35" spans="1:9" ht="13.8">
      <c r="A35" s="15" t="s">
        <v>38</v>
      </c>
      <c r="B35" s="85">
        <v>346.33749999999998</v>
      </c>
      <c r="C35" s="55">
        <v>323.75</v>
      </c>
      <c r="D35" s="55">
        <v>156.25</v>
      </c>
      <c r="E35" s="47" t="s">
        <v>77</v>
      </c>
      <c r="F35" s="55">
        <v>325.10000000000002</v>
      </c>
      <c r="G35" s="85">
        <v>236.625</v>
      </c>
      <c r="H35" s="46"/>
      <c r="I35" s="58"/>
    </row>
    <row r="36" spans="1:9" ht="13.8">
      <c r="A36" s="15"/>
      <c r="B36" s="85"/>
      <c r="C36" s="55"/>
      <c r="D36" s="55"/>
      <c r="E36" s="47"/>
      <c r="F36" s="55"/>
      <c r="G36" s="55"/>
      <c r="H36" s="46"/>
      <c r="I36" s="58"/>
    </row>
    <row r="37" spans="1:9" ht="13.8">
      <c r="A37" s="30" t="s">
        <v>54</v>
      </c>
      <c r="B37" s="85"/>
      <c r="C37" s="55"/>
      <c r="D37" s="55"/>
      <c r="E37" s="47"/>
      <c r="F37" s="55"/>
      <c r="G37" s="55"/>
      <c r="H37" s="46"/>
      <c r="I37" s="58"/>
    </row>
    <row r="38" spans="1:9" ht="13.8">
      <c r="A38" s="15" t="s">
        <v>39</v>
      </c>
      <c r="B38" s="85">
        <v>342.85</v>
      </c>
      <c r="C38" s="55">
        <v>322.5</v>
      </c>
      <c r="D38" s="55">
        <v>173.75</v>
      </c>
      <c r="E38" s="47" t="s">
        <v>77</v>
      </c>
      <c r="F38" s="55">
        <v>314.27499999999998</v>
      </c>
      <c r="G38" s="55">
        <v>240</v>
      </c>
      <c r="H38" s="46"/>
      <c r="I38" s="58"/>
    </row>
    <row r="39" spans="1:9" ht="13.8">
      <c r="A39" s="15" t="s">
        <v>40</v>
      </c>
      <c r="B39" s="85">
        <v>316.17500000000001</v>
      </c>
      <c r="C39" s="55">
        <v>315</v>
      </c>
      <c r="D39" s="55">
        <v>177.5</v>
      </c>
      <c r="E39" s="47" t="s">
        <v>77</v>
      </c>
      <c r="F39" s="55">
        <v>283.17500000000001</v>
      </c>
      <c r="G39" s="55">
        <v>225</v>
      </c>
      <c r="H39" s="46"/>
      <c r="I39" s="58"/>
    </row>
    <row r="40" spans="1:9" ht="13.8">
      <c r="A40" s="15" t="s">
        <v>42</v>
      </c>
      <c r="B40" s="85">
        <v>303.63299999999998</v>
      </c>
      <c r="C40" s="55">
        <v>301.25</v>
      </c>
      <c r="D40" s="55">
        <v>175</v>
      </c>
      <c r="E40" s="47" t="s">
        <v>77</v>
      </c>
      <c r="F40" s="55">
        <v>275.89999999999998</v>
      </c>
      <c r="G40" s="55">
        <v>268.33</v>
      </c>
      <c r="H40" s="46"/>
      <c r="I40" s="58"/>
    </row>
    <row r="41" spans="1:9" ht="13.8">
      <c r="A41" s="15" t="s">
        <v>43</v>
      </c>
      <c r="B41" s="85">
        <v>316.97000000000003</v>
      </c>
      <c r="C41" s="55">
        <v>272.5</v>
      </c>
      <c r="D41" s="55">
        <v>173</v>
      </c>
      <c r="E41" s="47" t="s">
        <v>77</v>
      </c>
      <c r="F41" s="55">
        <v>288.92</v>
      </c>
      <c r="G41" s="55">
        <v>266.5</v>
      </c>
      <c r="H41" s="46"/>
      <c r="I41" s="58"/>
    </row>
    <row r="42" spans="1:9" ht="13.8">
      <c r="A42" s="15" t="s">
        <v>44</v>
      </c>
      <c r="B42" s="85">
        <v>304.77499999999998</v>
      </c>
      <c r="C42" s="55">
        <v>265</v>
      </c>
      <c r="D42" s="55">
        <v>182.5</v>
      </c>
      <c r="E42" s="47" t="s">
        <v>77</v>
      </c>
      <c r="F42" s="55">
        <v>288.52499999999998</v>
      </c>
      <c r="G42" s="55">
        <v>255.625</v>
      </c>
      <c r="H42" s="46"/>
      <c r="I42" s="58"/>
    </row>
    <row r="43" spans="1:9" ht="13.8">
      <c r="A43" s="15" t="s">
        <v>46</v>
      </c>
      <c r="B43" s="85">
        <v>303.8</v>
      </c>
      <c r="C43" s="55">
        <v>265</v>
      </c>
      <c r="D43" s="55">
        <v>156.25</v>
      </c>
      <c r="E43" s="47" t="s">
        <v>77</v>
      </c>
      <c r="F43" s="55">
        <v>304.39999999999998</v>
      </c>
      <c r="G43" s="55">
        <v>250.625</v>
      </c>
      <c r="H43" s="46"/>
      <c r="I43" s="58"/>
    </row>
    <row r="44" spans="1:9" ht="13.8">
      <c r="A44" s="15" t="s">
        <v>47</v>
      </c>
      <c r="B44" s="85">
        <v>295.02500000000003</v>
      </c>
      <c r="C44" s="55" t="s">
        <v>77</v>
      </c>
      <c r="D44" s="55">
        <v>143.125</v>
      </c>
      <c r="E44" s="47" t="s">
        <v>77</v>
      </c>
      <c r="F44" s="55" t="s">
        <v>77</v>
      </c>
      <c r="G44" s="55">
        <v>232.5</v>
      </c>
      <c r="H44" s="46"/>
      <c r="I44" s="58"/>
    </row>
    <row r="45" spans="1:9" ht="13.8">
      <c r="A45" s="15" t="s">
        <v>48</v>
      </c>
      <c r="B45" s="85">
        <v>288.74599999999998</v>
      </c>
      <c r="C45" s="55">
        <v>270</v>
      </c>
      <c r="D45" s="55">
        <v>126</v>
      </c>
      <c r="E45" s="47" t="s">
        <v>77</v>
      </c>
      <c r="F45" s="55" t="s">
        <v>77</v>
      </c>
      <c r="G45" s="55">
        <v>218.125</v>
      </c>
      <c r="H45" s="46"/>
      <c r="I45" s="58"/>
    </row>
    <row r="46" spans="1:9" ht="13.8">
      <c r="A46" s="15" t="s">
        <v>50</v>
      </c>
      <c r="B46" s="85">
        <v>280.7</v>
      </c>
      <c r="C46" s="55" t="s">
        <v>77</v>
      </c>
      <c r="D46" s="55">
        <v>135</v>
      </c>
      <c r="E46" s="47" t="s">
        <v>77</v>
      </c>
      <c r="F46" s="55" t="s">
        <v>77</v>
      </c>
      <c r="G46" s="55">
        <v>266.25</v>
      </c>
      <c r="H46" s="46"/>
      <c r="I46" s="58"/>
    </row>
    <row r="47" spans="1:9" ht="13.8">
      <c r="A47" s="15" t="s">
        <v>51</v>
      </c>
      <c r="B47" s="85">
        <v>259.09999999999997</v>
      </c>
      <c r="C47" s="55" t="s">
        <v>77</v>
      </c>
      <c r="D47" s="55">
        <v>115</v>
      </c>
      <c r="E47" s="47" t="s">
        <v>77</v>
      </c>
      <c r="F47" s="55" t="s">
        <v>77</v>
      </c>
      <c r="G47" s="55">
        <v>235</v>
      </c>
      <c r="H47" s="46"/>
      <c r="I47" s="58"/>
    </row>
    <row r="48" spans="1:9" ht="13.8">
      <c r="A48" s="15" t="s">
        <v>52</v>
      </c>
      <c r="B48" s="85">
        <v>284.36</v>
      </c>
      <c r="C48" s="55">
        <v>250</v>
      </c>
      <c r="D48" s="55">
        <v>107</v>
      </c>
      <c r="E48" s="47" t="s">
        <v>77</v>
      </c>
      <c r="F48" s="55" t="s">
        <v>77</v>
      </c>
      <c r="G48" s="55">
        <v>217</v>
      </c>
      <c r="H48" s="46"/>
      <c r="I48" s="58"/>
    </row>
    <row r="49" spans="1:10" ht="16.2">
      <c r="A49" s="76" t="s">
        <v>151</v>
      </c>
      <c r="B49" s="107"/>
      <c r="C49" s="107"/>
      <c r="D49" s="107"/>
      <c r="E49" s="107"/>
      <c r="F49" s="107"/>
      <c r="G49" s="107"/>
      <c r="I49" s="61"/>
    </row>
    <row r="50" spans="1:10" ht="16.2">
      <c r="A50" s="169" t="s">
        <v>152</v>
      </c>
      <c r="B50" s="63"/>
      <c r="C50" s="63"/>
      <c r="D50" s="63"/>
      <c r="E50" s="63"/>
      <c r="F50" s="63"/>
      <c r="G50" s="63"/>
      <c r="I50" s="61"/>
      <c r="J50" s="61"/>
    </row>
    <row r="51" spans="1:10" ht="14.4">
      <c r="A51" s="15" t="s">
        <v>153</v>
      </c>
      <c r="B51" s="15"/>
      <c r="C51" s="15"/>
      <c r="D51" s="15"/>
      <c r="E51" s="15"/>
      <c r="F51" s="63"/>
      <c r="G51" s="63"/>
      <c r="I51" s="61"/>
      <c r="J51" s="61"/>
    </row>
    <row r="52" spans="1:10" ht="13.8">
      <c r="A52" s="49" t="s">
        <v>57</v>
      </c>
      <c r="B52" s="36">
        <f>Contents!A18</f>
        <v>45916</v>
      </c>
      <c r="C52" s="15"/>
      <c r="D52" s="15"/>
      <c r="E52" s="15"/>
      <c r="F52" s="63"/>
      <c r="G52" s="63"/>
      <c r="I52" s="64"/>
      <c r="J52" s="64"/>
    </row>
    <row r="53" spans="1:10" ht="13.8">
      <c r="F53" s="63"/>
      <c r="G53" s="63"/>
      <c r="I53" s="64"/>
      <c r="J53" s="64"/>
    </row>
    <row r="54" spans="1:10" ht="13.8">
      <c r="B54" s="130"/>
      <c r="F54" s="63"/>
      <c r="G54" s="63"/>
      <c r="I54" s="61"/>
      <c r="J54" s="61"/>
    </row>
    <row r="55" spans="1:10">
      <c r="B55" s="87"/>
      <c r="C55" s="89"/>
      <c r="D55" s="89"/>
      <c r="E55" s="89"/>
      <c r="F55" s="89"/>
      <c r="G55" s="89"/>
      <c r="I55" s="61"/>
      <c r="J55" s="61"/>
    </row>
    <row r="56" spans="1:10">
      <c r="I56" s="61"/>
      <c r="J56" s="61"/>
    </row>
    <row r="57" spans="1:10">
      <c r="B57" s="87"/>
      <c r="I57" s="61"/>
      <c r="J57" s="61"/>
    </row>
    <row r="58" spans="1:10">
      <c r="I58" s="61"/>
      <c r="J58" s="61"/>
    </row>
    <row r="59" spans="1:10">
      <c r="I59" s="61"/>
      <c r="J59" s="61"/>
    </row>
    <row r="61" spans="1:10">
      <c r="I61" s="65"/>
      <c r="J61" s="65"/>
    </row>
    <row r="62" spans="1:10">
      <c r="I62" s="65"/>
      <c r="J62" s="65"/>
    </row>
  </sheetData>
  <phoneticPr fontId="61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E14E-1B8B-44BA-B2D7-A8B01D754DDD}">
  <sheetPr codeName="Sheet14"/>
  <dimension ref="A1:G88"/>
  <sheetViews>
    <sheetView zoomScale="90" zoomScaleNormal="90" workbookViewId="0"/>
  </sheetViews>
  <sheetFormatPr defaultColWidth="9.109375" defaultRowHeight="13.8"/>
  <cols>
    <col min="1" max="1" width="15.44140625" style="154" customWidth="1"/>
    <col min="2" max="2" width="10.44140625" style="154" customWidth="1"/>
    <col min="3" max="3" width="11.5546875" style="154" customWidth="1"/>
    <col min="4" max="4" width="16.33203125" style="154" customWidth="1"/>
    <col min="5" max="7" width="7.88671875" style="154" customWidth="1"/>
    <col min="8" max="16384" width="9.109375" style="154"/>
  </cols>
  <sheetData>
    <row r="1" spans="1:7" ht="34.5" customHeight="1">
      <c r="A1" s="180" t="s">
        <v>154</v>
      </c>
      <c r="B1" s="153" t="s">
        <v>22</v>
      </c>
      <c r="C1" s="180" t="s">
        <v>31</v>
      </c>
      <c r="D1" s="180" t="s">
        <v>27</v>
      </c>
      <c r="E1" s="179"/>
      <c r="F1" s="179"/>
      <c r="G1" s="179"/>
    </row>
    <row r="2" spans="1:7">
      <c r="A2" s="154" t="s">
        <v>115</v>
      </c>
      <c r="B2" s="178">
        <v>2091.9902999999999</v>
      </c>
      <c r="C2" s="197">
        <v>1753.4299779624448</v>
      </c>
      <c r="D2" s="178">
        <v>4428.1499999999996</v>
      </c>
    </row>
    <row r="3" spans="1:7">
      <c r="A3" s="154" t="s">
        <v>116</v>
      </c>
      <c r="B3" s="178">
        <v>2164.5542</v>
      </c>
      <c r="C3" s="197">
        <v>1682.8750323994002</v>
      </c>
      <c r="D3" s="178">
        <v>3551.07</v>
      </c>
    </row>
    <row r="4" spans="1:7">
      <c r="A4" s="175" t="s">
        <v>117</v>
      </c>
      <c r="B4" s="178">
        <v>2140.5846999999999</v>
      </c>
      <c r="C4" s="197">
        <v>2265.7617178866712</v>
      </c>
      <c r="D4" s="178">
        <v>4216.3019999999997</v>
      </c>
    </row>
    <row r="5" spans="1:7">
      <c r="A5" s="175" t="s">
        <v>118</v>
      </c>
      <c r="B5" s="178">
        <v>2203.8721999999998</v>
      </c>
      <c r="C5" s="197">
        <v>2152.0905451916174</v>
      </c>
      <c r="D5" s="178">
        <v>4464.4920000000002</v>
      </c>
    </row>
    <row r="6" spans="1:7">
      <c r="A6" s="175" t="s">
        <v>119</v>
      </c>
      <c r="B6" s="178">
        <v>2211.9378000000002</v>
      </c>
      <c r="C6" s="197">
        <v>1979.147634061485</v>
      </c>
      <c r="D6" s="178">
        <v>4270.3810000000003</v>
      </c>
    </row>
    <row r="7" spans="1:7">
      <c r="A7" s="175" t="s">
        <v>35</v>
      </c>
      <c r="B7" s="178">
        <v>2285.3031999999998</v>
      </c>
      <c r="C7" s="197">
        <v>1699.9741405556856</v>
      </c>
      <c r="D7" s="178">
        <v>4162.0569999999998</v>
      </c>
    </row>
    <row r="8" spans="1:7">
      <c r="A8" s="175" t="s">
        <v>156</v>
      </c>
      <c r="B8" s="178">
        <v>2430</v>
      </c>
      <c r="C8" s="197">
        <v>1875</v>
      </c>
      <c r="D8" s="178">
        <v>4366.4920000000002</v>
      </c>
    </row>
    <row r="9" spans="1:7">
      <c r="A9" s="175" t="s">
        <v>155</v>
      </c>
      <c r="B9" s="178">
        <v>2555</v>
      </c>
      <c r="C9" s="197">
        <v>1685</v>
      </c>
      <c r="D9" s="178">
        <v>4300.67</v>
      </c>
    </row>
    <row r="10" spans="1:7">
      <c r="B10" s="181"/>
      <c r="C10" s="177"/>
      <c r="D10" s="178"/>
    </row>
    <row r="11" spans="1:7">
      <c r="B11" s="181"/>
      <c r="C11" s="177"/>
      <c r="D11" s="178"/>
    </row>
    <row r="12" spans="1:7">
      <c r="B12" s="181"/>
      <c r="C12" s="177"/>
      <c r="D12" s="178"/>
    </row>
    <row r="13" spans="1:7">
      <c r="B13" s="181"/>
      <c r="C13" s="177"/>
      <c r="D13" s="178"/>
    </row>
    <row r="14" spans="1:7">
      <c r="B14" s="181"/>
      <c r="C14" s="177"/>
    </row>
    <row r="15" spans="1:7">
      <c r="B15" s="181"/>
    </row>
    <row r="16" spans="1:7">
      <c r="A16" s="175"/>
    </row>
    <row r="17" spans="1:1">
      <c r="A17" s="175"/>
    </row>
    <row r="18" spans="1:1">
      <c r="A18" s="175"/>
    </row>
    <row r="19" spans="1:1">
      <c r="A19" s="175"/>
    </row>
    <row r="20" spans="1:1">
      <c r="A20" s="175"/>
    </row>
    <row r="21" spans="1:1">
      <c r="A21" s="175"/>
    </row>
    <row r="22" spans="1:1">
      <c r="A22" s="175"/>
    </row>
    <row r="23" spans="1:1">
      <c r="A23" s="175"/>
    </row>
    <row r="24" spans="1:1">
      <c r="A24" s="175"/>
    </row>
    <row r="25" spans="1:1">
      <c r="A25" s="175"/>
    </row>
    <row r="26" spans="1:1">
      <c r="A26" s="173"/>
    </row>
    <row r="27" spans="1:1">
      <c r="A27" s="173"/>
    </row>
    <row r="28" spans="1:1">
      <c r="A28" s="173"/>
    </row>
    <row r="29" spans="1:1">
      <c r="A29" s="173"/>
    </row>
    <row r="30" spans="1:1">
      <c r="A30" s="173"/>
    </row>
    <row r="31" spans="1:1">
      <c r="A31" s="173"/>
    </row>
    <row r="32" spans="1:1">
      <c r="A32" s="173"/>
    </row>
    <row r="33" spans="1:1">
      <c r="A33" s="173"/>
    </row>
    <row r="34" spans="1:1">
      <c r="A34" s="173"/>
    </row>
    <row r="35" spans="1:1">
      <c r="A35" s="173"/>
    </row>
    <row r="36" spans="1:1">
      <c r="A36" s="173"/>
    </row>
    <row r="37" spans="1:1">
      <c r="A37" s="173"/>
    </row>
    <row r="38" spans="1:1">
      <c r="A38" s="173"/>
    </row>
    <row r="39" spans="1:1">
      <c r="A39" s="173"/>
    </row>
    <row r="40" spans="1:1">
      <c r="A40" s="173"/>
    </row>
    <row r="41" spans="1:1">
      <c r="A41" s="173"/>
    </row>
    <row r="42" spans="1:1">
      <c r="A42" s="173"/>
    </row>
    <row r="43" spans="1:1">
      <c r="A43" s="173"/>
    </row>
    <row r="44" spans="1:1">
      <c r="A44" s="173"/>
    </row>
    <row r="45" spans="1:1">
      <c r="A45" s="173"/>
    </row>
    <row r="46" spans="1:1">
      <c r="A46" s="173"/>
    </row>
    <row r="47" spans="1:1">
      <c r="A47" s="173"/>
    </row>
    <row r="48" spans="1:1">
      <c r="A48" s="173"/>
    </row>
    <row r="49" spans="1:1">
      <c r="A49" s="173"/>
    </row>
    <row r="50" spans="1:1">
      <c r="A50" s="173"/>
    </row>
    <row r="51" spans="1:1">
      <c r="A51" s="173"/>
    </row>
    <row r="52" spans="1:1">
      <c r="A52" s="173"/>
    </row>
    <row r="53" spans="1:1">
      <c r="A53" s="173"/>
    </row>
    <row r="54" spans="1:1">
      <c r="A54" s="173"/>
    </row>
    <row r="55" spans="1:1">
      <c r="A55" s="173"/>
    </row>
    <row r="56" spans="1:1">
      <c r="A56" s="173"/>
    </row>
    <row r="57" spans="1:1">
      <c r="A57" s="173"/>
    </row>
    <row r="58" spans="1:1">
      <c r="A58" s="173"/>
    </row>
    <row r="59" spans="1:1">
      <c r="A59" s="173"/>
    </row>
    <row r="60" spans="1:1">
      <c r="A60" s="173"/>
    </row>
    <row r="61" spans="1:1">
      <c r="A61" s="173"/>
    </row>
    <row r="62" spans="1:1">
      <c r="A62" s="173"/>
    </row>
    <row r="63" spans="1:1">
      <c r="A63" s="173"/>
    </row>
    <row r="64" spans="1:1">
      <c r="A64" s="173"/>
    </row>
    <row r="65" spans="1:1">
      <c r="A65" s="173"/>
    </row>
    <row r="66" spans="1:1">
      <c r="A66" s="173"/>
    </row>
    <row r="67" spans="1:1">
      <c r="A67" s="173"/>
    </row>
    <row r="68" spans="1:1">
      <c r="A68" s="173"/>
    </row>
    <row r="69" spans="1:1">
      <c r="A69" s="173"/>
    </row>
    <row r="70" spans="1:1">
      <c r="A70" s="173"/>
    </row>
    <row r="71" spans="1:1">
      <c r="A71" s="173"/>
    </row>
    <row r="72" spans="1:1">
      <c r="A72" s="173"/>
    </row>
    <row r="73" spans="1:1">
      <c r="A73" s="173"/>
    </row>
    <row r="74" spans="1:1">
      <c r="A74" s="173"/>
    </row>
    <row r="75" spans="1:1">
      <c r="A75" s="173"/>
    </row>
    <row r="76" spans="1:1">
      <c r="A76" s="173"/>
    </row>
    <row r="77" spans="1:1">
      <c r="A77" s="173"/>
    </row>
    <row r="78" spans="1:1">
      <c r="A78" s="173"/>
    </row>
    <row r="79" spans="1:1">
      <c r="A79" s="173"/>
    </row>
    <row r="80" spans="1:1">
      <c r="A80" s="173"/>
    </row>
    <row r="81" spans="1:1">
      <c r="A81" s="173"/>
    </row>
    <row r="82" spans="1:1">
      <c r="A82" s="173"/>
    </row>
    <row r="83" spans="1:1">
      <c r="A83" s="173"/>
    </row>
    <row r="84" spans="1:1">
      <c r="A84" s="173"/>
    </row>
    <row r="85" spans="1:1">
      <c r="A85" s="173"/>
    </row>
    <row r="86" spans="1:1">
      <c r="A86" s="173"/>
    </row>
    <row r="87" spans="1:1">
      <c r="A87" s="173"/>
    </row>
    <row r="88" spans="1:1">
      <c r="A88" s="173"/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DBA319C043DC4A8381C9E195FB1B27" ma:contentTypeVersion="12" ma:contentTypeDescription="Create a new document." ma:contentTypeScope="" ma:versionID="cb5f466491d3170dcd4fd8cc8c250172">
  <xsd:schema xmlns:xsd="http://www.w3.org/2001/XMLSchema" xmlns:xs="http://www.w3.org/2001/XMLSchema" xmlns:p="http://schemas.microsoft.com/office/2006/metadata/properties" xmlns:ns2="c49de858-f9fd-4eb6-bcba-50396646711f" xmlns:ns3="7818c5c2-d41f-4dce-801c-4e3595afcb3f" targetNamespace="http://schemas.microsoft.com/office/2006/metadata/properties" ma:root="true" ma:fieldsID="32e2056b16ca771c788fa86ed726e67d" ns2:_="" ns3:_="">
    <xsd:import namespace="c49de858-f9fd-4eb6-bcba-50396646711f"/>
    <xsd:import namespace="7818c5c2-d41f-4dce-801c-4e3595afc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de858-f9fd-4eb6-bcba-503966467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8c5c2-d41f-4dce-801c-4e3595afc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74d09ff-db43-4d3e-9bf9-c84f74fa65c9}" ma:internalName="TaxCatchAll" ma:showField="CatchAllData" ma:web="7818c5c2-d41f-4dce-801c-4e3595afc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de858-f9fd-4eb6-bcba-50396646711f">
      <Terms xmlns="http://schemas.microsoft.com/office/infopath/2007/PartnerControls"/>
    </lcf76f155ced4ddcb4097134ff3c332f>
    <TaxCatchAll xmlns="7818c5c2-d41f-4dce-801c-4e3595afcb3f" xsi:nil="true"/>
  </documentManagement>
</p:properties>
</file>

<file path=customXml/itemProps1.xml><?xml version="1.0" encoding="utf-8"?>
<ds:datastoreItem xmlns:ds="http://schemas.openxmlformats.org/officeDocument/2006/customXml" ds:itemID="{9FA8D954-8A64-4F7C-B553-C236DC8A0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272CC-18D3-4CD6-8D61-867EDCEBF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de858-f9fd-4eb6-bcba-50396646711f"/>
    <ds:schemaRef ds:uri="7818c5c2-d41f-4dce-801c-4e3595afc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9FD27-698A-4259-BC06-6D4A65A05AE8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49de858-f9fd-4eb6-bcba-50396646711f"/>
    <ds:schemaRef ds:uri="7818c5c2-d41f-4dce-801c-4e3595afcb3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Figure 1</vt:lpstr>
      <vt:lpstr>Figure 2</vt:lpstr>
      <vt:lpstr>Figure 3</vt:lpstr>
      <vt:lpstr>Figure 4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USDA, Economic Research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Maria Bukowski; Bryn Swearingen</dc:creator>
  <cp:keywords>Oil crops, soybeans, peanut, biofuel, prices</cp:keywords>
  <dc:description/>
  <cp:lastModifiedBy>Bukowski, Maria - REE-ERS</cp:lastModifiedBy>
  <cp:revision/>
  <dcterms:created xsi:type="dcterms:W3CDTF">2001-11-13T16:22:15Z</dcterms:created>
  <dcterms:modified xsi:type="dcterms:W3CDTF">2025-09-16T12:56:13Z</dcterms:modified>
  <cp:category>Oilseeds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0x0101003EDBA319C043DC4A8381C9E195FB1B27</vt:lpwstr>
  </property>
  <property fmtid="{D5CDD505-2E9C-101B-9397-08002B2CF9AE}" pid="3" name="MediaServiceImageTags">
    <vt:lpwstr/>
  </property>
</Properties>
</file>