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30AF16A1-5C12-4A70-8C00-DC0A9F3488EC}" xr6:coauthVersionLast="47" xr6:coauthVersionMax="47" xr10:uidLastSave="{00000000-0000-0000-0000-000000000000}"/>
  <bookViews>
    <workbookView xWindow="-120" yWindow="-120" windowWidth="29040" windowHeight="15720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244" r:id="rId9"/>
    <sheet name="Figure 2" sheetId="245" r:id="rId10"/>
    <sheet name="Figure 3" sheetId="247" r:id="rId11"/>
    <sheet name="Figure 4" sheetId="250" r:id="rId12"/>
    <sheet name="Figure 5" sheetId="248" r:id="rId13"/>
  </sheets>
  <definedNames>
    <definedName name="_xlnm.Print_Area" localSheetId="1">'Table 1'!$A$1:$N$44</definedName>
    <definedName name="_xlnm.Print_Area" localSheetId="7">'Table 10'!$A$1:$G$49</definedName>
    <definedName name="_xlnm.Print_Area" localSheetId="2">'Table 2'!$A$1:$J$36</definedName>
    <definedName name="_xlnm.Print_Area" localSheetId="3">'Table 3'!$A$1:$L$49</definedName>
    <definedName name="_xlnm.Print_Area" localSheetId="5">'Table 8'!$A$1:$G$48</definedName>
    <definedName name="_xlnm.Print_Area" localSheetId="6">'Table 9'!$A$1:$I$50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L36" i="1"/>
  <c r="M37" i="1"/>
  <c r="K37" i="1"/>
  <c r="L33" i="1"/>
  <c r="L37" i="1"/>
  <c r="J34" i="9" l="1"/>
  <c r="D34" i="9"/>
  <c r="D33" i="9"/>
  <c r="H34" i="2"/>
  <c r="G34" i="2" s="1"/>
  <c r="H33" i="2"/>
  <c r="D34" i="2"/>
  <c r="L42" i="1"/>
  <c r="G42" i="1"/>
  <c r="E3" i="247" l="1"/>
  <c r="E4" i="247"/>
  <c r="E5" i="247"/>
  <c r="E6" i="247"/>
  <c r="E7" i="247"/>
  <c r="E8" i="247"/>
  <c r="E9" i="247"/>
  <c r="E2" i="247"/>
  <c r="B7" i="244" l="1"/>
  <c r="B34" i="9" l="1"/>
  <c r="E34" i="9" s="1"/>
  <c r="K34" i="9" s="1"/>
  <c r="G34" i="9" s="1"/>
  <c r="E34" i="2"/>
  <c r="I34" i="2" s="1"/>
  <c r="B34" i="2" l="1"/>
  <c r="J42" i="1"/>
  <c r="H15" i="2"/>
  <c r="L27" i="1" l="1"/>
  <c r="L11" i="1" l="1"/>
  <c r="J40" i="1" l="1"/>
  <c r="D33" i="2"/>
  <c r="G40" i="1"/>
  <c r="J33" i="9"/>
  <c r="L40" i="1"/>
  <c r="B33" i="9"/>
  <c r="E33" i="9" s="1"/>
  <c r="K33" i="9" s="1"/>
  <c r="H11" i="2"/>
  <c r="L6" i="1"/>
  <c r="G33" i="9" l="1"/>
  <c r="I33" i="9" s="1"/>
  <c r="G27" i="1"/>
  <c r="G6" i="1" s="1"/>
  <c r="D23" i="9"/>
  <c r="D23" i="2"/>
  <c r="D6" i="2" s="1"/>
  <c r="H23" i="2"/>
  <c r="H6" i="2" s="1"/>
  <c r="J23" i="9"/>
  <c r="J6" i="9" s="1"/>
  <c r="L34" i="1"/>
  <c r="L32" i="1"/>
  <c r="L31" i="1"/>
  <c r="L30" i="1"/>
  <c r="L25" i="1"/>
  <c r="L24" i="1"/>
  <c r="L23" i="1"/>
  <c r="L21" i="1"/>
  <c r="L20" i="1"/>
  <c r="L19" i="1"/>
  <c r="L17" i="1"/>
  <c r="L16" i="1"/>
  <c r="L15" i="1"/>
  <c r="L13" i="1"/>
  <c r="L12" i="1"/>
  <c r="H28" i="2"/>
  <c r="H27" i="2"/>
  <c r="H26" i="2"/>
  <c r="H22" i="2"/>
  <c r="H21" i="2"/>
  <c r="H20" i="2"/>
  <c r="H19" i="2"/>
  <c r="H18" i="2"/>
  <c r="H17" i="2"/>
  <c r="H16" i="2"/>
  <c r="H14" i="2"/>
  <c r="H13" i="2"/>
  <c r="H12" i="2"/>
  <c r="J28" i="9"/>
  <c r="J27" i="9"/>
  <c r="J26" i="9"/>
  <c r="J21" i="9"/>
  <c r="J20" i="9"/>
  <c r="J19" i="9"/>
  <c r="J18" i="9"/>
  <c r="J17" i="9"/>
  <c r="J16" i="9"/>
  <c r="J15" i="9"/>
  <c r="J14" i="9"/>
  <c r="J13" i="9"/>
  <c r="D28" i="9"/>
  <c r="D27" i="9"/>
  <c r="D26" i="9"/>
  <c r="D22" i="9"/>
  <c r="D21" i="9"/>
  <c r="D20" i="9"/>
  <c r="D19" i="9"/>
  <c r="D18" i="9"/>
  <c r="D16" i="9"/>
  <c r="D15" i="9"/>
  <c r="D14" i="9"/>
  <c r="D29" i="2"/>
  <c r="D28" i="2"/>
  <c r="D27" i="2"/>
  <c r="D26" i="2"/>
  <c r="D22" i="2"/>
  <c r="D21" i="2"/>
  <c r="D20" i="2"/>
  <c r="D19" i="2"/>
  <c r="D18" i="2"/>
  <c r="D17" i="2"/>
  <c r="D15" i="2"/>
  <c r="D16" i="2"/>
  <c r="D14" i="2"/>
  <c r="D13" i="2"/>
  <c r="D12" i="2"/>
  <c r="G34" i="1"/>
  <c r="G32" i="1"/>
  <c r="G31" i="1"/>
  <c r="G30" i="1"/>
  <c r="G25" i="1"/>
  <c r="G24" i="1"/>
  <c r="G23" i="1"/>
  <c r="G21" i="1"/>
  <c r="G20" i="1"/>
  <c r="G19" i="1"/>
  <c r="G17" i="1"/>
  <c r="G16" i="1"/>
  <c r="G15" i="1"/>
  <c r="G13" i="1"/>
  <c r="B33" i="2"/>
  <c r="E33" i="2"/>
  <c r="I33" i="2" s="1"/>
  <c r="G33" i="2" s="1"/>
  <c r="E41" i="1"/>
  <c r="E8" i="3"/>
  <c r="J32" i="9" l="1"/>
  <c r="D32" i="9"/>
  <c r="H32" i="2"/>
  <c r="D32" i="2"/>
  <c r="D31" i="2"/>
  <c r="L39" i="1"/>
  <c r="G39" i="1"/>
  <c r="B32" i="9" l="1"/>
  <c r="B32" i="2"/>
  <c r="E32" i="2" s="1"/>
  <c r="I32" i="2" s="1"/>
  <c r="G32" i="2" s="1"/>
  <c r="J38" i="1"/>
  <c r="J39" i="1"/>
  <c r="N46" i="3"/>
  <c r="I32" i="3"/>
  <c r="E31" i="3"/>
  <c r="E19" i="3"/>
  <c r="E20" i="3"/>
  <c r="J41" i="1" l="1"/>
  <c r="E32" i="9"/>
  <c r="K32" i="9" s="1"/>
  <c r="G32" i="9" s="1"/>
  <c r="I32" i="9" s="1"/>
  <c r="J31" i="9"/>
  <c r="D31" i="9"/>
  <c r="B31" i="9"/>
  <c r="H31" i="2"/>
  <c r="L38" i="1"/>
  <c r="L41" i="1" s="1"/>
  <c r="J36" i="1"/>
  <c r="G38" i="1"/>
  <c r="G41" i="1" s="1"/>
  <c r="H41" i="1" s="1"/>
  <c r="M41" i="1" s="1"/>
  <c r="K41" i="1" s="1"/>
  <c r="E31" i="9" l="1"/>
  <c r="K31" i="9" s="1"/>
  <c r="G31" i="9" s="1"/>
  <c r="I31" i="9" s="1"/>
  <c r="D45" i="3"/>
  <c r="H45" i="3"/>
  <c r="L44" i="3"/>
  <c r="N44" i="3"/>
  <c r="E45" i="3"/>
  <c r="N45" i="3"/>
  <c r="O45" i="3" s="1"/>
  <c r="E32" i="3"/>
  <c r="I31" i="3"/>
  <c r="G31" i="3" s="1"/>
  <c r="B32" i="3"/>
  <c r="B20" i="3"/>
  <c r="G19" i="3"/>
  <c r="I19" i="3"/>
  <c r="I20" i="3"/>
  <c r="J20" i="3" s="1"/>
  <c r="B21" i="3" s="1"/>
  <c r="J7" i="3"/>
  <c r="E6" i="3"/>
  <c r="G7" i="9"/>
  <c r="K7" i="9" s="1"/>
  <c r="L6" i="9"/>
  <c r="B7" i="9" s="1"/>
  <c r="E7" i="9" s="1"/>
  <c r="I7" i="2"/>
  <c r="J6" i="2"/>
  <c r="B7" i="2" s="1"/>
  <c r="E7" i="2" s="1"/>
  <c r="B31" i="2"/>
  <c r="E31" i="2" s="1"/>
  <c r="I31" i="2" s="1"/>
  <c r="G31" i="2" s="1"/>
  <c r="M8" i="1"/>
  <c r="J7" i="2" l="1"/>
  <c r="B8" i="2" s="1"/>
  <c r="E46" i="3"/>
  <c r="L7" i="9"/>
  <c r="J32" i="3"/>
  <c r="D6" i="1" l="1"/>
  <c r="N6" i="1"/>
  <c r="E7" i="1" s="1"/>
  <c r="H30" i="2"/>
  <c r="D30" i="2"/>
  <c r="J30" i="9" l="1"/>
  <c r="D30" i="9"/>
  <c r="G36" i="1"/>
  <c r="B30" i="2" l="1"/>
  <c r="B30" i="9" l="1"/>
  <c r="E30" i="9" s="1"/>
  <c r="K30" i="9" s="1"/>
  <c r="G30" i="9" s="1"/>
  <c r="I30" i="9" s="1"/>
  <c r="E30" i="2"/>
  <c r="I30" i="2" s="1"/>
  <c r="G30" i="2" s="1"/>
  <c r="I37" i="1"/>
  <c r="E37" i="1"/>
  <c r="J25" i="1"/>
  <c r="J24" i="1"/>
  <c r="J23" i="1"/>
  <c r="J21" i="1"/>
  <c r="J20" i="1"/>
  <c r="J19" i="1"/>
  <c r="J17" i="1"/>
  <c r="J16" i="1"/>
  <c r="J15" i="1"/>
  <c r="J13" i="1"/>
  <c r="J12" i="1"/>
  <c r="J11" i="1"/>
  <c r="H29" i="2" l="1"/>
  <c r="J29" i="9"/>
  <c r="D29" i="9"/>
  <c r="L35" i="1" l="1"/>
  <c r="G35" i="1"/>
  <c r="B29" i="9" l="1"/>
  <c r="E29" i="9" s="1"/>
  <c r="K29" i="9" s="1"/>
  <c r="G29" i="9" s="1"/>
  <c r="I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7" i="1" s="1"/>
  <c r="J32" i="1"/>
  <c r="J31" i="1"/>
  <c r="J30" i="1"/>
  <c r="G37" i="1" l="1"/>
  <c r="H37" i="1" s="1"/>
  <c r="B28" i="9" l="1"/>
  <c r="E28" i="9" l="1"/>
  <c r="K28" i="9" s="1"/>
  <c r="G28" i="9" s="1"/>
  <c r="I28" i="9" s="1"/>
  <c r="B28" i="2"/>
  <c r="E28" i="2" s="1"/>
  <c r="I28" i="2" s="1"/>
  <c r="G28" i="2" s="1"/>
  <c r="B26" i="2" l="1"/>
  <c r="E33" i="1" l="1"/>
  <c r="B27" i="2"/>
  <c r="E27" i="2" s="1"/>
  <c r="I27" i="2" s="1"/>
  <c r="G27" i="2" s="1"/>
  <c r="B27" i="9"/>
  <c r="E27" i="9" s="1"/>
  <c r="K27" i="9" s="1"/>
  <c r="G27" i="9" s="1"/>
  <c r="I27" i="9" s="1"/>
  <c r="J22" i="9" l="1"/>
  <c r="J12" i="9"/>
  <c r="J11" i="9"/>
  <c r="D17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H6" i="9" s="1"/>
  <c r="D6" i="9" l="1"/>
  <c r="C23" i="9"/>
  <c r="C6" i="9" s="1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C23" i="2"/>
  <c r="C6" i="2" s="1"/>
  <c r="B22" i="2"/>
  <c r="B21" i="2"/>
  <c r="B20" i="2"/>
  <c r="E20" i="2" s="1"/>
  <c r="I20" i="2" s="1"/>
  <c r="B19" i="2"/>
  <c r="B18" i="2"/>
  <c r="B17" i="2"/>
  <c r="B16" i="2"/>
  <c r="E16" i="2" s="1"/>
  <c r="I16" i="2" s="1"/>
  <c r="G16" i="2" s="1"/>
  <c r="B15" i="2"/>
  <c r="B14" i="2"/>
  <c r="B13" i="2"/>
  <c r="B12" i="2"/>
  <c r="E12" i="2" s="1"/>
  <c r="I12" i="2" s="1"/>
  <c r="D11" i="2"/>
  <c r="G12" i="2" l="1"/>
  <c r="G20" i="2"/>
  <c r="K20" i="9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K6" i="9" s="1"/>
  <c r="G6" i="9" s="1"/>
  <c r="I6" i="9" s="1"/>
  <c r="E18" i="1"/>
  <c r="G19" i="9" l="1"/>
  <c r="G20" i="9"/>
  <c r="G18" i="9"/>
  <c r="G17" i="9"/>
  <c r="G16" i="9"/>
  <c r="G13" i="9"/>
  <c r="G15" i="9"/>
  <c r="G21" i="9"/>
  <c r="G14" i="9"/>
  <c r="G12" i="9"/>
  <c r="K23" i="9"/>
  <c r="G23" i="9" s="1"/>
  <c r="I23" i="9" s="1"/>
  <c r="E11" i="2"/>
  <c r="I11" i="2" s="1"/>
  <c r="I23" i="2" s="1"/>
  <c r="J33" i="1"/>
  <c r="I14" i="9" l="1"/>
  <c r="I13" i="9"/>
  <c r="I16" i="9"/>
  <c r="I17" i="9"/>
  <c r="I18" i="9"/>
  <c r="I21" i="9"/>
  <c r="I20" i="9"/>
  <c r="I15" i="9"/>
  <c r="I19" i="9"/>
  <c r="I12" i="9"/>
  <c r="G11" i="2"/>
  <c r="G23" i="2" s="1"/>
  <c r="G33" i="1"/>
  <c r="H33" i="1" s="1"/>
  <c r="M33" i="1" s="1"/>
  <c r="K33" i="1" s="1"/>
  <c r="H6" i="1" l="1"/>
  <c r="M6" i="1" s="1"/>
  <c r="E26" i="1"/>
  <c r="E22" i="1"/>
  <c r="G12" i="1"/>
  <c r="G11" i="1"/>
  <c r="G26" i="1" l="1"/>
  <c r="H26" i="1" s="1"/>
  <c r="M26" i="1" s="1"/>
  <c r="L18" i="1"/>
  <c r="J14" i="1"/>
  <c r="J22" i="1"/>
  <c r="G14" i="1"/>
  <c r="H14" i="1" s="1"/>
  <c r="G18" i="1"/>
  <c r="H18" i="1" s="1"/>
  <c r="M18" i="1" s="1"/>
  <c r="L14" i="1"/>
  <c r="J18" i="1"/>
  <c r="G22" i="1"/>
  <c r="H22" i="1" s="1"/>
  <c r="M22" i="1" s="1"/>
  <c r="J26" i="1"/>
  <c r="L26" i="1"/>
  <c r="L22" i="1"/>
  <c r="J27" i="1" l="1"/>
  <c r="J6" i="1" s="1"/>
  <c r="K6" i="1" s="1"/>
  <c r="M14" i="1"/>
  <c r="K14" i="1" s="1"/>
  <c r="K26" i="1"/>
  <c r="K18" i="1"/>
  <c r="K22" i="1"/>
  <c r="D7" i="1" l="1"/>
  <c r="I33" i="3" l="1"/>
  <c r="I8" i="2" l="1"/>
  <c r="J8" i="3"/>
  <c r="K8" i="3" s="1"/>
  <c r="K8" i="9" l="1"/>
  <c r="B8" i="9" l="1"/>
  <c r="E6" i="2" l="1"/>
  <c r="B45" i="1"/>
  <c r="G6" i="2" l="1"/>
  <c r="I6" i="2"/>
  <c r="M7" i="1"/>
  <c r="I21" i="3" l="1"/>
  <c r="B51" i="6" l="1"/>
  <c r="B51" i="5"/>
  <c r="B50" i="4"/>
  <c r="B50" i="3"/>
  <c r="B37" i="9"/>
  <c r="B37" i="2"/>
  <c r="E21" i="3" l="1"/>
  <c r="J21" i="3" s="1"/>
  <c r="H7" i="1" l="1"/>
  <c r="N7" i="1" s="1"/>
  <c r="E8" i="1" s="1"/>
  <c r="H8" i="1" s="1"/>
  <c r="N8" i="1" s="1"/>
  <c r="B33" i="3" l="1"/>
  <c r="E33" i="3" s="1"/>
  <c r="J33" i="3" s="1"/>
  <c r="E8" i="9" l="1"/>
  <c r="L8" i="9" s="1"/>
  <c r="H46" i="3" l="1"/>
  <c r="O46" i="3" s="1"/>
  <c r="J8" i="2" l="1"/>
  <c r="J6" i="3" l="1"/>
  <c r="I6" i="3" s="1"/>
  <c r="B7" i="3"/>
  <c r="E7" i="3" s="1"/>
  <c r="K7" i="3" l="1"/>
  <c r="B8" i="3" s="1"/>
</calcChain>
</file>

<file path=xl/sharedStrings.xml><?xml version="1.0" encoding="utf-8"?>
<sst xmlns="http://schemas.openxmlformats.org/spreadsheetml/2006/main" count="634" uniqueCount="199">
  <si>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</si>
  <si>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</si>
  <si>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</si>
  <si>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</si>
  <si>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</si>
  <si>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</si>
  <si>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</si>
  <si>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</si>
  <si>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</si>
  <si>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</si>
  <si>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</si>
  <si>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</si>
  <si>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</si>
  <si>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</si>
  <si>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</si>
  <si>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</si>
  <si>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</si>
  <si>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</si>
  <si>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</si>
  <si>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</si>
  <si>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</si>
  <si>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</si>
  <si>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</si>
  <si>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</si>
  <si>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</si>
  <si>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</si>
  <si>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</si>
  <si>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</si>
  <si>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</si>
  <si>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</si>
  <si>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</si>
  <si>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</si>
  <si>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</si>
  <si>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</si>
  <si>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</si>
  <si>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2023/24</t>
  </si>
  <si>
    <r>
      <t>2024/25</t>
    </r>
    <r>
      <rPr>
        <vertAlign val="superscript"/>
        <sz val="11"/>
        <rFont val="Arial"/>
        <family val="2"/>
      </rPr>
      <t>1</t>
    </r>
  </si>
  <si>
    <r>
      <t>2025/26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</si>
  <si>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</si>
  <si>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</si>
  <si>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</si>
  <si>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</si>
  <si>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</si>
  <si>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</si>
  <si>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</si>
  <si>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</si>
  <si>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</si>
  <si>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</si>
  <si>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</si>
  <si>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March-May</t>
  </si>
  <si>
    <t>June</t>
  </si>
  <si>
    <t>July</t>
  </si>
  <si>
    <t>August</t>
  </si>
  <si>
    <t xml:space="preserve">  June–August</t>
  </si>
  <si>
    <t>2024/25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</si>
  <si>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</si>
  <si>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</si>
  <si>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</si>
  <si>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</si>
  <si>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</si>
  <si>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</si>
  <si>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</si>
  <si>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</si>
  <si>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</si>
  <si>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</si>
  <si>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</si>
  <si>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</si>
  <si>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</si>
  <si>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</si>
  <si>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</si>
  <si>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</si>
  <si>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</si>
  <si>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</si>
  <si>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</si>
  <si>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</si>
  <si>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</si>
  <si>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</si>
  <si>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NA</t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</si>
  <si>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</si>
  <si>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</si>
  <si>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</si>
  <si>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</si>
  <si>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</si>
  <si>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</si>
  <si>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</si>
  <si>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</si>
  <si>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</si>
  <si>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</si>
  <si>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</si>
  <si>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</si>
  <si>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</si>
  <si>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</si>
  <si>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</si>
  <si>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</si>
  <si>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</si>
  <si>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</si>
  <si>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</si>
  <si>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</si>
  <si>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</si>
  <si>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</si>
  <si>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</si>
  <si>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</si>
  <si>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</si>
  <si>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</si>
  <si>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</si>
  <si>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</si>
  <si>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</si>
  <si>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</si>
  <si>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</si>
  <si>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</si>
  <si>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</si>
  <si>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</si>
  <si>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</si>
  <si>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</si>
  <si>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</si>
  <si>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</si>
  <si>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</si>
  <si>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</si>
  <si>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</si>
  <si>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</si>
  <si>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r>
      <t>2024/25</t>
    </r>
    <r>
      <rPr>
        <vertAlign val="superscript"/>
        <sz val="11"/>
        <rFont val="Arial"/>
        <family val="2"/>
      </rPr>
      <t>4</t>
    </r>
  </si>
  <si>
    <r>
      <t>2025/26</t>
    </r>
    <r>
      <rPr>
        <vertAlign val="superscript"/>
        <sz val="11"/>
        <rFont val="Arial"/>
        <family val="2"/>
      </rPr>
      <t>4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</si>
  <si>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</si>
  <si>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</si>
  <si>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</si>
  <si>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</si>
  <si>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</si>
  <si>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</si>
  <si>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</si>
  <si>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</si>
  <si>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</si>
  <si>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</si>
  <si>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</si>
  <si>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</si>
  <si>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</si>
  <si>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</si>
  <si>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</si>
  <si>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</si>
  <si>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2024/25</t>
    </r>
    <r>
      <rPr>
        <vertAlign val="superscript"/>
        <sz val="11"/>
        <rFont val="Arial"/>
        <family val="2"/>
      </rPr>
      <t>7</t>
    </r>
  </si>
  <si>
    <r>
      <t>2025/26</t>
    </r>
    <r>
      <rPr>
        <vertAlign val="superscript"/>
        <sz val="11"/>
        <rFont val="Arial"/>
        <family val="2"/>
      </rPr>
      <t>7</t>
    </r>
  </si>
  <si>
    <t xml:space="preserve">January </t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</si>
  <si>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</si>
  <si>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</si>
  <si>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</si>
  <si>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</si>
  <si>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</si>
  <si>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</si>
  <si>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</si>
  <si>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</si>
  <si>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</si>
  <si>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</si>
  <si>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</si>
  <si>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rPr>
        <vertAlign val="superscript"/>
        <sz val="11"/>
        <color rgb="FF000000"/>
        <rFont val="Arial"/>
        <family val="2"/>
      </rPr>
      <t>4</t>
    </r>
    <r>
      <rPr>
        <sz val="11"/>
        <color rgb="FF000000"/>
        <rFont val="Arial"/>
        <family val="2"/>
      </rPr>
      <t xml:space="preserve"> 50-percent Southeast mills.  </t>
    </r>
    <r>
      <rPr>
        <vertAlign val="superscript"/>
        <sz val="11"/>
        <color rgb="FF000000"/>
        <rFont val="Arial"/>
        <family val="2"/>
      </rPr>
      <t>5</t>
    </r>
    <r>
      <rPr>
        <sz val="11"/>
        <color rgb="FF000000"/>
        <rFont val="Arial"/>
        <family val="2"/>
      </rPr>
      <t xml:space="preserve"> 36-percent Pacific Northwest. </t>
    </r>
    <r>
      <rPr>
        <vertAlign val="superscript"/>
        <sz val="11"/>
        <color rgb="FF000000"/>
        <rFont val="Arial"/>
        <family val="2"/>
      </rPr>
      <t>6</t>
    </r>
    <r>
      <rPr>
        <sz val="11"/>
        <color rgb="FF000000"/>
        <rFont val="Arial"/>
        <family val="2"/>
      </rPr>
      <t xml:space="preserve"> 34-percent Minneapolis, MN. </t>
    </r>
    <r>
      <rPr>
        <vertAlign val="superscript"/>
        <sz val="11"/>
        <color rgb="FF000000"/>
        <rFont val="Arial"/>
        <family val="2"/>
      </rPr>
      <t>7</t>
    </r>
    <r>
      <rPr>
        <sz val="11"/>
        <color rgb="FF000000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</si>
  <si>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</si>
  <si>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</si>
  <si>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2025/26*</t>
  </si>
  <si>
    <t>2024/25*</t>
  </si>
  <si>
    <r>
      <rPr>
        <sz val="11"/>
        <color rgb="FF000000"/>
        <rFont val="Arial"/>
        <family val="2"/>
      </rPr>
      <t>Note: 1 metric ton equals 1.10231 short tons.</t>
    </r>
    <r>
      <rPr>
        <vertAlign val="superscript"/>
        <sz val="11"/>
        <color rgb="FF000000"/>
        <rFont val="Arial"/>
        <family val="2"/>
      </rPr>
      <t xml:space="preserve"> 1</t>
    </r>
    <r>
      <rPr>
        <sz val="11"/>
        <color rgb="FF000000"/>
        <rFont val="Arial"/>
        <family val="2"/>
      </rPr>
      <t xml:space="preserve"> Estimated. 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Forecast.</t>
    </r>
  </si>
  <si>
    <r>
      <rPr>
        <sz val="11"/>
        <color rgb="FF000000"/>
        <rFont val="Arial"/>
        <family val="2"/>
      </rPr>
      <t>NA = Not available. Note: 1 metric ton equals 2,204.622 pounds.</t>
    </r>
    <r>
      <rPr>
        <vertAlign val="superscript"/>
        <sz val="11"/>
        <color rgb="FF000000"/>
        <rFont val="Arial"/>
        <family val="2"/>
      </rPr>
      <t xml:space="preserve"> 1</t>
    </r>
    <r>
      <rPr>
        <sz val="11"/>
        <color rgb="FF000000"/>
        <rFont val="Arial"/>
        <family val="2"/>
      </rPr>
      <t xml:space="preserve"> Estimated. 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Forecast. 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Prior year’s monthly biofuel data are estimated on yearly data.</t>
    </r>
  </si>
  <si>
    <r>
      <t>1</t>
    </r>
    <r>
      <rPr>
        <sz val="11"/>
        <color rgb="FF000000"/>
        <rFont val="Arial"/>
        <family val="2"/>
      </rPr>
      <t xml:space="preserve"> Estimated. 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Forecast.</t>
    </r>
  </si>
  <si>
    <r>
      <t>NA = Not available.</t>
    </r>
    <r>
      <rPr>
        <vertAlign val="superscript"/>
        <sz val="11"/>
        <color rgb="FF000000"/>
        <rFont val="Arial"/>
        <family val="2"/>
      </rPr>
      <t xml:space="preserve"> 1</t>
    </r>
    <r>
      <rPr>
        <sz val="11"/>
        <color rgb="FF000000"/>
        <rFont val="Arial"/>
        <family val="2"/>
      </rPr>
      <t xml:space="preserve"> September–August. 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August–July. 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July–June. </t>
    </r>
    <r>
      <rPr>
        <vertAlign val="superscript"/>
        <sz val="11"/>
        <color rgb="FF000000"/>
        <rFont val="Arial"/>
        <family val="2"/>
      </rPr>
      <t>4</t>
    </r>
    <r>
      <rPr>
        <sz val="11"/>
        <color rgb="FF000000"/>
        <rFont val="Arial"/>
        <family val="2"/>
      </rPr>
      <t xml:space="preserve"> Preliminary. </t>
    </r>
  </si>
  <si>
    <r>
      <rPr>
        <sz val="11"/>
        <color rgb="FF000000"/>
        <rFont val="Arial"/>
        <family val="2"/>
      </rPr>
      <t xml:space="preserve">NA = Not available. </t>
    </r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Decatur, IL. 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Prime bleached summer yellow, Greenwood, MS. 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</si>
  <si>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</si>
  <si>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t>Delta</t>
  </si>
  <si>
    <t>Eastern Corn Belt</t>
  </si>
  <si>
    <t>Western Corn Belt</t>
  </si>
  <si>
    <t>Central Plains</t>
  </si>
  <si>
    <t>Northern Plains</t>
  </si>
  <si>
    <t>Other</t>
  </si>
  <si>
    <t>Period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</si>
  <si>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</si>
  <si>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</si>
  <si>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</si>
  <si>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</si>
  <si>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</si>
  <si>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</si>
  <si>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</si>
  <si>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</si>
  <si>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</si>
  <si>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</si>
  <si>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</si>
  <si>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</si>
  <si>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</si>
  <si>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</si>
  <si>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</si>
  <si>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</si>
  <si>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2025/26</t>
  </si>
  <si>
    <t>Accumulated exports</t>
  </si>
  <si>
    <t>Outstanding sales</t>
  </si>
  <si>
    <t>Export projection</t>
  </si>
  <si>
    <t>Reminaing exports</t>
  </si>
  <si>
    <t>EU rapeseed meal</t>
  </si>
  <si>
    <t>Argentina (Up River) soybean meal</t>
  </si>
  <si>
    <t>Brazil (Paranagua) soybean meal</t>
  </si>
  <si>
    <t>U.S. (Gulf) soybean meal</t>
  </si>
  <si>
    <t>Marketing year (Oct/Sep)</t>
  </si>
  <si>
    <t>2025/26 July*</t>
  </si>
  <si>
    <t>2025/26 Aug*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</si>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</sst>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_)"/>
    <numFmt numFmtId="168" formatCode="#,##0.0"/>
    <numFmt numFmtId="169" formatCode="_(* #,##0.00000_);_(* \(#,##0.00000\);_(* &quot;-&quot;??_);_(@_)"/>
    <numFmt numFmtId="170" formatCode="0.0%"/>
    <numFmt numFmtId="171" formatCode="#,##0.0000"/>
    <numFmt numFmtId="172" formatCode="#,##0.00000"/>
    <numFmt numFmtId="173" formatCode="0.000000"/>
    <numFmt numFmtId="174" formatCode="0.0000000"/>
    <numFmt numFmtId="175" formatCode="0.000"/>
    <numFmt numFmtId="176" formatCode="#,##0.000"/>
    <numFmt numFmtId="177" formatCode="#,##0___)"/>
    <numFmt numFmtId="178" formatCode="#,##0.000000000000"/>
    <numFmt numFmtId="179" formatCode="_(* #,##0.0_);_(* \(#,##0.0\);_(* &quot;-&quot;_);_(@_)"/>
  </numFmts>
  <fonts count="1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  <font>
      <sz val="8"/>
      <name val="Helvetica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color rgb="FFFF0000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sz val="10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7">
    <xf numFmtId="0" fontId="0" fillId="0" borderId="0"/>
    <xf numFmtId="43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60" fillId="0" borderId="0"/>
    <xf numFmtId="0" fontId="60" fillId="0" borderId="0"/>
    <xf numFmtId="0" fontId="60" fillId="0" borderId="0"/>
    <xf numFmtId="0" fontId="71" fillId="0" borderId="0"/>
    <xf numFmtId="9" fontId="59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59" fillId="0" borderId="0"/>
    <xf numFmtId="0" fontId="73" fillId="0" borderId="0"/>
    <xf numFmtId="0" fontId="58" fillId="0" borderId="0"/>
    <xf numFmtId="0" fontId="57" fillId="0" borderId="0"/>
    <xf numFmtId="43" fontId="59" fillId="0" borderId="0" applyFont="0" applyFill="0" applyBorder="0" applyAlignment="0" applyProtection="0"/>
    <xf numFmtId="0" fontId="59" fillId="0" borderId="0"/>
    <xf numFmtId="0" fontId="59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43" fontId="5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3" fillId="0" borderId="0"/>
    <xf numFmtId="0" fontId="52" fillId="0" borderId="0"/>
    <xf numFmtId="43" fontId="52" fillId="0" borderId="0" applyFont="0" applyFill="0" applyBorder="0" applyAlignment="0" applyProtection="0"/>
    <xf numFmtId="0" fontId="51" fillId="0" borderId="0"/>
    <xf numFmtId="44" fontId="59" fillId="0" borderId="0" applyFont="0" applyFill="0" applyBorder="0" applyAlignment="0" applyProtection="0"/>
    <xf numFmtId="0" fontId="50" fillId="0" borderId="0"/>
    <xf numFmtId="0" fontId="49" fillId="0" borderId="0"/>
    <xf numFmtId="0" fontId="48" fillId="0" borderId="0"/>
    <xf numFmtId="0" fontId="47" fillId="0" borderId="0"/>
    <xf numFmtId="43" fontId="46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43" fontId="29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43" fontId="25" fillId="0" borderId="0" applyFont="0" applyFill="0" applyBorder="0" applyAlignment="0" applyProtection="0"/>
    <xf numFmtId="0" fontId="25" fillId="0" borderId="0"/>
    <xf numFmtId="0" fontId="24" fillId="0" borderId="0"/>
    <xf numFmtId="0" fontId="23" fillId="0" borderId="0"/>
    <xf numFmtId="0" fontId="22" fillId="0" borderId="0"/>
    <xf numFmtId="0" fontId="80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81" fillId="0" borderId="8" applyNumberFormat="0" applyFont="0" applyProtection="0">
      <alignment wrapText="1"/>
    </xf>
    <xf numFmtId="43" fontId="18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/>
    <xf numFmtId="0" fontId="81" fillId="0" borderId="0" applyNumberFormat="0" applyProtection="0">
      <alignment vertical="top" wrapText="1"/>
    </xf>
    <xf numFmtId="0" fontId="81" fillId="0" borderId="9" applyNumberFormat="0" applyProtection="0">
      <alignment vertical="top" wrapText="1"/>
    </xf>
    <xf numFmtId="0" fontId="83" fillId="0" borderId="7" applyNumberFormat="0" applyProtection="0">
      <alignment wrapText="1"/>
    </xf>
    <xf numFmtId="0" fontId="83" fillId="0" borderId="10" applyNumberFormat="0" applyProtection="0">
      <alignment horizontal="left" wrapText="1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11" applyNumberFormat="0" applyProtection="0">
      <alignment wrapText="1"/>
    </xf>
    <xf numFmtId="0" fontId="81" fillId="0" borderId="12" applyNumberFormat="0" applyFont="0" applyFill="0" applyProtection="0">
      <alignment wrapText="1"/>
    </xf>
    <xf numFmtId="0" fontId="83" fillId="0" borderId="13" applyNumberFormat="0" applyFill="0" applyProtection="0">
      <alignment wrapText="1"/>
    </xf>
    <xf numFmtId="0" fontId="85" fillId="0" borderId="0" applyNumberFormat="0" applyProtection="0">
      <alignment horizontal="left"/>
    </xf>
    <xf numFmtId="0" fontId="86" fillId="0" borderId="0" applyNumberFormat="0" applyFill="0" applyBorder="0" applyAlignment="0" applyProtection="0"/>
    <xf numFmtId="0" fontId="87" fillId="0" borderId="7" applyNumberFormat="0" applyFill="0" applyAlignment="0" applyProtection="0"/>
    <xf numFmtId="0" fontId="88" fillId="0" borderId="14" applyNumberFormat="0" applyFill="0" applyAlignment="0" applyProtection="0"/>
    <xf numFmtId="0" fontId="89" fillId="0" borderId="15" applyNumberFormat="0" applyFill="0" applyAlignment="0" applyProtection="0"/>
    <xf numFmtId="0" fontId="89" fillId="0" borderId="0" applyNumberFormat="0" applyFill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0" applyNumberFormat="0" applyBorder="0" applyAlignment="0" applyProtection="0"/>
    <xf numFmtId="0" fontId="93" fillId="6" borderId="16" applyNumberFormat="0" applyAlignment="0" applyProtection="0"/>
    <xf numFmtId="0" fontId="94" fillId="7" borderId="17" applyNumberFormat="0" applyAlignment="0" applyProtection="0"/>
    <xf numFmtId="0" fontId="95" fillId="7" borderId="16" applyNumberFormat="0" applyAlignment="0" applyProtection="0"/>
    <xf numFmtId="0" fontId="96" fillId="0" borderId="18" applyNumberFormat="0" applyFill="0" applyAlignment="0" applyProtection="0"/>
    <xf numFmtId="0" fontId="97" fillId="8" borderId="19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1" applyNumberFormat="0" applyFill="0" applyAlignment="0" applyProtection="0"/>
    <xf numFmtId="0" fontId="10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0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0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0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01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9" fillId="55" borderId="32" applyNumberFormat="0" applyFont="0" applyAlignment="0" applyProtection="0"/>
    <xf numFmtId="0" fontId="59" fillId="55" borderId="40" applyNumberFormat="0" applyFont="0" applyAlignment="0" applyProtection="0"/>
    <xf numFmtId="0" fontId="111" fillId="52" borderId="39" applyNumberFormat="0" applyAlignment="0" applyProtection="0"/>
    <xf numFmtId="0" fontId="17" fillId="9" borderId="20" applyNumberFormat="0" applyFont="0" applyAlignment="0" applyProtection="0"/>
    <xf numFmtId="0" fontId="111" fillId="52" borderId="31" applyNumberFormat="0" applyAlignment="0" applyProtection="0"/>
    <xf numFmtId="0" fontId="102" fillId="0" borderId="0"/>
    <xf numFmtId="0" fontId="17" fillId="23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01" fillId="33" borderId="0" applyNumberFormat="0" applyBorder="0" applyAlignment="0" applyProtection="0"/>
    <xf numFmtId="43" fontId="104" fillId="0" borderId="0" applyFont="0" applyFill="0" applyBorder="0" applyAlignment="0" applyProtection="0"/>
    <xf numFmtId="0" fontId="101" fillId="29" borderId="0" applyNumberFormat="0" applyBorder="0" applyAlignment="0" applyProtection="0"/>
    <xf numFmtId="43" fontId="17" fillId="0" borderId="0" applyFont="0" applyFill="0" applyBorder="0" applyAlignment="0" applyProtection="0"/>
    <xf numFmtId="0" fontId="101" fillId="25" borderId="0" applyNumberFormat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0" fontId="101" fillId="21" borderId="0" applyNumberFormat="0" applyBorder="0" applyAlignment="0" applyProtection="0"/>
    <xf numFmtId="43" fontId="104" fillId="0" borderId="0" applyFont="0" applyFill="0" applyBorder="0" applyAlignment="0" applyProtection="0"/>
    <xf numFmtId="0" fontId="101" fillId="17" borderId="0" applyNumberFormat="0" applyBorder="0" applyAlignment="0" applyProtection="0"/>
    <xf numFmtId="43" fontId="104" fillId="0" borderId="0" applyFont="0" applyFill="0" applyBorder="0" applyAlignment="0" applyProtection="0"/>
    <xf numFmtId="0" fontId="101" fillId="13" borderId="0" applyNumberFormat="0" applyBorder="0" applyAlignment="0" applyProtection="0"/>
    <xf numFmtId="43" fontId="104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105" fillId="5" borderId="0" applyNumberFormat="0" applyBorder="0" applyAlignment="0" applyProtection="0"/>
    <xf numFmtId="0" fontId="102" fillId="0" borderId="0"/>
    <xf numFmtId="0" fontId="102" fillId="0" borderId="0"/>
    <xf numFmtId="0" fontId="59" fillId="0" borderId="0">
      <alignment vertical="center"/>
    </xf>
    <xf numFmtId="0" fontId="17" fillId="0" borderId="0"/>
    <xf numFmtId="0" fontId="17" fillId="9" borderId="20" applyNumberFormat="0" applyFont="0" applyAlignment="0" applyProtection="0"/>
    <xf numFmtId="0" fontId="106" fillId="0" borderId="0" applyNumberFormat="0" applyFill="0" applyBorder="0" applyAlignment="0" applyProtection="0"/>
    <xf numFmtId="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107" fillId="0" borderId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01" fillId="21" borderId="0" applyNumberFormat="0" applyBorder="0" applyAlignment="0" applyProtection="0"/>
    <xf numFmtId="0" fontId="101" fillId="25" borderId="0" applyNumberFormat="0" applyBorder="0" applyAlignment="0" applyProtection="0"/>
    <xf numFmtId="0" fontId="101" fillId="33" borderId="0" applyNumberFormat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7" fillId="0" borderId="0"/>
    <xf numFmtId="0" fontId="102" fillId="0" borderId="0"/>
    <xf numFmtId="0" fontId="107" fillId="0" borderId="0"/>
    <xf numFmtId="0" fontId="17" fillId="0" borderId="0"/>
    <xf numFmtId="0" fontId="17" fillId="9" borderId="20" applyNumberFormat="0" applyFont="0" applyAlignment="0" applyProtection="0"/>
    <xf numFmtId="0" fontId="17" fillId="9" borderId="20" applyNumberFormat="0" applyFont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01" fillId="21" borderId="0" applyNumberFormat="0" applyBorder="0" applyAlignment="0" applyProtection="0"/>
    <xf numFmtId="0" fontId="101" fillId="25" borderId="0" applyNumberFormat="0" applyBorder="0" applyAlignment="0" applyProtection="0"/>
    <xf numFmtId="0" fontId="101" fillId="33" borderId="0" applyNumberFormat="0" applyBorder="0" applyAlignment="0" applyProtection="0"/>
    <xf numFmtId="0" fontId="17" fillId="0" borderId="0"/>
    <xf numFmtId="0" fontId="17" fillId="9" borderId="20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0" borderId="0" applyNumberFormat="0" applyBorder="0" applyAlignment="0" applyProtection="0"/>
    <xf numFmtId="43" fontId="17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9" borderId="20" applyNumberFormat="0" applyFont="0" applyAlignment="0" applyProtection="0"/>
    <xf numFmtId="0" fontId="104" fillId="34" borderId="0" applyNumberFormat="0" applyBorder="0" applyAlignment="0" applyProtection="0"/>
    <xf numFmtId="0" fontId="104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104" fillId="38" borderId="0" applyNumberFormat="0" applyBorder="0" applyAlignment="0" applyProtection="0"/>
    <xf numFmtId="0" fontId="104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104" fillId="42" borderId="0" applyNumberFormat="0" applyBorder="0" applyAlignment="0" applyProtection="0"/>
    <xf numFmtId="0" fontId="104" fillId="37" borderId="0" applyNumberFormat="0" applyBorder="0" applyAlignment="0" applyProtection="0"/>
    <xf numFmtId="0" fontId="104" fillId="40" borderId="0" applyNumberFormat="0" applyBorder="0" applyAlignment="0" applyProtection="0"/>
    <xf numFmtId="0" fontId="104" fillId="43" borderId="0" applyNumberFormat="0" applyBorder="0" applyAlignment="0" applyProtection="0"/>
    <xf numFmtId="0" fontId="109" fillId="44" borderId="0" applyNumberFormat="0" applyBorder="0" applyAlignment="0" applyProtection="0"/>
    <xf numFmtId="0" fontId="10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47" borderId="0" applyNumberFormat="0" applyBorder="0" applyAlignment="0" applyProtection="0"/>
    <xf numFmtId="0" fontId="109" fillId="48" borderId="0" applyNumberFormat="0" applyBorder="0" applyAlignment="0" applyProtection="0"/>
    <xf numFmtId="0" fontId="109" fillId="49" borderId="0" applyNumberFormat="0" applyBorder="0" applyAlignment="0" applyProtection="0"/>
    <xf numFmtId="0" fontId="109" fillId="50" borderId="0" applyNumberFormat="0" applyBorder="0" applyAlignment="0" applyProtection="0"/>
    <xf numFmtId="0" fontId="109" fillId="45" borderId="0" applyNumberFormat="0" applyBorder="0" applyAlignment="0" applyProtection="0"/>
    <xf numFmtId="0" fontId="109" fillId="46" borderId="0" applyNumberFormat="0" applyBorder="0" applyAlignment="0" applyProtection="0"/>
    <xf numFmtId="0" fontId="109" fillId="51" borderId="0" applyNumberFormat="0" applyBorder="0" applyAlignment="0" applyProtection="0"/>
    <xf numFmtId="0" fontId="110" fillId="35" borderId="0" applyNumberFormat="0" applyBorder="0" applyAlignment="0" applyProtection="0"/>
    <xf numFmtId="0" fontId="111" fillId="52" borderId="22" applyNumberFormat="0" applyAlignment="0" applyProtection="0"/>
    <xf numFmtId="0" fontId="112" fillId="53" borderId="23" applyNumberFormat="0" applyAlignment="0" applyProtection="0"/>
    <xf numFmtId="43" fontId="59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4" fillId="36" borderId="0" applyNumberFormat="0" applyBorder="0" applyAlignment="0" applyProtection="0"/>
    <xf numFmtId="0" fontId="115" fillId="0" borderId="24" applyNumberFormat="0" applyFill="0" applyAlignment="0" applyProtection="0"/>
    <xf numFmtId="0" fontId="116" fillId="0" borderId="25" applyNumberFormat="0" applyFill="0" applyAlignment="0" applyProtection="0"/>
    <xf numFmtId="0" fontId="117" fillId="0" borderId="26" applyNumberFormat="0" applyFill="0" applyAlignment="0" applyProtection="0"/>
    <xf numFmtId="0" fontId="117" fillId="0" borderId="0" applyNumberFormat="0" applyFill="0" applyBorder="0" applyAlignment="0" applyProtection="0"/>
    <xf numFmtId="0" fontId="118" fillId="39" borderId="22" applyNumberFormat="0" applyAlignment="0" applyProtection="0"/>
    <xf numFmtId="0" fontId="119" fillId="0" borderId="27" applyNumberFormat="0" applyFill="0" applyAlignment="0" applyProtection="0"/>
    <xf numFmtId="0" fontId="120" fillId="54" borderId="0" applyNumberFormat="0" applyBorder="0" applyAlignment="0" applyProtection="0"/>
    <xf numFmtId="0" fontId="59" fillId="0" borderId="0"/>
    <xf numFmtId="0" fontId="59" fillId="55" borderId="28" applyNumberFormat="0" applyFont="0" applyAlignment="0" applyProtection="0"/>
    <xf numFmtId="0" fontId="59" fillId="55" borderId="28" applyNumberFormat="0" applyFont="0" applyAlignment="0" applyProtection="0"/>
    <xf numFmtId="0" fontId="121" fillId="52" borderId="29" applyNumberFormat="0" applyAlignment="0" applyProtection="0"/>
    <xf numFmtId="9" fontId="59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30" applyNumberFormat="0" applyFill="0" applyAlignment="0" applyProtection="0"/>
    <xf numFmtId="0" fontId="124" fillId="0" borderId="0" applyNumberFormat="0" applyFill="0" applyBorder="0" applyAlignment="0" applyProtection="0"/>
    <xf numFmtId="0" fontId="17" fillId="0" borderId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02" fillId="0" borderId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0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9" borderId="20" applyNumberFormat="0" applyFont="0" applyAlignment="0" applyProtection="0"/>
    <xf numFmtId="0" fontId="106" fillId="0" borderId="0" applyNumberFormat="0" applyFill="0" applyBorder="0" applyAlignment="0" applyProtection="0"/>
    <xf numFmtId="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9" borderId="20" applyNumberFormat="0" applyFont="0" applyAlignment="0" applyProtection="0"/>
    <xf numFmtId="0" fontId="17" fillId="9" borderId="20" applyNumberFormat="0" applyFont="0" applyAlignment="0" applyProtection="0"/>
    <xf numFmtId="0" fontId="17" fillId="0" borderId="0"/>
    <xf numFmtId="0" fontId="17" fillId="9" borderId="20" applyNumberFormat="0" applyFont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0" borderId="0" applyNumberFormat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9" borderId="20" applyNumberFormat="0" applyFont="0" applyAlignment="0" applyProtection="0"/>
    <xf numFmtId="0" fontId="118" fillId="39" borderId="39" applyNumberFormat="0" applyAlignment="0" applyProtection="0"/>
    <xf numFmtId="0" fontId="59" fillId="55" borderId="36" applyNumberFormat="0" applyFont="0" applyAlignment="0" applyProtection="0"/>
    <xf numFmtId="0" fontId="121" fillId="52" borderId="37" applyNumberFormat="0" applyAlignment="0" applyProtection="0"/>
    <xf numFmtId="0" fontId="121" fillId="52" borderId="41" applyNumberFormat="0" applyAlignment="0" applyProtection="0"/>
    <xf numFmtId="0" fontId="123" fillId="0" borderId="42" applyNumberFormat="0" applyFill="0" applyAlignment="0" applyProtection="0"/>
    <xf numFmtId="0" fontId="123" fillId="0" borderId="34" applyNumberFormat="0" applyFill="0" applyAlignment="0" applyProtection="0"/>
    <xf numFmtId="0" fontId="59" fillId="55" borderId="40" applyNumberFormat="0" applyFont="0" applyAlignment="0" applyProtection="0"/>
    <xf numFmtId="0" fontId="111" fillId="52" borderId="35" applyNumberFormat="0" applyAlignment="0" applyProtection="0"/>
    <xf numFmtId="0" fontId="59" fillId="55" borderId="32" applyNumberFormat="0" applyFont="0" applyAlignment="0" applyProtection="0"/>
    <xf numFmtId="0" fontId="123" fillId="0" borderId="38" applyNumberFormat="0" applyFill="0" applyAlignment="0" applyProtection="0"/>
    <xf numFmtId="0" fontId="118" fillId="39" borderId="31" applyNumberFormat="0" applyAlignment="0" applyProtection="0"/>
    <xf numFmtId="0" fontId="59" fillId="55" borderId="36" applyNumberFormat="0" applyFont="0" applyAlignment="0" applyProtection="0"/>
    <xf numFmtId="0" fontId="121" fillId="52" borderId="33" applyNumberFormat="0" applyAlignment="0" applyProtection="0"/>
    <xf numFmtId="0" fontId="118" fillId="39" borderId="35" applyNumberFormat="0" applyAlignment="0" applyProtection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9" borderId="20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9" borderId="20" applyNumberFormat="0" applyFont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9" borderId="20" applyNumberFormat="0" applyFont="0" applyAlignment="0" applyProtection="0"/>
    <xf numFmtId="0" fontId="7" fillId="9" borderId="20" applyNumberFormat="0" applyFont="0" applyAlignment="0" applyProtection="0"/>
    <xf numFmtId="0" fontId="7" fillId="0" borderId="0"/>
    <xf numFmtId="0" fontId="7" fillId="9" borderId="20" applyNumberFormat="0" applyFont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9" borderId="20" applyNumberFormat="0" applyFont="0" applyAlignment="0" applyProtection="0"/>
    <xf numFmtId="0" fontId="7" fillId="0" borderId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9" borderId="20" applyNumberFormat="0" applyFont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9" borderId="20" applyNumberFormat="0" applyFont="0" applyAlignment="0" applyProtection="0"/>
    <xf numFmtId="0" fontId="7" fillId="9" borderId="20" applyNumberFormat="0" applyFont="0" applyAlignment="0" applyProtection="0"/>
    <xf numFmtId="0" fontId="7" fillId="0" borderId="0"/>
    <xf numFmtId="0" fontId="7" fillId="9" borderId="20" applyNumberFormat="0" applyFont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0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9" borderId="20" applyNumberFormat="0" applyFont="0" applyAlignment="0" applyProtection="0"/>
    <xf numFmtId="0" fontId="111" fillId="52" borderId="43" applyNumberFormat="0" applyAlignment="0" applyProtection="0"/>
    <xf numFmtId="0" fontId="118" fillId="39" borderId="43" applyNumberFormat="0" applyAlignment="0" applyProtection="0"/>
    <xf numFmtId="0" fontId="59" fillId="55" borderId="44" applyNumberFormat="0" applyFont="0" applyAlignment="0" applyProtection="0"/>
    <xf numFmtId="0" fontId="59" fillId="55" borderId="44" applyNumberFormat="0" applyFont="0" applyAlignment="0" applyProtection="0"/>
    <xf numFmtId="0" fontId="121" fillId="52" borderId="45" applyNumberFormat="0" applyAlignment="0" applyProtection="0"/>
    <xf numFmtId="0" fontId="123" fillId="0" borderId="46" applyNumberFormat="0" applyFill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9" borderId="20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9" borderId="20" applyNumberFormat="0" applyFont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1" fillId="52" borderId="51" applyNumberFormat="0" applyAlignment="0" applyProtection="0"/>
    <xf numFmtId="0" fontId="4" fillId="0" borderId="0"/>
    <xf numFmtId="0" fontId="4" fillId="0" borderId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0" borderId="0"/>
    <xf numFmtId="0" fontId="4" fillId="9" borderId="20" applyNumberFormat="0" applyFont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9" borderId="20" applyNumberFormat="0" applyFont="0" applyAlignment="0" applyProtection="0"/>
    <xf numFmtId="0" fontId="118" fillId="39" borderId="51" applyNumberFormat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23" fillId="0" borderId="54" applyNumberFormat="0" applyFill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9" borderId="20" applyNumberFormat="0" applyFont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9" borderId="20" applyNumberFormat="0" applyFont="0" applyAlignment="0" applyProtection="0"/>
    <xf numFmtId="0" fontId="4" fillId="9" borderId="20" applyNumberFormat="0" applyFont="0" applyAlignment="0" applyProtection="0"/>
    <xf numFmtId="0" fontId="4" fillId="0" borderId="0"/>
    <xf numFmtId="0" fontId="4" fillId="9" borderId="20" applyNumberFormat="0" applyFont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9" borderId="20" applyNumberFormat="0" applyFont="0" applyAlignment="0" applyProtection="0"/>
    <xf numFmtId="0" fontId="4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121" fillId="52" borderId="53" applyNumberFormat="0" applyAlignment="0" applyProtection="0"/>
    <xf numFmtId="0" fontId="59" fillId="55" borderId="52" applyNumberFormat="0" applyFont="0" applyAlignment="0" applyProtection="0"/>
    <xf numFmtId="0" fontId="111" fillId="52" borderId="47" applyNumberFormat="0" applyAlignment="0" applyProtection="0"/>
    <xf numFmtId="0" fontId="118" fillId="39" borderId="47" applyNumberFormat="0" applyAlignment="0" applyProtection="0"/>
    <xf numFmtId="0" fontId="59" fillId="55" borderId="48" applyNumberFormat="0" applyFont="0" applyAlignment="0" applyProtection="0"/>
    <xf numFmtId="0" fontId="59" fillId="55" borderId="48" applyNumberFormat="0" applyFont="0" applyAlignment="0" applyProtection="0"/>
    <xf numFmtId="0" fontId="121" fillId="52" borderId="49" applyNumberFormat="0" applyAlignment="0" applyProtection="0"/>
    <xf numFmtId="0" fontId="123" fillId="0" borderId="50" applyNumberFormat="0" applyFill="0" applyAlignment="0" applyProtection="0"/>
    <xf numFmtId="0" fontId="59" fillId="55" borderId="52" applyNumberFormat="0" applyFont="0" applyAlignment="0" applyProtection="0"/>
    <xf numFmtId="0" fontId="128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7" fontId="102" fillId="0" borderId="0"/>
    <xf numFmtId="0" fontId="129" fillId="0" borderId="0" applyNumberFormat="0" applyFill="0" applyBorder="0" applyAlignment="0" applyProtection="0">
      <alignment vertical="top"/>
      <protection locked="0"/>
    </xf>
    <xf numFmtId="37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9" borderId="20" applyNumberFormat="0" applyFont="0" applyAlignment="0" applyProtection="0"/>
    <xf numFmtId="0" fontId="59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3" fillId="0" borderId="0"/>
    <xf numFmtId="43" fontId="6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223">
    <xf numFmtId="0" fontId="0" fillId="0" borderId="0" xfId="0"/>
    <xf numFmtId="0" fontId="60" fillId="0" borderId="0" xfId="8"/>
    <xf numFmtId="0" fontId="61" fillId="0" borderId="0" xfId="8" applyFont="1"/>
    <xf numFmtId="0" fontId="66" fillId="0" borderId="0" xfId="8" applyFont="1"/>
    <xf numFmtId="0" fontId="67" fillId="0" borderId="0" xfId="8" applyFont="1"/>
    <xf numFmtId="168" fontId="68" fillId="0" borderId="0" xfId="1" applyNumberFormat="1" applyFont="1" applyFill="1" applyBorder="1" applyAlignment="1">
      <alignment horizontal="center"/>
    </xf>
    <xf numFmtId="168" fontId="68" fillId="0" borderId="0" xfId="1" applyNumberFormat="1" applyFont="1" applyFill="1" applyBorder="1" applyAlignment="1">
      <alignment horizontal="right" indent="1"/>
    </xf>
    <xf numFmtId="0" fontId="74" fillId="0" borderId="0" xfId="7" applyFont="1" applyAlignment="1">
      <alignment horizontal="left"/>
    </xf>
    <xf numFmtId="0" fontId="75" fillId="0" borderId="0" xfId="5" applyFont="1" applyAlignment="1" applyProtection="1"/>
    <xf numFmtId="14" fontId="74" fillId="0" borderId="0" xfId="7" applyNumberFormat="1" applyFont="1" applyAlignment="1">
      <alignment horizontal="left"/>
    </xf>
    <xf numFmtId="0" fontId="75" fillId="0" borderId="0" xfId="4" applyFont="1" applyAlignment="1" applyProtection="1"/>
    <xf numFmtId="0" fontId="68" fillId="0" borderId="0" xfId="7" quotePrefix="1" applyFont="1" applyAlignment="1">
      <alignment horizontal="left"/>
    </xf>
    <xf numFmtId="0" fontId="68" fillId="0" borderId="0" xfId="8" applyFont="1" applyAlignment="1">
      <alignment wrapText="1"/>
    </xf>
    <xf numFmtId="168" fontId="68" fillId="0" borderId="0" xfId="1" applyNumberFormat="1" applyFont="1" applyFill="1" applyBorder="1" applyAlignment="1">
      <alignment horizontal="right"/>
    </xf>
    <xf numFmtId="0" fontId="68" fillId="0" borderId="1" xfId="0" applyFont="1" applyBorder="1"/>
    <xf numFmtId="0" fontId="68" fillId="0" borderId="0" xfId="0" applyFont="1"/>
    <xf numFmtId="0" fontId="68" fillId="0" borderId="2" xfId="0" applyFont="1" applyBorder="1" applyAlignment="1">
      <alignment horizontal="right"/>
    </xf>
    <xf numFmtId="0" fontId="68" fillId="0" borderId="0" xfId="0" applyFont="1" applyAlignment="1">
      <alignment horizontal="center"/>
    </xf>
    <xf numFmtId="0" fontId="0" fillId="0" borderId="2" xfId="0" applyBorder="1"/>
    <xf numFmtId="0" fontId="68" fillId="0" borderId="2" xfId="0" applyFont="1" applyBorder="1" applyAlignment="1">
      <alignment horizontal="left"/>
    </xf>
    <xf numFmtId="0" fontId="68" fillId="0" borderId="0" xfId="0" applyFont="1" applyAlignment="1">
      <alignment horizontal="right"/>
    </xf>
    <xf numFmtId="16" fontId="68" fillId="0" borderId="1" xfId="0" quotePrefix="1" applyNumberFormat="1" applyFont="1" applyBorder="1"/>
    <xf numFmtId="16" fontId="68" fillId="0" borderId="1" xfId="0" applyNumberFormat="1" applyFont="1" applyBorder="1"/>
    <xf numFmtId="0" fontId="68" fillId="0" borderId="1" xfId="0" applyFont="1" applyBorder="1" applyAlignment="1">
      <alignment horizontal="center"/>
    </xf>
    <xf numFmtId="0" fontId="68" fillId="0" borderId="1" xfId="0" applyFont="1" applyBorder="1" applyAlignment="1">
      <alignment horizontal="right"/>
    </xf>
    <xf numFmtId="0" fontId="68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9" fillId="0" borderId="0" xfId="0" quotePrefix="1" applyFont="1" applyAlignment="1">
      <alignment horizontal="right"/>
    </xf>
    <xf numFmtId="164" fontId="68" fillId="0" borderId="0" xfId="1" applyNumberFormat="1" applyFont="1" applyFill="1" applyBorder="1"/>
    <xf numFmtId="164" fontId="68" fillId="0" borderId="0" xfId="1" applyNumberFormat="1" applyFont="1" applyFill="1" applyBorder="1" applyAlignment="1">
      <alignment horizontal="right"/>
    </xf>
    <xf numFmtId="0" fontId="74" fillId="0" borderId="0" xfId="0" applyFont="1"/>
    <xf numFmtId="168" fontId="68" fillId="0" borderId="0" xfId="1" quotePrefix="1" applyNumberFormat="1" applyFont="1" applyFill="1" applyBorder="1" applyAlignment="1">
      <alignment horizontal="right"/>
    </xf>
    <xf numFmtId="164" fontId="68" fillId="0" borderId="0" xfId="1" applyNumberFormat="1" applyFont="1" applyFill="1" applyBorder="1" applyAlignment="1">
      <alignment horizontal="center"/>
    </xf>
    <xf numFmtId="164" fontId="68" fillId="0" borderId="0" xfId="1" quotePrefix="1" applyNumberFormat="1" applyFont="1" applyFill="1" applyBorder="1" applyAlignment="1">
      <alignment horizontal="center"/>
    </xf>
    <xf numFmtId="168" fontId="0" fillId="0" borderId="0" xfId="0" applyNumberFormat="1"/>
    <xf numFmtId="164" fontId="68" fillId="0" borderId="0" xfId="1" applyNumberFormat="1" applyFont="1" applyFill="1"/>
    <xf numFmtId="14" fontId="68" fillId="0" borderId="0" xfId="0" applyNumberFormat="1" applyFont="1" applyAlignment="1">
      <alignment horizontal="left"/>
    </xf>
    <xf numFmtId="3" fontId="68" fillId="0" borderId="0" xfId="1" applyNumberFormat="1" applyFont="1" applyFill="1" applyAlignment="1">
      <alignment horizontal="right" indent="1"/>
    </xf>
    <xf numFmtId="3" fontId="68" fillId="0" borderId="0" xfId="1" applyNumberFormat="1" applyFont="1" applyFill="1" applyAlignment="1">
      <alignment horizontal="center"/>
    </xf>
    <xf numFmtId="168" fontId="68" fillId="0" borderId="0" xfId="1" applyNumberFormat="1" applyFont="1" applyFill="1" applyBorder="1" applyAlignment="1">
      <alignment horizontal="right" indent="2"/>
    </xf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8" fillId="0" borderId="1" xfId="1" applyNumberFormat="1" applyFont="1" applyFill="1" applyBorder="1" applyAlignment="1">
      <alignment horizontal="right"/>
    </xf>
    <xf numFmtId="16" fontId="68" fillId="0" borderId="0" xfId="0" applyNumberFormat="1" applyFont="1"/>
    <xf numFmtId="0" fontId="69" fillId="0" borderId="0" xfId="0" applyFont="1" applyAlignment="1">
      <alignment horizontal="center"/>
    </xf>
    <xf numFmtId="2" fontId="68" fillId="0" borderId="0" xfId="0" applyNumberFormat="1" applyFont="1" applyAlignment="1">
      <alignment horizontal="right" indent="2"/>
    </xf>
    <xf numFmtId="43" fontId="68" fillId="0" borderId="0" xfId="1" applyFont="1" applyFill="1" applyBorder="1" applyAlignment="1">
      <alignment horizontal="center"/>
    </xf>
    <xf numFmtId="0" fontId="74" fillId="0" borderId="0" xfId="0" quotePrefix="1" applyFont="1"/>
    <xf numFmtId="0" fontId="68" fillId="0" borderId="0" xfId="0" applyFont="1" applyAlignment="1">
      <alignment horizontal="left"/>
    </xf>
    <xf numFmtId="0" fontId="68" fillId="0" borderId="0" xfId="0" applyFont="1" applyAlignment="1">
      <alignment horizontal="left" indent="1"/>
    </xf>
    <xf numFmtId="0" fontId="68" fillId="0" borderId="3" xfId="0" applyFont="1" applyBorder="1" applyAlignment="1">
      <alignment horizontal="center"/>
    </xf>
    <xf numFmtId="0" fontId="68" fillId="0" borderId="1" xfId="0" applyFont="1" applyBorder="1" applyAlignment="1">
      <alignment horizontal="left"/>
    </xf>
    <xf numFmtId="0" fontId="69" fillId="0" borderId="3" xfId="0" quotePrefix="1" applyFont="1" applyBorder="1"/>
    <xf numFmtId="0" fontId="69" fillId="0" borderId="3" xfId="0" applyFont="1" applyBorder="1"/>
    <xf numFmtId="2" fontId="68" fillId="0" borderId="0" xfId="0" applyNumberFormat="1" applyFont="1" applyAlignment="1">
      <alignment horizontal="center"/>
    </xf>
    <xf numFmtId="43" fontId="68" fillId="0" borderId="0" xfId="0" applyNumberFormat="1" applyFont="1"/>
    <xf numFmtId="0" fontId="63" fillId="0" borderId="0" xfId="0" applyFont="1"/>
    <xf numFmtId="2" fontId="0" fillId="0" borderId="0" xfId="0" applyNumberFormat="1"/>
    <xf numFmtId="165" fontId="68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72" fillId="0" borderId="0" xfId="0" applyFont="1" applyAlignment="1">
      <alignment vertical="center"/>
    </xf>
    <xf numFmtId="2" fontId="68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8" fillId="0" borderId="3" xfId="0" applyFont="1" applyBorder="1"/>
    <xf numFmtId="165" fontId="68" fillId="0" borderId="0" xfId="1" applyNumberFormat="1" applyFont="1" applyFill="1"/>
    <xf numFmtId="37" fontId="68" fillId="0" borderId="0" xfId="1" applyNumberFormat="1" applyFont="1" applyFill="1" applyBorder="1" applyAlignment="1">
      <alignment horizontal="center"/>
    </xf>
    <xf numFmtId="165" fontId="68" fillId="0" borderId="0" xfId="1" applyNumberFormat="1" applyFont="1" applyFill="1" applyBorder="1"/>
    <xf numFmtId="9" fontId="68" fillId="0" borderId="0" xfId="12" applyFont="1" applyFill="1"/>
    <xf numFmtId="0" fontId="69" fillId="0" borderId="4" xfId="0" applyFont="1" applyBorder="1" applyAlignment="1">
      <alignment horizontal="center"/>
    </xf>
    <xf numFmtId="14" fontId="68" fillId="0" borderId="0" xfId="0" applyNumberFormat="1" applyFont="1" applyAlignment="1">
      <alignment horizontal="right" indent="1"/>
    </xf>
    <xf numFmtId="0" fontId="68" fillId="0" borderId="0" xfId="0" applyFont="1" applyAlignment="1">
      <alignment vertical="center"/>
    </xf>
    <xf numFmtId="0" fontId="68" fillId="0" borderId="0" xfId="0" applyFont="1" applyAlignment="1">
      <alignment vertical="center" wrapText="1"/>
    </xf>
    <xf numFmtId="168" fontId="68" fillId="0" borderId="0" xfId="1" applyNumberFormat="1" applyFont="1" applyFill="1" applyAlignment="1">
      <alignment horizontal="center"/>
    </xf>
    <xf numFmtId="0" fontId="70" fillId="0" borderId="3" xfId="0" applyFont="1" applyBorder="1"/>
    <xf numFmtId="164" fontId="68" fillId="0" borderId="3" xfId="0" applyNumberFormat="1" applyFont="1" applyBorder="1"/>
    <xf numFmtId="169" fontId="0" fillId="0" borderId="0" xfId="1" applyNumberFormat="1" applyFont="1" applyFill="1" applyBorder="1"/>
    <xf numFmtId="0" fontId="59" fillId="0" borderId="0" xfId="8" applyFont="1"/>
    <xf numFmtId="0" fontId="59" fillId="0" borderId="0" xfId="0" applyFont="1"/>
    <xf numFmtId="4" fontId="77" fillId="0" borderId="0" xfId="0" applyNumberFormat="1" applyFont="1"/>
    <xf numFmtId="170" fontId="63" fillId="0" borderId="0" xfId="12" applyNumberFormat="1" applyFont="1" applyFill="1"/>
    <xf numFmtId="4" fontId="0" fillId="0" borderId="0" xfId="0" applyNumberFormat="1"/>
    <xf numFmtId="171" fontId="77" fillId="0" borderId="0" xfId="0" applyNumberFormat="1" applyFont="1"/>
    <xf numFmtId="2" fontId="76" fillId="0" borderId="0" xfId="0" applyNumberFormat="1" applyFont="1" applyAlignment="1">
      <alignment horizontal="center"/>
    </xf>
    <xf numFmtId="37" fontId="68" fillId="0" borderId="0" xfId="0" applyNumberFormat="1" applyFont="1" applyAlignment="1">
      <alignment vertical="center" wrapText="1"/>
    </xf>
    <xf numFmtId="170" fontId="0" fillId="0" borderId="0" xfId="12" applyNumberFormat="1" applyFont="1"/>
    <xf numFmtId="2" fontId="76" fillId="0" borderId="0" xfId="0" applyNumberFormat="1" applyFont="1" applyAlignment="1">
      <alignment horizontal="right" indent="2"/>
    </xf>
    <xf numFmtId="9" fontId="0" fillId="0" borderId="0" xfId="12" applyFont="1"/>
    <xf numFmtId="3" fontId="76" fillId="0" borderId="0" xfId="1" applyNumberFormat="1" applyFont="1" applyFill="1" applyBorder="1" applyAlignment="1">
      <alignment horizontal="right"/>
    </xf>
    <xf numFmtId="3" fontId="59" fillId="0" borderId="0" xfId="0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168" fontId="68" fillId="0" borderId="0" xfId="1" applyNumberFormat="1" applyFont="1" applyAlignment="1">
      <alignment horizontal="right" indent="1"/>
    </xf>
    <xf numFmtId="166" fontId="68" fillId="0" borderId="0" xfId="0" applyNumberFormat="1" applyFont="1"/>
    <xf numFmtId="168" fontId="76" fillId="0" borderId="0" xfId="1" applyNumberFormat="1" applyFont="1" applyFill="1" applyBorder="1" applyAlignment="1">
      <alignment horizontal="right" indent="1"/>
    </xf>
    <xf numFmtId="0" fontId="78" fillId="0" borderId="0" xfId="0" applyFont="1"/>
    <xf numFmtId="168" fontId="68" fillId="0" borderId="0" xfId="1" applyNumberFormat="1" applyFont="1" applyFill="1" applyAlignment="1">
      <alignment horizontal="right" indent="1"/>
    </xf>
    <xf numFmtId="164" fontId="76" fillId="0" borderId="0" xfId="1" applyNumberFormat="1" applyFont="1"/>
    <xf numFmtId="168" fontId="68" fillId="2" borderId="0" xfId="1" applyNumberFormat="1" applyFont="1" applyFill="1" applyBorder="1" applyAlignment="1">
      <alignment horizontal="right" indent="2"/>
    </xf>
    <xf numFmtId="168" fontId="68" fillId="2" borderId="0" xfId="1" applyNumberFormat="1" applyFont="1" applyFill="1" applyBorder="1" applyAlignment="1">
      <alignment horizontal="right" indent="1"/>
    </xf>
    <xf numFmtId="168" fontId="79" fillId="0" borderId="0" xfId="1" applyNumberFormat="1" applyFont="1" applyFill="1" applyBorder="1" applyAlignment="1">
      <alignment horizontal="right"/>
    </xf>
    <xf numFmtId="168" fontId="76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8" fillId="0" borderId="3" xfId="0" applyNumberFormat="1" applyFont="1" applyBorder="1"/>
    <xf numFmtId="0" fontId="0" fillId="0" borderId="3" xfId="0" applyBorder="1"/>
    <xf numFmtId="167" fontId="68" fillId="0" borderId="3" xfId="0" applyNumberFormat="1" applyFont="1" applyBorder="1"/>
    <xf numFmtId="0" fontId="69" fillId="0" borderId="3" xfId="0" quotePrefix="1" applyFont="1" applyBorder="1" applyAlignment="1">
      <alignment horizontal="center"/>
    </xf>
    <xf numFmtId="175" fontId="0" fillId="0" borderId="0" xfId="0" applyNumberFormat="1"/>
    <xf numFmtId="176" fontId="0" fillId="0" borderId="0" xfId="0" applyNumberFormat="1"/>
    <xf numFmtId="3" fontId="68" fillId="0" borderId="0" xfId="1" applyNumberFormat="1" applyFont="1" applyFill="1" applyBorder="1" applyAlignment="1">
      <alignment horizontal="right" indent="1"/>
    </xf>
    <xf numFmtId="3" fontId="77" fillId="0" borderId="0" xfId="0" applyNumberFormat="1" applyFont="1"/>
    <xf numFmtId="171" fontId="0" fillId="0" borderId="0" xfId="0" applyNumberFormat="1"/>
    <xf numFmtId="37" fontId="68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8" fillId="2" borderId="0" xfId="0" applyNumberFormat="1" applyFont="1" applyFill="1" applyAlignment="1">
      <alignment horizontal="right" indent="2"/>
    </xf>
    <xf numFmtId="0" fontId="68" fillId="2" borderId="0" xfId="0" applyFont="1" applyFill="1"/>
    <xf numFmtId="164" fontId="76" fillId="0" borderId="0" xfId="1" applyNumberFormat="1" applyFont="1" applyFill="1"/>
    <xf numFmtId="166" fontId="125" fillId="0" borderId="0" xfId="0" applyNumberFormat="1" applyFont="1"/>
    <xf numFmtId="2" fontId="78" fillId="0" borderId="0" xfId="0" applyNumberFormat="1" applyFont="1"/>
    <xf numFmtId="3" fontId="0" fillId="0" borderId="0" xfId="0" applyNumberFormat="1"/>
    <xf numFmtId="0" fontId="0" fillId="2" borderId="0" xfId="0" applyFill="1"/>
    <xf numFmtId="0" fontId="59" fillId="2" borderId="0" xfId="0" applyFont="1" applyFill="1"/>
    <xf numFmtId="164" fontId="68" fillId="2" borderId="0" xfId="1" applyNumberFormat="1" applyFont="1" applyFill="1" applyBorder="1" applyAlignment="1">
      <alignment horizontal="center"/>
    </xf>
    <xf numFmtId="168" fontId="68" fillId="2" borderId="0" xfId="1" applyNumberFormat="1" applyFont="1" applyFill="1" applyBorder="1" applyAlignment="1">
      <alignment horizontal="right"/>
    </xf>
    <xf numFmtId="168" fontId="68" fillId="2" borderId="0" xfId="1" quotePrefix="1" applyNumberFormat="1" applyFont="1" applyFill="1" applyBorder="1" applyAlignment="1">
      <alignment horizontal="right"/>
    </xf>
    <xf numFmtId="172" fontId="0" fillId="2" borderId="0" xfId="0" applyNumberFormat="1" applyFill="1"/>
    <xf numFmtId="164" fontId="76" fillId="0" borderId="0" xfId="1" applyNumberFormat="1" applyFont="1" applyFill="1" applyAlignment="1">
      <alignment horizontal="right"/>
    </xf>
    <xf numFmtId="2" fontId="126" fillId="0" borderId="0" xfId="12" applyNumberFormat="1" applyFont="1" applyFill="1" applyBorder="1" applyAlignment="1">
      <alignment horizontal="center"/>
    </xf>
    <xf numFmtId="0" fontId="126" fillId="0" borderId="0" xfId="0" applyFont="1"/>
    <xf numFmtId="10" fontId="0" fillId="0" borderId="0" xfId="12" applyNumberFormat="1" applyFont="1"/>
    <xf numFmtId="177" fontId="127" fillId="0" borderId="0" xfId="0" applyNumberFormat="1" applyFont="1"/>
    <xf numFmtId="177" fontId="127" fillId="0" borderId="0" xfId="0" applyNumberFormat="1" applyFont="1" applyAlignment="1">
      <alignment horizontal="right" indent="1"/>
    </xf>
    <xf numFmtId="177" fontId="0" fillId="0" borderId="0" xfId="0" applyNumberFormat="1"/>
    <xf numFmtId="165" fontId="0" fillId="0" borderId="0" xfId="1" applyNumberFormat="1" applyFont="1" applyFill="1" applyAlignment="1">
      <alignment horizontal="left" indent="1"/>
    </xf>
    <xf numFmtId="178" fontId="0" fillId="0" borderId="0" xfId="0" applyNumberFormat="1"/>
    <xf numFmtId="168" fontId="68" fillId="2" borderId="0" xfId="1" applyNumberFormat="1" applyFont="1" applyFill="1" applyAlignment="1">
      <alignment horizontal="right" indent="1"/>
    </xf>
    <xf numFmtId="165" fontId="68" fillId="2" borderId="0" xfId="1" applyNumberFormat="1" applyFont="1" applyFill="1" applyBorder="1" applyAlignment="1">
      <alignment horizontal="center"/>
    </xf>
    <xf numFmtId="168" fontId="76" fillId="2" borderId="0" xfId="1" applyNumberFormat="1" applyFont="1" applyFill="1" applyBorder="1" applyAlignment="1">
      <alignment horizontal="right"/>
    </xf>
    <xf numFmtId="168" fontId="0" fillId="2" borderId="0" xfId="0" applyNumberFormat="1" applyFill="1"/>
    <xf numFmtId="170" fontId="0" fillId="2" borderId="0" xfId="12" applyNumberFormat="1" applyFont="1" applyFill="1"/>
    <xf numFmtId="175" fontId="0" fillId="2" borderId="0" xfId="0" applyNumberFormat="1" applyFill="1"/>
    <xf numFmtId="4" fontId="77" fillId="2" borderId="0" xfId="0" applyNumberFormat="1" applyFont="1" applyFill="1"/>
    <xf numFmtId="164" fontId="76" fillId="2" borderId="0" xfId="1" applyNumberFormat="1" applyFont="1" applyFill="1" applyAlignment="1">
      <alignment horizontal="right"/>
    </xf>
    <xf numFmtId="168" fontId="68" fillId="2" borderId="0" xfId="1" applyNumberFormat="1" applyFont="1" applyFill="1" applyBorder="1" applyAlignment="1">
      <alignment horizontal="center"/>
    </xf>
    <xf numFmtId="168" fontId="68" fillId="2" borderId="0" xfId="1" applyNumberFormat="1" applyFont="1" applyFill="1" applyAlignment="1">
      <alignment horizontal="center"/>
    </xf>
    <xf numFmtId="2" fontId="0" fillId="2" borderId="0" xfId="0" applyNumberFormat="1" applyFill="1"/>
    <xf numFmtId="165" fontId="125" fillId="0" borderId="0" xfId="660" applyNumberFormat="1" applyFont="1"/>
    <xf numFmtId="165" fontId="68" fillId="0" borderId="3" xfId="1" applyNumberFormat="1" applyFont="1" applyFill="1" applyBorder="1"/>
    <xf numFmtId="170" fontId="0" fillId="0" borderId="0" xfId="12" applyNumberFormat="1" applyFont="1" applyFill="1"/>
    <xf numFmtId="37" fontId="68" fillId="0" borderId="0" xfId="1" applyNumberFormat="1" applyFont="1" applyFill="1" applyBorder="1" applyAlignment="1">
      <alignment horizontal="right" indent="2"/>
    </xf>
    <xf numFmtId="37" fontId="68" fillId="0" borderId="0" xfId="1" applyNumberFormat="1" applyFont="1" applyFill="1" applyBorder="1" applyAlignment="1">
      <alignment horizontal="right" indent="1"/>
    </xf>
    <xf numFmtId="1" fontId="68" fillId="0" borderId="0" xfId="0" applyNumberFormat="1" applyFont="1" applyAlignment="1">
      <alignment horizontal="center"/>
    </xf>
    <xf numFmtId="170" fontId="68" fillId="0" borderId="0" xfId="12" applyNumberFormat="1" applyFont="1"/>
    <xf numFmtId="0" fontId="74" fillId="0" borderId="1" xfId="20" applyFont="1" applyBorder="1"/>
    <xf numFmtId="0" fontId="68" fillId="0" borderId="0" xfId="20" applyFont="1"/>
    <xf numFmtId="0" fontId="66" fillId="0" borderId="1" xfId="0" applyFont="1" applyBorder="1"/>
    <xf numFmtId="171" fontId="74" fillId="2" borderId="0" xfId="1" applyNumberFormat="1" applyFont="1" applyFill="1" applyBorder="1" applyAlignment="1">
      <alignment horizontal="right" indent="1"/>
    </xf>
    <xf numFmtId="168" fontId="76" fillId="2" borderId="0" xfId="1" applyNumberFormat="1" applyFont="1" applyFill="1" applyAlignment="1">
      <alignment horizontal="right" indent="1"/>
    </xf>
    <xf numFmtId="166" fontId="68" fillId="2" borderId="0" xfId="0" applyNumberFormat="1" applyFont="1" applyFill="1" applyAlignment="1">
      <alignment horizontal="center"/>
    </xf>
    <xf numFmtId="165" fontId="68" fillId="2" borderId="0" xfId="1" applyNumberFormat="1" applyFont="1" applyFill="1" applyAlignment="1">
      <alignment horizontal="left"/>
    </xf>
    <xf numFmtId="165" fontId="68" fillId="2" borderId="0" xfId="1" applyNumberFormat="1" applyFont="1" applyFill="1" applyAlignment="1">
      <alignment horizontal="center"/>
    </xf>
    <xf numFmtId="3" fontId="68" fillId="2" borderId="0" xfId="1" applyNumberFormat="1" applyFont="1" applyFill="1" applyBorder="1" applyAlignment="1">
      <alignment horizontal="right" indent="1"/>
    </xf>
    <xf numFmtId="168" fontId="68" fillId="0" borderId="0" xfId="1" applyNumberFormat="1" applyFont="1" applyAlignment="1">
      <alignment horizontal="right"/>
    </xf>
    <xf numFmtId="168" fontId="68" fillId="0" borderId="0" xfId="1" applyNumberFormat="1" applyFont="1" applyFill="1" applyAlignment="1">
      <alignment horizontal="right"/>
    </xf>
    <xf numFmtId="3" fontId="68" fillId="0" borderId="0" xfId="1" applyNumberFormat="1" applyFont="1" applyFill="1" applyAlignment="1">
      <alignment horizontal="right" indent="2"/>
    </xf>
    <xf numFmtId="3" fontId="76" fillId="0" borderId="0" xfId="1" applyNumberFormat="1" applyFont="1" applyFill="1" applyAlignment="1">
      <alignment horizontal="right" indent="1"/>
    </xf>
    <xf numFmtId="3" fontId="68" fillId="0" borderId="0" xfId="1" applyNumberFormat="1" applyFont="1" applyFill="1" applyAlignment="1">
      <alignment horizontal="right"/>
    </xf>
    <xf numFmtId="0" fontId="68" fillId="0" borderId="2" xfId="0" applyFont="1" applyBorder="1" applyAlignment="1">
      <alignment horizontal="center"/>
    </xf>
    <xf numFmtId="0" fontId="69" fillId="0" borderId="3" xfId="0" applyFont="1" applyBorder="1" applyAlignment="1">
      <alignment horizontal="center"/>
    </xf>
    <xf numFmtId="0" fontId="133" fillId="0" borderId="0" xfId="0" applyFont="1"/>
    <xf numFmtId="0" fontId="133" fillId="0" borderId="3" xfId="0" applyFont="1" applyBorder="1"/>
    <xf numFmtId="0" fontId="134" fillId="0" borderId="3" xfId="0" applyFont="1" applyBorder="1"/>
    <xf numFmtId="0" fontId="136" fillId="0" borderId="1" xfId="716" applyFont="1" applyBorder="1" applyAlignment="1">
      <alignment horizontal="left" wrapText="1"/>
    </xf>
    <xf numFmtId="0" fontId="59" fillId="0" borderId="0" xfId="20"/>
    <xf numFmtId="0" fontId="135" fillId="0" borderId="0" xfId="716" applyFont="1" applyAlignment="1">
      <alignment horizontal="left" wrapText="1"/>
    </xf>
    <xf numFmtId="2" fontId="59" fillId="0" borderId="0" xfId="20" applyNumberFormat="1"/>
    <xf numFmtId="17" fontId="59" fillId="0" borderId="0" xfId="20" applyNumberFormat="1" applyAlignment="1">
      <alignment horizontal="left"/>
    </xf>
    <xf numFmtId="2" fontId="135" fillId="0" borderId="0" xfId="33" applyNumberFormat="1" applyFont="1" applyFill="1" applyAlignment="1">
      <alignment horizontal="right" vertical="center"/>
    </xf>
    <xf numFmtId="1" fontId="135" fillId="0" borderId="0" xfId="33" applyNumberFormat="1" applyFont="1" applyFill="1" applyAlignment="1">
      <alignment horizontal="right" vertical="center"/>
    </xf>
    <xf numFmtId="41" fontId="59" fillId="0" borderId="0" xfId="20" applyNumberFormat="1" applyAlignment="1">
      <alignment horizontal="left"/>
    </xf>
    <xf numFmtId="179" fontId="59" fillId="0" borderId="0" xfId="20" applyNumberFormat="1" applyAlignment="1">
      <alignment horizontal="left"/>
    </xf>
    <xf numFmtId="1" fontId="59" fillId="0" borderId="0" xfId="20" applyNumberFormat="1" applyAlignment="1">
      <alignment horizontal="center"/>
    </xf>
    <xf numFmtId="0" fontId="136" fillId="0" borderId="1" xfId="716" applyFont="1" applyBorder="1" applyAlignment="1">
      <alignment horizontal="center" wrapText="1"/>
    </xf>
    <xf numFmtId="165" fontId="0" fillId="0" borderId="0" xfId="1" applyNumberFormat="1" applyFont="1"/>
    <xf numFmtId="17" fontId="68" fillId="0" borderId="0" xfId="20" applyNumberFormat="1" applyFont="1" applyAlignment="1">
      <alignment horizontal="left"/>
    </xf>
    <xf numFmtId="41" fontId="76" fillId="0" borderId="0" xfId="20" applyNumberFormat="1" applyFont="1"/>
    <xf numFmtId="0" fontId="68" fillId="0" borderId="0" xfId="20" applyFont="1" applyAlignment="1">
      <alignment vertical="center"/>
    </xf>
    <xf numFmtId="165" fontId="76" fillId="0" borderId="0" xfId="1" applyNumberFormat="1" applyFont="1" applyFill="1"/>
    <xf numFmtId="3" fontId="76" fillId="0" borderId="0" xfId="20" applyNumberFormat="1" applyFont="1"/>
    <xf numFmtId="165" fontId="68" fillId="0" borderId="0" xfId="1" applyNumberFormat="1" applyFont="1"/>
    <xf numFmtId="0" fontId="74" fillId="0" borderId="0" xfId="20" applyFont="1"/>
    <xf numFmtId="0" fontId="74" fillId="0" borderId="1" xfId="20" applyFont="1" applyBorder="1" applyAlignment="1">
      <alignment wrapText="1"/>
    </xf>
    <xf numFmtId="3" fontId="68" fillId="0" borderId="0" xfId="20" applyNumberFormat="1" applyFont="1"/>
    <xf numFmtId="0" fontId="78" fillId="0" borderId="0" xfId="20" applyFont="1" applyAlignment="1">
      <alignment horizontal="center"/>
    </xf>
    <xf numFmtId="2" fontId="78" fillId="0" borderId="0" xfId="20" applyNumberFormat="1" applyFont="1"/>
    <xf numFmtId="170" fontId="78" fillId="0" borderId="0" xfId="293" applyNumberFormat="1" applyFont="1"/>
    <xf numFmtId="166" fontId="68" fillId="0" borderId="0" xfId="0" applyNumberFormat="1" applyFont="1" applyAlignment="1">
      <alignment horizontal="center"/>
    </xf>
    <xf numFmtId="165" fontId="68" fillId="0" borderId="0" xfId="1" applyNumberFormat="1" applyFont="1" applyFill="1" applyAlignment="1">
      <alignment horizontal="left"/>
    </xf>
    <xf numFmtId="165" fontId="68" fillId="0" borderId="0" xfId="1" applyNumberFormat="1" applyFont="1" applyFill="1" applyAlignment="1">
      <alignment horizontal="center"/>
    </xf>
    <xf numFmtId="165" fontId="76" fillId="0" borderId="0" xfId="1" applyNumberFormat="1" applyFont="1" applyFill="1" applyAlignment="1">
      <alignment horizontal="center"/>
    </xf>
    <xf numFmtId="165" fontId="0" fillId="0" borderId="0" xfId="0" applyNumberFormat="1"/>
    <xf numFmtId="37" fontId="68" fillId="0" borderId="1" xfId="1" applyNumberFormat="1" applyFont="1" applyFill="1" applyBorder="1" applyAlignment="1">
      <alignment horizontal="center"/>
    </xf>
    <xf numFmtId="37" fontId="68" fillId="0" borderId="1" xfId="1" applyNumberFormat="1" applyFont="1" applyFill="1" applyBorder="1" applyAlignment="1">
      <alignment horizontal="right" indent="2"/>
    </xf>
    <xf numFmtId="165" fontId="68" fillId="0" borderId="1" xfId="1" applyNumberFormat="1" applyFont="1" applyFill="1" applyBorder="1"/>
    <xf numFmtId="37" fontId="68" fillId="0" borderId="1" xfId="1" applyNumberFormat="1" applyFont="1" applyFill="1" applyBorder="1" applyAlignment="1">
      <alignment horizontal="right" indent="1"/>
    </xf>
    <xf numFmtId="1" fontId="68" fillId="0" borderId="1" xfId="0" applyNumberFormat="1" applyFont="1" applyBorder="1" applyAlignment="1">
      <alignment horizontal="center"/>
    </xf>
    <xf numFmtId="2" fontId="132" fillId="0" borderId="0" xfId="0" applyNumberFormat="1" applyFont="1"/>
    <xf numFmtId="0" fontId="137" fillId="0" borderId="0" xfId="0" applyFont="1"/>
    <xf numFmtId="0" fontId="78" fillId="2" borderId="0" xfId="0" applyFont="1" applyFill="1"/>
    <xf numFmtId="4" fontId="138" fillId="0" borderId="0" xfId="0" applyNumberFormat="1" applyFont="1"/>
    <xf numFmtId="4" fontId="138" fillId="2" borderId="0" xfId="0" applyNumberFormat="1" applyFont="1" applyFill="1"/>
    <xf numFmtId="168" fontId="76" fillId="0" borderId="0" xfId="0" applyNumberFormat="1" applyFont="1" applyAlignment="1">
      <alignment horizontal="right" indent="1"/>
    </xf>
    <xf numFmtId="165" fontId="0" fillId="0" borderId="0" xfId="1" applyNumberFormat="1" applyFont="1" applyFill="1"/>
    <xf numFmtId="0" fontId="68" fillId="0" borderId="2" xfId="0" applyFont="1" applyBorder="1" applyAlignment="1">
      <alignment horizontal="center"/>
    </xf>
    <xf numFmtId="0" fontId="69" fillId="0" borderId="3" xfId="0" applyFont="1" applyBorder="1" applyAlignment="1">
      <alignment horizontal="center"/>
    </xf>
    <xf numFmtId="0" fontId="69" fillId="0" borderId="2" xfId="0" quotePrefix="1" applyFont="1" applyBorder="1" applyAlignment="1">
      <alignment horizontal="center"/>
    </xf>
    <xf numFmtId="0" fontId="69" fillId="0" borderId="5" xfId="0" quotePrefix="1" applyFont="1" applyBorder="1" applyAlignment="1">
      <alignment horizontal="center"/>
    </xf>
    <xf numFmtId="0" fontId="69" fillId="0" borderId="6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69" fillId="0" borderId="5" xfId="0" applyFont="1" applyBorder="1" applyAlignment="1">
      <alignment horizontal="center"/>
    </xf>
  </cellXfs>
  <cellStyles count="717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2 3" xfId="637" xr:uid="{C21D02DE-40EB-4517-9E7C-13F5A0A26101}"/>
    <cellStyle name="20% - Accent1 2 2 3" xfId="427" xr:uid="{98B64A09-388E-498E-8547-ED6E911E9008}"/>
    <cellStyle name="20% - Accent1 2 2 4" xfId="571" xr:uid="{9B764D4E-5675-4900-B304-A9744638F13F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2 3" xfId="671" xr:uid="{63225E10-D98E-4756-8C97-6B3106E00E48}"/>
    <cellStyle name="20% - Accent1 2 3 3" xfId="461" xr:uid="{36FDAAF6-488B-4CFF-9EF7-D4D588B79B49}"/>
    <cellStyle name="20% - Accent1 2 3 4" xfId="606" xr:uid="{9EF3CD34-28C8-46AC-AB00-48B4A3053479}"/>
    <cellStyle name="20% - Accent1 2 4" xfId="311" xr:uid="{83F36799-25DE-43C1-8B40-C38E43B06862}"/>
    <cellStyle name="20% - Accent1 2 4 2" xfId="482" xr:uid="{F7F20C40-F23D-4222-96D9-093D64E9179D}"/>
    <cellStyle name="20% - Accent1 2 4 3" xfId="629" xr:uid="{D08B27A1-AE7C-449B-9530-7BD7C6FC55B7}"/>
    <cellStyle name="20% - Accent1 2 5" xfId="420" xr:uid="{086CCB9A-F10F-4BD0-AECC-CECF83F47246}"/>
    <cellStyle name="20% - Accent1 2 6" xfId="564" xr:uid="{128C6417-FD98-41E5-847B-4D849B6B23E7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2 3" xfId="638" xr:uid="{9991DE64-FCF4-431F-AA0B-41942B7E7567}"/>
    <cellStyle name="20% - Accent1 3 3" xfId="428" xr:uid="{36BE12E4-AA0F-4205-82D6-9FB17C14369E}"/>
    <cellStyle name="20% - Accent1 3 4" xfId="572" xr:uid="{1C8A825D-4493-4C8B-8333-84E166673487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5 3" xfId="616" xr:uid="{3C4EB2EC-83C5-46FB-BAD9-7231CFD52394}"/>
    <cellStyle name="20% - Accent1 6" xfId="401" xr:uid="{9AE55E89-F9DF-4833-9F62-326D28BA61AC}"/>
    <cellStyle name="20% - Accent1 7" xfId="545" xr:uid="{AE10814B-B454-48B6-8240-11FC70B65162}"/>
    <cellStyle name="20% - Accent1 8" xfId="691" xr:uid="{E5349E11-D578-4C28-A1D9-9A2FB2BDABDA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2 3" xfId="639" xr:uid="{1E12E7E8-CCDB-4D9E-9225-C7950BCADD5F}"/>
    <cellStyle name="20% - Accent2 2 2 3" xfId="429" xr:uid="{566529F4-1A18-4101-B0F0-37DDEB028598}"/>
    <cellStyle name="20% - Accent2 2 2 4" xfId="573" xr:uid="{2EEF3FB9-9A29-40BA-8F22-60BB80D54E67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2 3" xfId="672" xr:uid="{2AAD6B5F-5B97-4E65-B9BB-3B96BE19B1CA}"/>
    <cellStyle name="20% - Accent2 2 3 3" xfId="462" xr:uid="{9C712771-9205-463F-8A2A-699C5A2B56F6}"/>
    <cellStyle name="20% - Accent2 2 3 4" xfId="607" xr:uid="{940C9792-98F1-4AAB-84B4-F4996D8EE71A}"/>
    <cellStyle name="20% - Accent2 2 4" xfId="312" xr:uid="{A2CC103D-9803-49B7-AFE1-C11F6B1DCEA6}"/>
    <cellStyle name="20% - Accent2 2 4 2" xfId="483" xr:uid="{AF9F4BBE-D758-41BA-9BB3-BD9F7D4CB478}"/>
    <cellStyle name="20% - Accent2 2 4 3" xfId="630" xr:uid="{33CA1F40-D11A-41D6-A22E-A028486D4544}"/>
    <cellStyle name="20% - Accent2 2 5" xfId="422" xr:uid="{848DBB74-DB0A-4D71-9107-A5404B5A64B1}"/>
    <cellStyle name="20% - Accent2 2 6" xfId="566" xr:uid="{0D389ABA-A6AC-4DC0-BB52-168F224B7EAD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2 3" xfId="640" xr:uid="{74C3115D-F217-4A13-8868-AE9EDBA3EA2A}"/>
    <cellStyle name="20% - Accent2 3 3" xfId="430" xr:uid="{0D7049A8-EE28-4F58-84DB-63A1443CAB48}"/>
    <cellStyle name="20% - Accent2 3 4" xfId="574" xr:uid="{1DEFF925-00D0-42D6-A16B-FEC8EA0746AC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5 3" xfId="618" xr:uid="{7F2755DF-63BD-4449-AAC2-623432F23A0E}"/>
    <cellStyle name="20% - Accent2 6" xfId="404" xr:uid="{3D0D8644-B29F-4FCE-929C-B25E3956A311}"/>
    <cellStyle name="20% - Accent2 7" xfId="548" xr:uid="{A353CB3D-FCF2-4E0A-AFB0-84E4F9F95F86}"/>
    <cellStyle name="20% - Accent2 8" xfId="693" xr:uid="{85872B68-12BB-4618-974E-48D51EE6A214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2 3" xfId="641" xr:uid="{33D3EDF6-8660-4720-81D5-E8A7D9847EA1}"/>
    <cellStyle name="20% - Accent3 2 2 3" xfId="431" xr:uid="{255DC329-D995-4A83-8073-1CF63816F071}"/>
    <cellStyle name="20% - Accent3 2 2 4" xfId="575" xr:uid="{7B575D5A-2EBD-40CE-ADE8-7D7C11C90BAE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2 3" xfId="673" xr:uid="{D4898AF4-ED34-41B0-AE0A-660E5690DB67}"/>
    <cellStyle name="20% - Accent3 2 3 3" xfId="463" xr:uid="{7F2ACC1A-47E5-4F38-BD04-F43018463B0E}"/>
    <cellStyle name="20% - Accent3 2 3 4" xfId="608" xr:uid="{0047ACF1-4E69-4225-BBBB-F96E013096A1}"/>
    <cellStyle name="20% - Accent3 2 4" xfId="313" xr:uid="{A392E008-3993-4913-9A74-2289F3F558F7}"/>
    <cellStyle name="20% - Accent3 2 4 2" xfId="484" xr:uid="{0F207972-337D-49E2-B0F0-7D42B6694A27}"/>
    <cellStyle name="20% - Accent3 2 4 3" xfId="631" xr:uid="{2A000E8A-F39A-44BF-9496-A698FADA5FBB}"/>
    <cellStyle name="20% - Accent3 2 5" xfId="421" xr:uid="{5D3063C4-DBB5-4EC4-882C-73CF8DBE8321}"/>
    <cellStyle name="20% - Accent3 2 6" xfId="565" xr:uid="{819D10ED-85A0-4A64-B2C7-E660D39C0DA7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2 3" xfId="642" xr:uid="{195A7582-E8AA-4A23-8CA2-1DDFE4BE68A9}"/>
    <cellStyle name="20% - Accent3 3 3" xfId="432" xr:uid="{841DAC20-742F-4203-A047-B4AF5C721A19}"/>
    <cellStyle name="20% - Accent3 3 4" xfId="576" xr:uid="{3CF09ECE-7E26-471E-BF59-C881C61DD6AC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5 3" xfId="620" xr:uid="{1A52373C-AD75-4723-9D28-11C430881987}"/>
    <cellStyle name="20% - Accent3 6" xfId="407" xr:uid="{20C864A9-6ED5-41D6-AFE6-DD1317EFD3AD}"/>
    <cellStyle name="20% - Accent3 7" xfId="551" xr:uid="{29086AB7-7D33-4793-8985-EFEDCAE37C28}"/>
    <cellStyle name="20% - Accent3 8" xfId="695" xr:uid="{B7C8059F-6240-4731-B6E0-6BD50A556A47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2 3" xfId="643" xr:uid="{70B4FFA6-96F2-4AAB-9342-EA1F2BFF6592}"/>
    <cellStyle name="20% - Accent4 2 2 3" xfId="433" xr:uid="{663B3809-24D4-4727-B390-B3B671049AAA}"/>
    <cellStyle name="20% - Accent4 2 2 4" xfId="577" xr:uid="{7737A021-F7C9-4529-8202-E02BE14DEA80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2 3" xfId="674" xr:uid="{0B3BCF21-BA0E-461E-8C39-A9F3BA3C6F2A}"/>
    <cellStyle name="20% - Accent4 2 3 3" xfId="464" xr:uid="{82DCE161-AF0A-4B71-AF06-7F6149BB8AFE}"/>
    <cellStyle name="20% - Accent4 2 3 4" xfId="609" xr:uid="{CD74BF03-A810-4C43-A98B-402B52872029}"/>
    <cellStyle name="20% - Accent4 2 4" xfId="314" xr:uid="{413645D3-3617-43F7-8ECE-552A73C745C5}"/>
    <cellStyle name="20% - Accent4 2 4 2" xfId="485" xr:uid="{19EC5665-1856-492B-938C-93B4E17C042C}"/>
    <cellStyle name="20% - Accent4 2 4 3" xfId="632" xr:uid="{6E2CC84E-6F38-44DC-98DF-22635DD57A96}"/>
    <cellStyle name="20% - Accent4 2 5" xfId="419" xr:uid="{298E3CDE-5ABB-46E6-867C-321CF30960B7}"/>
    <cellStyle name="20% - Accent4 2 6" xfId="563" xr:uid="{7C74BE52-84FC-49F2-83DB-6547C16FE371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2 3" xfId="644" xr:uid="{2F314B26-06D4-4762-9777-B83613483B2F}"/>
    <cellStyle name="20% - Accent4 3 3" xfId="434" xr:uid="{DD8EE5B2-022E-4B7C-B135-2C09592351A9}"/>
    <cellStyle name="20% - Accent4 3 4" xfId="578" xr:uid="{A5D1D0C7-A8BB-47A2-96EA-62D39E07598D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5 3" xfId="622" xr:uid="{2E60CF7D-87C5-42C2-A05A-49A2478DD4CB}"/>
    <cellStyle name="20% - Accent4 6" xfId="410" xr:uid="{10EED916-9101-4C03-8B9C-7DD699553004}"/>
    <cellStyle name="20% - Accent4 7" xfId="554" xr:uid="{53712C2A-7B4A-458A-AB33-C01561CE9C45}"/>
    <cellStyle name="20% - Accent4 8" xfId="697" xr:uid="{458FA1B7-B590-4365-B4A6-BA7BAD24AD0B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2 3" xfId="645" xr:uid="{F81318B0-7E09-42C8-B9B9-61DEF0A1E6E8}"/>
    <cellStyle name="20% - Accent5 2 3" xfId="435" xr:uid="{26D81158-61C6-4E17-ABE6-C7E7EE14685D}"/>
    <cellStyle name="20% - Accent5 2 4" xfId="579" xr:uid="{F720CD9A-4853-4044-91FC-554EA025D6E5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2 3" xfId="665" xr:uid="{847CB475-E5C7-48E3-BB80-6F5CF898775F}"/>
    <cellStyle name="20% - Accent5 3 3" xfId="455" xr:uid="{D51CB28A-3E2F-4687-AA42-F3F9E73DDA60}"/>
    <cellStyle name="20% - Accent5 3 4" xfId="600" xr:uid="{13E8E5A8-C829-4308-A460-4762CCA031C8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5 3" xfId="624" xr:uid="{08ACB0AE-70BB-4C9D-BE67-A38EACD626AD}"/>
    <cellStyle name="20% - Accent5 6" xfId="413" xr:uid="{6D79C247-9518-45AF-B8B5-3D8A5CC7A6EA}"/>
    <cellStyle name="20% - Accent5 7" xfId="557" xr:uid="{30A640D8-37B8-4550-A4A8-995E5967D329}"/>
    <cellStyle name="20% - Accent5 8" xfId="699" xr:uid="{9AE0E4EF-C67B-4209-AF49-B31A3E150BF2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2 3" xfId="646" xr:uid="{94635A0F-2F34-4BAA-BDE5-49DD7E693C01}"/>
    <cellStyle name="20% - Accent6 2 3" xfId="436" xr:uid="{8E75EACB-7CF0-4A6C-B29E-2412055A7AA1}"/>
    <cellStyle name="20% - Accent6 2 4" xfId="580" xr:uid="{3AE7E3A8-BE9E-4C41-BB05-5FA83218EBDE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2 3" xfId="667" xr:uid="{3B1C15FB-525B-428B-9983-3C3BCDE74A8C}"/>
    <cellStyle name="20% - Accent6 3 3" xfId="457" xr:uid="{DF3B5D8D-1452-44A7-9BAD-C21E4DA6BC0E}"/>
    <cellStyle name="20% - Accent6 3 4" xfId="602" xr:uid="{FC0CB144-AD4D-41E1-8A9E-A7B7EBFDF214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5 3" xfId="626" xr:uid="{8020B7D7-E1FF-401D-867F-039F9D876303}"/>
    <cellStyle name="20% - Accent6 6" xfId="416" xr:uid="{CD78C615-BA09-4262-B0D1-6513B382AEBF}"/>
    <cellStyle name="20% - Accent6 7" xfId="560" xr:uid="{CE842339-AC53-4909-932E-830AE153522D}"/>
    <cellStyle name="20% - Accent6 8" xfId="701" xr:uid="{EFEA1DA8-E4BB-4864-A623-1368351157AB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2 3" xfId="647" xr:uid="{D7E2E94E-A2D9-44A4-B67A-17D8733614CA}"/>
    <cellStyle name="40% - Accent1 2 3" xfId="437" xr:uid="{ACA7AA49-3B24-4A63-92BF-BEADF786DA90}"/>
    <cellStyle name="40% - Accent1 2 4" xfId="581" xr:uid="{0363205D-58D4-45E4-B147-39876C03595F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2 3" xfId="662" xr:uid="{490BE144-131C-477D-92DD-C1DFACE213CC}"/>
    <cellStyle name="40% - Accent1 3 3" xfId="452" xr:uid="{C02B00A7-69E6-471A-948C-9631F7A9BABE}"/>
    <cellStyle name="40% - Accent1 3 4" xfId="597" xr:uid="{10134AE4-F2F9-4E0B-8045-6A8067AF2B34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5 3" xfId="617" xr:uid="{A5FE6B67-83F9-4B21-A391-D2979684F93D}"/>
    <cellStyle name="40% - Accent1 6" xfId="402" xr:uid="{5D5C0E05-40B6-4D0A-96A8-CD63C8EF6882}"/>
    <cellStyle name="40% - Accent1 7" xfId="546" xr:uid="{499B388C-0681-4856-99D2-2C29BF590413}"/>
    <cellStyle name="40% - Accent1 8" xfId="692" xr:uid="{2EC57928-2207-44D2-ACB2-8974A4EA6CAF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2 3" xfId="648" xr:uid="{6C2A7382-2613-4C88-A277-A2C5B4287EFD}"/>
    <cellStyle name="40% - Accent2 2 3" xfId="438" xr:uid="{B54C0DF4-ADC1-4C79-A6BC-21809FB91E04}"/>
    <cellStyle name="40% - Accent2 2 4" xfId="582" xr:uid="{DA3837A9-62D0-4A53-B25E-6BCE4F79C58B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2 3" xfId="663" xr:uid="{A8541BE7-DBB3-43A4-8202-7FD4210B7B42}"/>
    <cellStyle name="40% - Accent2 3 3" xfId="453" xr:uid="{C75D91F0-4DB5-47EE-BCD1-F36512805169}"/>
    <cellStyle name="40% - Accent2 3 4" xfId="598" xr:uid="{05129DAF-0261-4880-B36C-819AFD684427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5 3" xfId="619" xr:uid="{B0919331-5F3A-4A67-B803-BBFBF8C4FCB6}"/>
    <cellStyle name="40% - Accent2 6" xfId="405" xr:uid="{5D34ACBE-F302-4E08-9D42-4072FA9DFEE4}"/>
    <cellStyle name="40% - Accent2 7" xfId="549" xr:uid="{BDF83CD1-2C78-450B-9DB6-E9F580ED3C20}"/>
    <cellStyle name="40% - Accent2 8" xfId="694" xr:uid="{1AF5A637-D4BF-47E4-992E-B8A097F4E342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2 3" xfId="649" xr:uid="{C407FBE6-4558-46DA-B34B-E6ADC6614526}"/>
    <cellStyle name="40% - Accent3 2 2 3" xfId="439" xr:uid="{22D31CA8-2A99-4D12-9457-12A6399E0841}"/>
    <cellStyle name="40% - Accent3 2 2 4" xfId="583" xr:uid="{B1EDB542-5E5A-44D1-AC85-7D4590435E12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2 3" xfId="675" xr:uid="{7627C327-0618-453A-8FAA-2795FE22D122}"/>
    <cellStyle name="40% - Accent3 2 3 3" xfId="465" xr:uid="{B869BA9D-0467-4142-BA95-C65B205992B0}"/>
    <cellStyle name="40% - Accent3 2 3 4" xfId="610" xr:uid="{E2D542D9-5A8B-406B-BD79-472D26F8CCE6}"/>
    <cellStyle name="40% - Accent3 2 4" xfId="315" xr:uid="{50109117-B1D7-416F-85D2-1905AC7D5D35}"/>
    <cellStyle name="40% - Accent3 2 4 2" xfId="486" xr:uid="{E24974DF-E6E0-4FAD-BE12-F71C6EA39334}"/>
    <cellStyle name="40% - Accent3 2 4 3" xfId="633" xr:uid="{59431F59-3E67-4AEC-BB3F-AC7B85582202}"/>
    <cellStyle name="40% - Accent3 2 5" xfId="423" xr:uid="{8C88AD88-EB60-4EBD-BFBA-08EC71A5427B}"/>
    <cellStyle name="40% - Accent3 2 6" xfId="567" xr:uid="{6C199100-54DA-46D7-B496-5F24F9FF7990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2 3" xfId="650" xr:uid="{76E1322C-7F9A-4666-87B2-BD27E36FB824}"/>
    <cellStyle name="40% - Accent3 3 3" xfId="440" xr:uid="{694DC383-9302-4A9E-A529-E34152CD3D9E}"/>
    <cellStyle name="40% - Accent3 3 4" xfId="584" xr:uid="{9B23967B-C0FF-47C5-84FD-C5AB0192150C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5 3" xfId="621" xr:uid="{873B086D-8EFE-4ADD-BB58-6AAF5B62A7E6}"/>
    <cellStyle name="40% - Accent3 6" xfId="408" xr:uid="{AA9ACA67-A789-4509-86BA-E06168708FD7}"/>
    <cellStyle name="40% - Accent3 7" xfId="552" xr:uid="{0EC6E635-2ABB-4A84-A75F-2ABA36930D3F}"/>
    <cellStyle name="40% - Accent3 8" xfId="696" xr:uid="{66F1B7DC-76B0-4D29-B4DE-DB3F4F0D4315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2 3" xfId="651" xr:uid="{E2305B21-C822-4D39-BAB9-73CFFDAFF90A}"/>
    <cellStyle name="40% - Accent4 2 3" xfId="441" xr:uid="{734B397A-E07F-4B1E-A87F-6616F55A196C}"/>
    <cellStyle name="40% - Accent4 2 4" xfId="585" xr:uid="{047E9E0B-636B-4704-BC07-92616EF7F87E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2 3" xfId="664" xr:uid="{94E92C54-0AD8-4578-8DE2-3162462E20E9}"/>
    <cellStyle name="40% - Accent4 3 3" xfId="454" xr:uid="{689F55CF-C46E-4450-949C-6B32D1B70890}"/>
    <cellStyle name="40% - Accent4 3 4" xfId="599" xr:uid="{C3B57798-7EF3-4D7E-96CB-0A48C91D9CAD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5 3" xfId="623" xr:uid="{ADC5820B-B218-4C24-8D21-85F36AE5601B}"/>
    <cellStyle name="40% - Accent4 6" xfId="411" xr:uid="{9A5F11E6-C9A7-46F9-875F-BC9D7A769A54}"/>
    <cellStyle name="40% - Accent4 7" xfId="555" xr:uid="{8BE7ABD1-1C25-4778-89A8-A3B1C6FD44AC}"/>
    <cellStyle name="40% - Accent4 8" xfId="698" xr:uid="{D28C2BEA-026B-431E-A589-122E7EC496EB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2 3" xfId="652" xr:uid="{BA5BB0C9-1216-43CA-8C7F-0D36409925B5}"/>
    <cellStyle name="40% - Accent5 2 3" xfId="442" xr:uid="{3BE0039B-35BF-4E73-939E-345C6EAD9816}"/>
    <cellStyle name="40% - Accent5 2 4" xfId="586" xr:uid="{13957AD8-B0AD-4288-A124-87961622E2E7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2 3" xfId="666" xr:uid="{688665DD-7F6E-4F5C-9099-1E3FE6D722AF}"/>
    <cellStyle name="40% - Accent5 3 3" xfId="456" xr:uid="{D48993EB-0E55-4564-9646-4EF5B22237C6}"/>
    <cellStyle name="40% - Accent5 3 4" xfId="601" xr:uid="{B27654DD-0713-4882-905A-FC0A1434DC45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5 3" xfId="625" xr:uid="{DA87AC71-791D-4C18-8E16-0F12DF338112}"/>
    <cellStyle name="40% - Accent5 6" xfId="414" xr:uid="{838CB0CC-32D0-461F-9816-82A8EA384AC7}"/>
    <cellStyle name="40% - Accent5 7" xfId="558" xr:uid="{938A02AA-83A5-409E-ADA4-974E9C00299E}"/>
    <cellStyle name="40% - Accent5 8" xfId="700" xr:uid="{79F88AFB-528B-4116-BF0B-7977ABA72372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2 3" xfId="653" xr:uid="{1988BDB5-49AF-4C41-8CE0-15AF109D0286}"/>
    <cellStyle name="40% - Accent6 2 3" xfId="443" xr:uid="{B83BC04A-B5C9-4765-A660-781554A145B5}"/>
    <cellStyle name="40% - Accent6 2 4" xfId="587" xr:uid="{973F1E65-2A12-4AB0-AF4D-B71294951EC8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2 3" xfId="668" xr:uid="{06C2A612-E2E9-420F-92A7-CDAFD734C1D2}"/>
    <cellStyle name="40% - Accent6 3 3" xfId="458" xr:uid="{37D4E867-A15B-4049-84CB-30D6653A51FB}"/>
    <cellStyle name="40% - Accent6 3 4" xfId="603" xr:uid="{F040B2D2-5A11-4AB9-9F02-0EBDA3BC0521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5 3" xfId="627" xr:uid="{3B192238-8E16-4739-9957-9C7E10945D89}"/>
    <cellStyle name="40% - Accent6 6" xfId="417" xr:uid="{CE7C6004-06A6-4B1B-ACF7-816AA42E73FD}"/>
    <cellStyle name="40% - Accent6 7" xfId="561" xr:uid="{5D958CF2-68C9-4B36-88E9-C6A7DC4CB99D}"/>
    <cellStyle name="40% - Accent6 8" xfId="702" xr:uid="{324BFC15-0B18-44BF-A1E0-82167F09BE22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1 5" xfId="547" xr:uid="{D59AB503-0B26-4C96-8524-5D940791963D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2 5" xfId="550" xr:uid="{5B959A99-118C-47CE-B39C-2A62AA3A1EC3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3 7" xfId="553" xr:uid="{F8EF9733-07EB-41ED-B6F6-863E2E9384F2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4 7" xfId="556" xr:uid="{904BA480-F31F-4D1E-B40B-E3656F8AA6A5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5 5" xfId="559" xr:uid="{66791BF6-FBA4-4073-B562-1C70C14DDCB8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60% - Accent6 7" xfId="562" xr:uid="{8275E0AD-145F-4DDE-BBB9-DBDBE543B83C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alculation 2 6" xfId="683" xr:uid="{9CFA91C0-A9AA-48B0-B05F-A82A3A97D96D}"/>
    <cellStyle name="Calculation 2 7" xfId="590" xr:uid="{E4FCAAB1-9DBD-448D-8FCF-3E5A731697D7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2 3" xfId="670" xr:uid="{036D860F-C369-4D06-836F-D28DA96EF6C7}"/>
    <cellStyle name="Comma 19 3" xfId="241" xr:uid="{09364125-AA71-40DB-B3C6-6BFD41F7464D}"/>
    <cellStyle name="Comma 19 4" xfId="460" xr:uid="{F477A857-0E92-4671-A252-023A41BF204C}"/>
    <cellStyle name="Comma 19 5" xfId="605" xr:uid="{8AE5CC41-D630-4177-AE04-04B29D2FB6DA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2 3" xfId="654" xr:uid="{93B085AF-47CA-4D3D-8059-54DA87B8BDAA}"/>
    <cellStyle name="Comma 2 2 3" xfId="203" xr:uid="{89AB8884-F733-449C-AE7A-12097AC2A627}"/>
    <cellStyle name="Comma 2 2 4" xfId="444" xr:uid="{19E12DBB-EE46-452D-A498-55B0BA630A9F}"/>
    <cellStyle name="Comma 2 2 5" xfId="588" xr:uid="{E92BAC57-C4F5-445E-A064-B085BFA6BF5A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2 3" xfId="676" xr:uid="{01C5FB51-6FCA-4D19-BB28-6EDE13679EC2}"/>
    <cellStyle name="Comma 2 3 3" xfId="466" xr:uid="{D5CA8969-DBCC-4942-9628-E03149169FB4}"/>
    <cellStyle name="Comma 2 3 4" xfId="611" xr:uid="{4BDDA3E6-2B45-43A4-A4A2-DA40910C5472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5 3" xfId="634" xr:uid="{BC2DB13B-866C-4D97-A068-CCA1ECBC82B2}"/>
    <cellStyle name="Comma 2 6" xfId="154" xr:uid="{F70197A6-DA58-43B6-943A-AD1DCB6219F8}"/>
    <cellStyle name="Comma 2 7" xfId="424" xr:uid="{CA0AA54C-3DF2-4BD1-9698-E680398BF580}"/>
    <cellStyle name="Comma 2 8" xfId="568" xr:uid="{4978D8E6-5BEE-482E-AA69-6C9E9D45312B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26" xfId="543" xr:uid="{BDB0CD08-8083-4621-843E-AD7C8B5C6C4A}"/>
    <cellStyle name="Comma 27" xfId="713" xr:uid="{5FC99627-DED4-41F2-98B7-E6D842602467}"/>
    <cellStyle name="Comma 28" xfId="714" xr:uid="{A0D3904B-441A-4BEB-9516-280A3AF93F74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2 4" xfId="655" xr:uid="{0B7E962F-1938-4176-A36F-159B805A5550}"/>
    <cellStyle name="Comma 4 3" xfId="204" xr:uid="{64B597EF-614B-48C9-9308-DFFB65FAF003}"/>
    <cellStyle name="Comma 4 4" xfId="445" xr:uid="{DA87397E-E44E-4267-8654-6BC7340240A9}"/>
    <cellStyle name="Comma 4 5" xfId="589" xr:uid="{7399C8CB-67B6-45AB-898F-DD4241B96AF4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2 2 2" xfId="680" xr:uid="{B0CEF87C-9115-4BEF-A6A8-4FDAA47C390D}"/>
    <cellStyle name="Hyperlink 3" xfId="6" xr:uid="{00000000-0005-0000-0000-000005000000}"/>
    <cellStyle name="Hyperlink 3 2" xfId="242" xr:uid="{E8BFBA16-071E-4BDC-AF6C-C92DAA0BB06A}"/>
    <cellStyle name="Hyperlink 3 2 2" xfId="710" xr:uid="{56449364-7030-451C-8ABF-8ED142694BDD}"/>
    <cellStyle name="Hyperlink 3 3" xfId="704" xr:uid="{93C3A190-8EEF-47E8-B0EB-560A0D3C415E}"/>
    <cellStyle name="Hyperlink 4" xfId="92" xr:uid="{3670B919-B3BB-4E75-9930-7D6F569E3C0E}"/>
    <cellStyle name="Hyperlink 4 2" xfId="164" xr:uid="{EC59D5CE-C330-4E4D-849B-4EECA6AA0335}"/>
    <cellStyle name="Hyperlink 4 3" xfId="706" xr:uid="{1BF57F09-1B9A-4056-8335-9356CEF03DB0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Input 2 6" xfId="684" xr:uid="{57CAE848-7417-42A2-AEA6-621A434AB6E7}"/>
    <cellStyle name="Input 2 7" xfId="614" xr:uid="{876B3325-A301-4A27-9ED1-53DAA88CD071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0 2 2" xfId="716" xr:uid="{C42C6C50-412A-4FD0-9B05-6E1229905D4D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2 3" xfId="660" xr:uid="{05171BB9-FAEC-42A8-A720-C15A2EA5A137}"/>
    <cellStyle name="Normal 18 3" xfId="450" xr:uid="{0A31AA5F-164E-4594-AE34-7D996B785216}"/>
    <cellStyle name="Normal 18 4" xfId="595" xr:uid="{C7A33E71-250C-4C3E-A41E-02678379F5BC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 3" xfId="679" xr:uid="{6868F2E6-7E54-4199-AC18-36D90DA214E6}"/>
    <cellStyle name="Normal 2 3 2" xfId="711" xr:uid="{6DDB4845-DAD3-4A81-AB7D-B655807C9C16}"/>
    <cellStyle name="Normal 2 4" xfId="690" xr:uid="{91385C19-BAC9-46F3-8B66-69391BF29EC0}"/>
    <cellStyle name="Normal 20" xfId="297" xr:uid="{5675D048-D926-4D76-A9C5-0E9E74212AD8}"/>
    <cellStyle name="Normal 20 2" xfId="469" xr:uid="{CECAC5B7-563F-4937-99A1-2C86E434C1DA}"/>
    <cellStyle name="Normal 20 3" xfId="615" xr:uid="{FD7A83D8-BD6D-4FCF-B83B-AA45FAF6A93C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25" xfId="541" xr:uid="{D0984E85-95B5-4658-A392-795C71CE7E1F}"/>
    <cellStyle name="Normal 26" xfId="715" xr:uid="{D87609AC-4935-45B9-BE0E-671C4278EB9E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3 4" xfId="703" xr:uid="{DD119CBA-0B0E-4AAB-B479-CBAA1D8F72EB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4 4" xfId="705" xr:uid="{95F72145-D08C-4017-8876-1E3932DBCB45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2 3" xfId="712" xr:uid="{380BCFAF-1B57-4791-B503-66DACDAADCB7}"/>
    <cellStyle name="Normal 5 3" xfId="52" xr:uid="{61D29457-DAC5-44A6-B4DB-3F6E4FD534E7}"/>
    <cellStyle name="Normal 5 4" xfId="168" xr:uid="{72593085-5AF4-4127-9467-36099588CA02}"/>
    <cellStyle name="Normal 5 5" xfId="707" xr:uid="{3B8C0E0A-D9D3-41C3-9BA8-F4889B9F979A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2 3" xfId="656" xr:uid="{95209F2F-2799-4722-BF83-72E8AAC9A775}"/>
    <cellStyle name="Normal 6 2 3" xfId="446" xr:uid="{1BE2B0A0-C1D6-474D-A6F1-71485FCF5C32}"/>
    <cellStyle name="Normal 6 2 4" xfId="591" xr:uid="{18DDE48D-BE59-413A-9046-FD4D72C2A234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2 3" xfId="677" xr:uid="{D9A5E20C-F6E9-4075-8B17-509F36503E1B}"/>
    <cellStyle name="Normal 6 3 3" xfId="467" xr:uid="{42FEE5EB-A9D9-4285-A8C9-AAED5BBFD307}"/>
    <cellStyle name="Normal 6 3 4" xfId="612" xr:uid="{5328C679-17D9-4346-8526-25D2F80AE486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5 3" xfId="635" xr:uid="{8A8FF758-3239-4A12-AF5F-4ED45691D4C9}"/>
    <cellStyle name="Normal 6 6" xfId="169" xr:uid="{808CEDD4-B41F-4D2C-982F-C9996D1BAA59}"/>
    <cellStyle name="Normal 6 7" xfId="425" xr:uid="{9615BE54-4CBE-4916-AB95-691C065DCB5C}"/>
    <cellStyle name="Normal 6 8" xfId="569" xr:uid="{83EC3171-AECC-4ECB-86EA-69BF79F723DC}"/>
    <cellStyle name="Normal 7" xfId="16" xr:uid="{3D34A042-2E55-4E8C-B59D-A542FFF81875}"/>
    <cellStyle name="Normal 7 2" xfId="213" xr:uid="{820CAB25-D625-44C5-95BC-3DAC14BF070F}"/>
    <cellStyle name="Normal 7 3" xfId="709" xr:uid="{C2B718B7-21C8-492B-A3B7-4F4EEA2B4D9C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2 4" xfId="657" xr:uid="{9AC8D8B5-476D-41AD-B206-8AFA8F242C3E}"/>
    <cellStyle name="Normal 9 3" xfId="215" xr:uid="{6F223409-C652-4E49-AD52-D3363DDC15E9}"/>
    <cellStyle name="Normal 9 4" xfId="447" xr:uid="{463FAE72-5C43-4756-845D-1BCA8D9EF04E}"/>
    <cellStyle name="Normal 9 5" xfId="592" xr:uid="{7340B248-285D-423A-A52F-B95975014885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2 3" xfId="658" xr:uid="{62B5CEB0-88AE-4D6C-A4A5-38E075156380}"/>
    <cellStyle name="Note 2 2 3" xfId="448" xr:uid="{F0C7965A-A9A6-4729-AE4F-E6B95123599A}"/>
    <cellStyle name="Note 2 2 4" xfId="593" xr:uid="{B2259358-4167-4319-B861-A34989484794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2 3" xfId="678" xr:uid="{C69DA920-423B-48FA-9BBC-8DF52886652D}"/>
    <cellStyle name="Note 2 3 3" xfId="468" xr:uid="{02971889-FFED-466D-99FF-DF1210F3BF73}"/>
    <cellStyle name="Note 2 3 4" xfId="613" xr:uid="{A73A64AF-5924-48A4-BBD0-AD593A3CB2FD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4 6" xfId="686" xr:uid="{6B57FADE-FE01-4447-8928-1E907D663009}"/>
    <cellStyle name="Note 2 4 7" xfId="689" xr:uid="{E81C0467-8F34-438D-81FC-6C53AD06C956}"/>
    <cellStyle name="Note 2 5" xfId="318" xr:uid="{B3F27023-4B65-487D-85FA-119154F7A601}"/>
    <cellStyle name="Note 2 5 2" xfId="489" xr:uid="{BDFF026C-22A7-4B40-B2D0-0A45C4939EFE}"/>
    <cellStyle name="Note 2 5 3" xfId="636" xr:uid="{20CAD3C3-DFA2-47D9-A68D-D525C876B245}"/>
    <cellStyle name="Note 2 6" xfId="426" xr:uid="{57CD975C-CBA2-43FD-8B00-BF6155D01DCB}"/>
    <cellStyle name="Note 2 7" xfId="570" xr:uid="{2224C499-E0AE-4D09-869C-6020AB358640}"/>
    <cellStyle name="Note 2 8" xfId="708" xr:uid="{749821F6-49B7-48B9-B078-6A6B3C58E919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2 3" xfId="659" xr:uid="{2BC0DE3D-F21D-48F7-81F7-6653E8492873}"/>
    <cellStyle name="Note 3 3" xfId="449" xr:uid="{CE7A78AD-10EA-4619-A3B2-CE8D4035EA71}"/>
    <cellStyle name="Note 3 4" xfId="594" xr:uid="{B2D59685-4323-445D-B2BA-E7E5F0E13C9D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2 3" xfId="661" xr:uid="{BE07A902-D462-4B26-A2E5-AFC6A6BBE78E}"/>
    <cellStyle name="Note 4 3" xfId="451" xr:uid="{1D673770-0746-449A-A0A5-B38D3D2F2DF2}"/>
    <cellStyle name="Note 4 4" xfId="596" xr:uid="{123407A7-4C91-4A89-933D-D8BC8B42CB31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5 6" xfId="685" xr:uid="{9EE5294B-46D1-4D95-A3C5-B18D6D691518}"/>
    <cellStyle name="Note 5 7" xfId="682" xr:uid="{79E54DEE-25C0-4E50-82E0-8862A9294BAF}"/>
    <cellStyle name="Note 6" xfId="143" xr:uid="{76A629B7-C611-430C-B43D-08A666E8CF1D}"/>
    <cellStyle name="Note 7" xfId="400" xr:uid="{6D65B6CE-61EF-45DD-BCDA-5D6653CCCB50}"/>
    <cellStyle name="Note 8" xfId="544" xr:uid="{96248A65-E6FA-4D5E-89DA-12675FD4A0C8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Output 2 6" xfId="687" xr:uid="{B86CEFA5-F27C-4E54-86D1-BC95754A7519}"/>
    <cellStyle name="Output 2 7" xfId="681" xr:uid="{06BF1161-9865-4E22-AF0A-00AD8D1A3654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2 3" xfId="669" xr:uid="{7B7ABCA6-DF0F-418F-BCF5-613E7F8BB755}"/>
    <cellStyle name="Percent 12 3" xfId="459" xr:uid="{86259A49-0CFD-4911-95F0-A96FA8BD0AD2}"/>
    <cellStyle name="Percent 12 4" xfId="604" xr:uid="{087148AA-1620-4EAD-8B33-BA2C458E3620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19" xfId="542" xr:uid="{3A34358A-AA99-4ABC-A7FA-33BF007DF2D3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Total 2 6" xfId="688" xr:uid="{82303D14-93FF-4F9E-B1E7-8D6456A1D49D}"/>
    <cellStyle name="Total 2 7" xfId="628" xr:uid="{D8FD7153-B3C9-458B-BF92-DC666F0DB06F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FF00"/>
      <color rgb="FF0E2841"/>
      <color rgb="FFFFCC66"/>
      <color rgb="FFA991D5"/>
      <color rgb="FFCAEDFB"/>
      <color rgb="FFB3A2C7"/>
      <color rgb="FF9429FF"/>
      <color rgb="FF0000FF"/>
      <color rgb="FF00B050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 soybean production by region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3041645785613"/>
          <c:y val="0.20528996207553582"/>
          <c:w val="0.79839301160330634"/>
          <c:h val="0.45300144843528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5F-456C-92A9-C076B59379BD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5F-456C-92A9-C076B59379BD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5F-456C-92A9-C076B59379BD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5F-456C-92A9-C076B59379BD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5F-456C-92A9-C076B59379BD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5F-456C-92A9-C076B59379BD}"/>
              </c:ext>
            </c:extLst>
          </c:dPt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Eastern Corn Belt</c:v>
                </c:pt>
                <c:pt idx="2">
                  <c:v>Western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</c:v>
                </c:pt>
              </c:strCache>
            </c:strRef>
          </c:cat>
          <c:val>
            <c:numRef>
              <c:f>'Figure 1'!$B$2:$B$7</c:f>
              <c:numCache>
                <c:formatCode>0</c:formatCode>
                <c:ptCount val="6"/>
                <c:pt idx="0">
                  <c:v>348.34</c:v>
                </c:pt>
                <c:pt idx="1">
                  <c:v>1489.1</c:v>
                </c:pt>
                <c:pt idx="2">
                  <c:v>1213.1600000000001</c:v>
                </c:pt>
                <c:pt idx="3">
                  <c:v>456</c:v>
                </c:pt>
                <c:pt idx="4">
                  <c:v>476.96499999999997</c:v>
                </c:pt>
                <c:pt idx="5">
                  <c:v>382.92700000000013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5F-456C-92A9-C076B59379BD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2025/26*</c:v>
                </c:pt>
              </c:strCache>
            </c:strRef>
          </c:tx>
          <c:spPr>
            <a:solidFill>
              <a:srgbClr val="C0504D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'Figure 1'!$A$2:$A$7</c:f>
              <c:strCache>
                <c:ptCount val="6"/>
                <c:pt idx="0">
                  <c:v>Delta</c:v>
                </c:pt>
                <c:pt idx="1">
                  <c:v>Eastern Corn Belt</c:v>
                </c:pt>
                <c:pt idx="2">
                  <c:v>Western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</c:v>
                </c:pt>
              </c:strCache>
            </c:strRef>
          </c:cat>
          <c:val>
            <c:numRef>
              <c:f>'Figure 1'!$C$2:$C$7</c:f>
              <c:numCache>
                <c:formatCode>0</c:formatCode>
                <c:ptCount val="6"/>
                <c:pt idx="0">
                  <c:v>285.08999999999997</c:v>
                </c:pt>
                <c:pt idx="1">
                  <c:v>1487.94</c:v>
                </c:pt>
                <c:pt idx="2">
                  <c:v>1248.7</c:v>
                </c:pt>
                <c:pt idx="3">
                  <c:v>416.55</c:v>
                </c:pt>
                <c:pt idx="4">
                  <c:v>473.62</c:v>
                </c:pt>
                <c:pt idx="5">
                  <c:v>380.31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5F-456C-92A9-C076B5937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32786880261009"/>
          <c:y val="0.12653260571249195"/>
          <c:w val="0.29230766891709548"/>
          <c:h val="6.363166708233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 of 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soybean crop rated good to excellent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097244902111E-2"/>
          <c:y val="0.21912685667290882"/>
          <c:w val="0.87583634635186847"/>
          <c:h val="0.49427480703938126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2'!$B$2:$B$17</c:f>
              <c:numCache>
                <c:formatCode>General</c:formatCode>
                <c:ptCount val="16"/>
                <c:pt idx="0">
                  <c:v>54</c:v>
                </c:pt>
                <c:pt idx="1">
                  <c:v>54</c:v>
                </c:pt>
                <c:pt idx="2">
                  <c:v>53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53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54</c:v>
                </c:pt>
                <c:pt idx="13">
                  <c:v>54</c:v>
                </c:pt>
                <c:pt idx="14">
                  <c:v>55</c:v>
                </c:pt>
                <c:pt idx="1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A-41DE-9CEE-C9B80026D756}"/>
            </c:ext>
          </c:extLst>
        </c:ser>
        <c:ser>
          <c:idx val="2"/>
          <c:order val="1"/>
          <c:tx>
            <c:strRef>
              <c:f>'Figure 2'!$C$1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2'!$C$2:$C$17</c:f>
              <c:numCache>
                <c:formatCode>General</c:formatCode>
                <c:ptCount val="16"/>
                <c:pt idx="0">
                  <c:v>70</c:v>
                </c:pt>
                <c:pt idx="1">
                  <c:v>71</c:v>
                </c:pt>
                <c:pt idx="2">
                  <c:v>71</c:v>
                </c:pt>
                <c:pt idx="3">
                  <c:v>68</c:v>
                </c:pt>
                <c:pt idx="4">
                  <c:v>69</c:v>
                </c:pt>
                <c:pt idx="5">
                  <c:v>72</c:v>
                </c:pt>
                <c:pt idx="6">
                  <c:v>73</c:v>
                </c:pt>
                <c:pt idx="7">
                  <c:v>74</c:v>
                </c:pt>
                <c:pt idx="8">
                  <c:v>72</c:v>
                </c:pt>
                <c:pt idx="9">
                  <c:v>69</c:v>
                </c:pt>
                <c:pt idx="10">
                  <c:v>66</c:v>
                </c:pt>
                <c:pt idx="11">
                  <c:v>65</c:v>
                </c:pt>
                <c:pt idx="12">
                  <c:v>63</c:v>
                </c:pt>
                <c:pt idx="13">
                  <c:v>63</c:v>
                </c:pt>
                <c:pt idx="14">
                  <c:v>64</c:v>
                </c:pt>
                <c:pt idx="1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4A-41DE-9CEE-C9B80026D756}"/>
            </c:ext>
          </c:extLst>
        </c:ser>
        <c:ser>
          <c:idx val="3"/>
          <c:order val="2"/>
          <c:tx>
            <c:strRef>
              <c:f>'Figure 2'!$D$1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2'!$D$2:$D$17</c:f>
              <c:numCache>
                <c:formatCode>General</c:formatCode>
                <c:ptCount val="16"/>
                <c:pt idx="0">
                  <c:v>60</c:v>
                </c:pt>
                <c:pt idx="1">
                  <c:v>59</c:v>
                </c:pt>
                <c:pt idx="2">
                  <c:v>59</c:v>
                </c:pt>
                <c:pt idx="3">
                  <c:v>60</c:v>
                </c:pt>
                <c:pt idx="4">
                  <c:v>58</c:v>
                </c:pt>
                <c:pt idx="5">
                  <c:v>60</c:v>
                </c:pt>
                <c:pt idx="6">
                  <c:v>60</c:v>
                </c:pt>
                <c:pt idx="7">
                  <c:v>57</c:v>
                </c:pt>
                <c:pt idx="8">
                  <c:v>56</c:v>
                </c:pt>
                <c:pt idx="9">
                  <c:v>56</c:v>
                </c:pt>
                <c:pt idx="10">
                  <c:v>57</c:v>
                </c:pt>
                <c:pt idx="11">
                  <c:v>57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A-41DE-9CEE-C9B80026D756}"/>
            </c:ext>
          </c:extLst>
        </c:ser>
        <c:ser>
          <c:idx val="4"/>
          <c:order val="3"/>
          <c:tx>
            <c:strRef>
              <c:f>'Figure 2'!$E$1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2'!$E$2:$E$17</c:f>
              <c:numCache>
                <c:formatCode>General</c:formatCode>
                <c:ptCount val="16"/>
                <c:pt idx="0">
                  <c:v>65</c:v>
                </c:pt>
                <c:pt idx="1">
                  <c:v>63</c:v>
                </c:pt>
                <c:pt idx="2">
                  <c:v>62</c:v>
                </c:pt>
                <c:pt idx="3">
                  <c:v>61</c:v>
                </c:pt>
                <c:pt idx="4">
                  <c:v>59</c:v>
                </c:pt>
                <c:pt idx="5">
                  <c:v>60</c:v>
                </c:pt>
                <c:pt idx="6">
                  <c:v>59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56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4A-41DE-9CEE-C9B80026D756}"/>
            </c:ext>
          </c:extLst>
        </c:ser>
        <c:ser>
          <c:idx val="5"/>
          <c:order val="4"/>
          <c:tx>
            <c:strRef>
              <c:f>'Figure 2'!$F$1</c:f>
              <c:strCache>
                <c:ptCount val="1"/>
                <c:pt idx="0">
                  <c:v>2023/24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2'!$F$2:$F$17</c:f>
              <c:numCache>
                <c:formatCode>General</c:formatCode>
                <c:ptCount val="16"/>
                <c:pt idx="0">
                  <c:v>51</c:v>
                </c:pt>
                <c:pt idx="1">
                  <c:v>50</c:v>
                </c:pt>
                <c:pt idx="2">
                  <c:v>51</c:v>
                </c:pt>
                <c:pt idx="3">
                  <c:v>55</c:v>
                </c:pt>
                <c:pt idx="4">
                  <c:v>54</c:v>
                </c:pt>
                <c:pt idx="5">
                  <c:v>52</c:v>
                </c:pt>
                <c:pt idx="6">
                  <c:v>54</c:v>
                </c:pt>
                <c:pt idx="7">
                  <c:v>59</c:v>
                </c:pt>
                <c:pt idx="8">
                  <c:v>59</c:v>
                </c:pt>
                <c:pt idx="9">
                  <c:v>58</c:v>
                </c:pt>
                <c:pt idx="10">
                  <c:v>53</c:v>
                </c:pt>
                <c:pt idx="11">
                  <c:v>52</c:v>
                </c:pt>
                <c:pt idx="12">
                  <c:v>52</c:v>
                </c:pt>
                <c:pt idx="13">
                  <c:v>50</c:v>
                </c:pt>
                <c:pt idx="14">
                  <c:v>52</c:v>
                </c:pt>
                <c:pt idx="1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4A-41DE-9CEE-C9B80026D756}"/>
            </c:ext>
          </c:extLst>
        </c:ser>
        <c:ser>
          <c:idx val="6"/>
          <c:order val="5"/>
          <c:tx>
            <c:strRef>
              <c:f>'Figure 2'!$G$1</c:f>
              <c:strCache>
                <c:ptCount val="1"/>
                <c:pt idx="0">
                  <c:v>2024/25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2'!$G$2:$G$17</c:f>
              <c:numCache>
                <c:formatCode>General</c:formatCode>
                <c:ptCount val="16"/>
                <c:pt idx="0">
                  <c:v>67</c:v>
                </c:pt>
                <c:pt idx="1">
                  <c:v>67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67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67</c:v>
                </c:pt>
                <c:pt idx="10">
                  <c:v>65</c:v>
                </c:pt>
                <c:pt idx="11">
                  <c:v>65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4A-41DE-9CEE-C9B80026D756}"/>
            </c:ext>
          </c:extLst>
        </c:ser>
        <c:ser>
          <c:idx val="1"/>
          <c:order val="6"/>
          <c:tx>
            <c:strRef>
              <c:f>'Figure 2'!$H$1</c:f>
              <c:strCache>
                <c:ptCount val="1"/>
                <c:pt idx="0">
                  <c:v>2025/26</c:v>
                </c:pt>
              </c:strCache>
            </c:strRef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2'!$A$2:$A$17</c:f>
              <c:strCache>
                <c:ptCount val="16"/>
                <c:pt idx="0">
                  <c:v>Week 25</c:v>
                </c:pt>
                <c:pt idx="1">
                  <c:v>Week 26</c:v>
                </c:pt>
                <c:pt idx="2">
                  <c:v>Week 27</c:v>
                </c:pt>
                <c:pt idx="3">
                  <c:v>Week 28</c:v>
                </c:pt>
                <c:pt idx="4">
                  <c:v>Week 29</c:v>
                </c:pt>
                <c:pt idx="5">
                  <c:v>Week 30</c:v>
                </c:pt>
                <c:pt idx="6">
                  <c:v>Week 31</c:v>
                </c:pt>
                <c:pt idx="7">
                  <c:v>Week 32</c:v>
                </c:pt>
                <c:pt idx="8">
                  <c:v>Week 33</c:v>
                </c:pt>
                <c:pt idx="9">
                  <c:v>Week 34</c:v>
                </c:pt>
                <c:pt idx="10">
                  <c:v>Week 35</c:v>
                </c:pt>
                <c:pt idx="11">
                  <c:v>Week 36</c:v>
                </c:pt>
                <c:pt idx="12">
                  <c:v>Week 37</c:v>
                </c:pt>
                <c:pt idx="13">
                  <c:v>Week 38</c:v>
                </c:pt>
                <c:pt idx="14">
                  <c:v>Week 39</c:v>
                </c:pt>
                <c:pt idx="15">
                  <c:v>Week 40</c:v>
                </c:pt>
              </c:strCache>
            </c:strRef>
          </c:cat>
          <c:val>
            <c:numRef>
              <c:f>'Figure 2'!$H$2:$H$8</c:f>
              <c:numCache>
                <c:formatCode>General</c:formatCode>
                <c:ptCount val="7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70</c:v>
                </c:pt>
                <c:pt idx="4">
                  <c:v>68</c:v>
                </c:pt>
                <c:pt idx="5">
                  <c:v>70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A-41DE-9CEE-C9B80026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Week number</a:t>
                </a:r>
              </a:p>
            </c:rich>
          </c:tx>
          <c:layout>
            <c:manualLayout>
              <c:xMode val="edge"/>
              <c:yMode val="edge"/>
              <c:x val="0.42974888318306531"/>
              <c:y val="0.84641029345573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ax val="75"/>
          <c:min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312880560197872E-2"/>
          <c:y val="0.12475838402827188"/>
          <c:w val="0.9"/>
          <c:h val="5.565729707421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 i="0" u="none" strike="noStrike" kern="1200" spc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Cumulative U.S. soybean meal export sales through July 31 and full marketing year exports</a:t>
            </a: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099327732732293E-2"/>
          <c:y val="0.23872553956249584"/>
          <c:w val="0.90323954129389739"/>
          <c:h val="0.444410748484894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3'!$B$1</c:f>
              <c:strCache>
                <c:ptCount val="1"/>
                <c:pt idx="0">
                  <c:v>Accumulated exports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 2022/23 </c:v>
                </c:pt>
                <c:pt idx="5">
                  <c:v> 2023/24 </c:v>
                </c:pt>
                <c:pt idx="6">
                  <c:v> 2024/25* </c:v>
                </c:pt>
                <c:pt idx="7">
                  <c:v> 2025/26* </c:v>
                </c:pt>
              </c:strCache>
            </c:strRef>
          </c:cat>
          <c:val>
            <c:numRef>
              <c:f>'Figure 3'!$B$2:$B$9</c:f>
              <c:numCache>
                <c:formatCode>_(* #,##0_);_(* \(#,##0\);_(* "-"??_);_(@_)</c:formatCode>
                <c:ptCount val="8"/>
                <c:pt idx="0">
                  <c:v>9704436</c:v>
                </c:pt>
                <c:pt idx="1">
                  <c:v>10108960</c:v>
                </c:pt>
                <c:pt idx="2">
                  <c:v>9950640</c:v>
                </c:pt>
                <c:pt idx="3">
                  <c:v>10151687</c:v>
                </c:pt>
                <c:pt idx="4">
                  <c:v>10656816</c:v>
                </c:pt>
                <c:pt idx="5">
                  <c:v>11505001</c:v>
                </c:pt>
                <c:pt idx="6">
                  <c:v>12691272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F-48B0-987B-B962B79A5062}"/>
            </c:ext>
          </c:extLst>
        </c:ser>
        <c:ser>
          <c:idx val="1"/>
          <c:order val="1"/>
          <c:tx>
            <c:strRef>
              <c:f>'Figure 3'!$C$1</c:f>
              <c:strCache>
                <c:ptCount val="1"/>
                <c:pt idx="0">
                  <c:v>Outstanding sales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 2022/23 </c:v>
                </c:pt>
                <c:pt idx="5">
                  <c:v> 2023/24 </c:v>
                </c:pt>
                <c:pt idx="6">
                  <c:v> 2024/25* </c:v>
                </c:pt>
                <c:pt idx="7">
                  <c:v> 2025/26* </c:v>
                </c:pt>
              </c:strCache>
            </c:strRef>
          </c:cat>
          <c:val>
            <c:numRef>
              <c:f>'Figure 3'!$C$2:$C$9</c:f>
              <c:numCache>
                <c:formatCode>_(* #,##0_);_(* \(#,##0\);_(* "-"??_);_(@_)</c:formatCode>
                <c:ptCount val="8"/>
                <c:pt idx="0">
                  <c:v>1972113</c:v>
                </c:pt>
                <c:pt idx="1">
                  <c:v>1666148</c:v>
                </c:pt>
                <c:pt idx="2">
                  <c:v>1861594</c:v>
                </c:pt>
                <c:pt idx="3">
                  <c:v>1536503</c:v>
                </c:pt>
                <c:pt idx="4">
                  <c:v>1881612</c:v>
                </c:pt>
                <c:pt idx="5">
                  <c:v>2230905</c:v>
                </c:pt>
                <c:pt idx="6">
                  <c:v>2834118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F-48B0-987B-B962B79A5062}"/>
            </c:ext>
          </c:extLst>
        </c:ser>
        <c:ser>
          <c:idx val="2"/>
          <c:order val="2"/>
          <c:tx>
            <c:strRef>
              <c:f>'Figure 3'!$E$1</c:f>
              <c:strCache>
                <c:ptCount val="1"/>
                <c:pt idx="0">
                  <c:v>Reminaing exports</c:v>
                </c:pt>
              </c:strCache>
            </c:strRef>
          </c:tx>
          <c:spPr>
            <a:solidFill>
              <a:srgbClr val="00B050"/>
            </a:solidFill>
            <a:effectLst/>
          </c:spPr>
          <c:invertIfNegative val="0"/>
          <c:cat>
            <c:strRef>
              <c:f>'Figure 3'!$A$2:$A$9</c:f>
              <c:strCache>
                <c:ptCount val="8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 2022/23 </c:v>
                </c:pt>
                <c:pt idx="5">
                  <c:v> 2023/24 </c:v>
                </c:pt>
                <c:pt idx="6">
                  <c:v> 2024/25* </c:v>
                </c:pt>
                <c:pt idx="7">
                  <c:v> 2025/26* </c:v>
                </c:pt>
              </c:strCache>
            </c:strRef>
          </c:cat>
          <c:val>
            <c:numRef>
              <c:f>'Figure 3'!$E$2:$E$9</c:f>
              <c:numCache>
                <c:formatCode>_(* #,##0_);_(* \(#,##0\);_(* "-"??_);_(@_)</c:formatCode>
                <c:ptCount val="8"/>
                <c:pt idx="0">
                  <c:v>464019.19999999925</c:v>
                </c:pt>
                <c:pt idx="1">
                  <c:v>774014.40000000037</c:v>
                </c:pt>
                <c:pt idx="2">
                  <c:v>593782.09999999963</c:v>
                </c:pt>
                <c:pt idx="3">
                  <c:v>614493.30000000075</c:v>
                </c:pt>
                <c:pt idx="4">
                  <c:v>657608.90000000037</c:v>
                </c:pt>
                <c:pt idx="5">
                  <c:v>828337.90000000037</c:v>
                </c:pt>
                <c:pt idx="6">
                  <c:v>713216.90000000037</c:v>
                </c:pt>
                <c:pt idx="7">
                  <c:v>16964354.699999999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FF-48B0-987B-B962B79A5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4433908328303884"/>
              <c:y val="0.844169693759758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1550437915690645E-3"/>
              <c:y val="0.155082975270177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</c:plotArea>
    <c:legend>
      <c:legendPos val="t"/>
      <c:layout>
        <c:manualLayout>
          <c:xMode val="edge"/>
          <c:yMode val="edge"/>
          <c:x val="0.22117517568368469"/>
          <c:y val="9.889903603245577E-2"/>
          <c:w val="0.6836397332053924"/>
          <c:h val="0.1181693104688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peanut production and yield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73385913429284E-2"/>
          <c:y val="0.1898001332971552"/>
          <c:w val="0.87584514010397652"/>
          <c:h val="0.5200725494793244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4'!$B$1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'Figure 4'!$A$2:$A$15</c:f>
              <c:strCache>
                <c:ptCount val="1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 July*</c:v>
                </c:pt>
                <c:pt idx="13">
                  <c:v>2025/26 Aug*</c:v>
                </c:pt>
              </c:strCache>
            </c:strRef>
          </c:cat>
          <c:val>
            <c:numRef>
              <c:f>'Figure 4'!$B$2:$B$15</c:f>
              <c:numCache>
                <c:formatCode>_(* #,##0_);_(* \(#,##0\);_(* "-"??_);_(@_)</c:formatCode>
                <c:ptCount val="14"/>
                <c:pt idx="0">
                  <c:v>4173.17</c:v>
                </c:pt>
                <c:pt idx="1">
                  <c:v>5188.665</c:v>
                </c:pt>
                <c:pt idx="2">
                  <c:v>6001.357</c:v>
                </c:pt>
                <c:pt idx="3">
                  <c:v>5581.57</c:v>
                </c:pt>
                <c:pt idx="4">
                  <c:v>7115.41</c:v>
                </c:pt>
                <c:pt idx="5">
                  <c:v>5491.57</c:v>
                </c:pt>
                <c:pt idx="6">
                  <c:v>5464.84</c:v>
                </c:pt>
                <c:pt idx="7">
                  <c:v>6162.75</c:v>
                </c:pt>
                <c:pt idx="8">
                  <c:v>6359.19</c:v>
                </c:pt>
                <c:pt idx="9">
                  <c:v>5541.7719999999999</c:v>
                </c:pt>
                <c:pt idx="10">
                  <c:v>5877.56</c:v>
                </c:pt>
                <c:pt idx="11" formatCode="_(* #,##0_);_(* \(#,##0\);_(* &quot;-&quot;_);_(@_)">
                  <c:v>6448.02</c:v>
                </c:pt>
                <c:pt idx="12" formatCode="_(* #,##0_);_(* \(#,##0\);_(* &quot;-&quot;_);_(@_)">
                  <c:v>7400</c:v>
                </c:pt>
                <c:pt idx="13" formatCode="_(* #,##0_);_(* \(#,##0\);_(* &quot;-&quot;_);_(@_)">
                  <c:v>7246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7-4238-AB04-A96A15343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5"/>
          <c:order val="1"/>
          <c:tx>
            <c:strRef>
              <c:f>'Figure 4'!$C$1</c:f>
              <c:strCache>
                <c:ptCount val="1"/>
                <c:pt idx="0">
                  <c:v>Yield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4'!$A$2:$A$15</c:f>
              <c:strCache>
                <c:ptCount val="14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</c:v>
                </c:pt>
                <c:pt idx="12">
                  <c:v>2025/26 July*</c:v>
                </c:pt>
                <c:pt idx="13">
                  <c:v>2025/26 Aug*</c:v>
                </c:pt>
              </c:strCache>
            </c:strRef>
          </c:cat>
          <c:val>
            <c:numRef>
              <c:f>'Figure 4'!$C$2:$C$15</c:f>
              <c:numCache>
                <c:formatCode>#,##0</c:formatCode>
                <c:ptCount val="14"/>
                <c:pt idx="0">
                  <c:v>4001.12</c:v>
                </c:pt>
                <c:pt idx="1">
                  <c:v>3923.38</c:v>
                </c:pt>
                <c:pt idx="2">
                  <c:v>3844.81</c:v>
                </c:pt>
                <c:pt idx="3">
                  <c:v>3633.83</c:v>
                </c:pt>
                <c:pt idx="4">
                  <c:v>4007.33</c:v>
                </c:pt>
                <c:pt idx="5">
                  <c:v>4012.55</c:v>
                </c:pt>
                <c:pt idx="6">
                  <c:v>3941.75</c:v>
                </c:pt>
                <c:pt idx="7">
                  <c:v>3824.94</c:v>
                </c:pt>
                <c:pt idx="8">
                  <c:v>4134.71</c:v>
                </c:pt>
                <c:pt idx="9">
                  <c:v>4011.71</c:v>
                </c:pt>
                <c:pt idx="10">
                  <c:v>3774.93</c:v>
                </c:pt>
                <c:pt idx="11">
                  <c:v>3667.82</c:v>
                </c:pt>
                <c:pt idx="12">
                  <c:v>4000</c:v>
                </c:pt>
                <c:pt idx="13">
                  <c:v>3838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C7-4238-AB04-A96A15343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032943"/>
        <c:axId val="43003710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034735339737654"/>
              <c:y val="0.83370412031829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pounds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9.919411115277257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43003710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Pounds per acre</a:t>
                </a:r>
              </a:p>
            </c:rich>
          </c:tx>
          <c:layout>
            <c:manualLayout>
              <c:xMode val="edge"/>
              <c:yMode val="edge"/>
              <c:x val="0.84568192262902475"/>
              <c:y val="0.1122268579744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0032943"/>
        <c:crosses val="max"/>
        <c:crossBetween val="between"/>
        <c:majorUnit val="500"/>
      </c:valAx>
      <c:catAx>
        <c:axId val="4300329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00371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312880560197872E-2"/>
          <c:y val="0.12475838402827188"/>
          <c:w val="0.74781151990729666"/>
          <c:h val="5.318281947000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5</a:t>
            </a:r>
          </a:p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Meal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prices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5247097519172829E-2"/>
          <c:y val="0.2371643211745347"/>
          <c:w val="0.86709887863573787"/>
          <c:h val="0.45098469197467023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5'!$B$1</c:f>
              <c:strCache>
                <c:ptCount val="1"/>
                <c:pt idx="0">
                  <c:v>EU rapeseed meal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5'!$A$2:$A$16</c:f>
              <c:strCache>
                <c:ptCount val="15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  <c:pt idx="14">
                  <c:v>2024/25</c:v>
                </c:pt>
              </c:strCache>
            </c:strRef>
          </c:cat>
          <c:val>
            <c:numRef>
              <c:f>'Figure 5'!$B$2:$B$16</c:f>
              <c:numCache>
                <c:formatCode>_(* #,##0_);_(* \(#,##0\);_(* "-"??_);_(@_)</c:formatCode>
                <c:ptCount val="15"/>
                <c:pt idx="0">
                  <c:v>249.43937499999996</c:v>
                </c:pt>
                <c:pt idx="1">
                  <c:v>296.82088461538456</c:v>
                </c:pt>
                <c:pt idx="2">
                  <c:v>356.74076628352498</c:v>
                </c:pt>
                <c:pt idx="3">
                  <c:v>313.85513409961686</c:v>
                </c:pt>
                <c:pt idx="4">
                  <c:v>269.62628352490418</c:v>
                </c:pt>
                <c:pt idx="5">
                  <c:v>230.54175572519077</c:v>
                </c:pt>
                <c:pt idx="6">
                  <c:v>223.30499999999995</c:v>
                </c:pt>
                <c:pt idx="7">
                  <c:v>256.92603846153844</c:v>
                </c:pt>
                <c:pt idx="8">
                  <c:v>245.74396153846143</c:v>
                </c:pt>
                <c:pt idx="9">
                  <c:v>237.17610687022901</c:v>
                </c:pt>
                <c:pt idx="10">
                  <c:v>312.13478927203113</c:v>
                </c:pt>
                <c:pt idx="11">
                  <c:v>393.32938697318082</c:v>
                </c:pt>
                <c:pt idx="12">
                  <c:v>345.4217692307692</c:v>
                </c:pt>
                <c:pt idx="13">
                  <c:v>308.4333590733591</c:v>
                </c:pt>
                <c:pt idx="14">
                  <c:v>292.63650000000001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B0-4828-8D68-66D6049C91EA}"/>
            </c:ext>
          </c:extLst>
        </c:ser>
        <c:ser>
          <c:idx val="2"/>
          <c:order val="1"/>
          <c:tx>
            <c:strRef>
              <c:f>'Figure 5'!$C$1</c:f>
              <c:strCache>
                <c:ptCount val="1"/>
                <c:pt idx="0">
                  <c:v>Argentina (Up River) soybean meal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5'!$A$2:$A$16</c:f>
              <c:strCache>
                <c:ptCount val="15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  <c:pt idx="14">
                  <c:v>2024/25</c:v>
                </c:pt>
              </c:strCache>
            </c:strRef>
          </c:cat>
          <c:val>
            <c:numRef>
              <c:f>'Figure 5'!$C$2:$C$16</c:f>
              <c:numCache>
                <c:formatCode>_(* #,##0_);_(* \(#,##0\);_(* "-"??_);_(@_)</c:formatCode>
                <c:ptCount val="15"/>
                <c:pt idx="0">
                  <c:v>384.56016597510376</c:v>
                </c:pt>
                <c:pt idx="1">
                  <c:v>440.11693548387098</c:v>
                </c:pt>
                <c:pt idx="2">
                  <c:v>507.39463601532566</c:v>
                </c:pt>
                <c:pt idx="3">
                  <c:v>506.62452107279694</c:v>
                </c:pt>
                <c:pt idx="4">
                  <c:v>386.69731800766283</c:v>
                </c:pt>
                <c:pt idx="5">
                  <c:v>348.05725190839695</c:v>
                </c:pt>
                <c:pt idx="6">
                  <c:v>326.18532818532816</c:v>
                </c:pt>
                <c:pt idx="7">
                  <c:v>372.44573643410854</c:v>
                </c:pt>
                <c:pt idx="8">
                  <c:v>321.13899613899616</c:v>
                </c:pt>
                <c:pt idx="9">
                  <c:v>331.32442748091603</c:v>
                </c:pt>
                <c:pt idx="10">
                  <c:v>437.92720306513411</c:v>
                </c:pt>
                <c:pt idx="11">
                  <c:v>470.17241379310343</c:v>
                </c:pt>
                <c:pt idx="12">
                  <c:v>510.77906976744185</c:v>
                </c:pt>
                <c:pt idx="13">
                  <c:v>424.72093023255815</c:v>
                </c:pt>
                <c:pt idx="14">
                  <c:v>322.87272727272727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B0-4828-8D68-66D6049C91EA}"/>
            </c:ext>
          </c:extLst>
        </c:ser>
        <c:ser>
          <c:idx val="5"/>
          <c:order val="2"/>
          <c:tx>
            <c:strRef>
              <c:f>'Figure 5'!$E$1</c:f>
              <c:strCache>
                <c:ptCount val="1"/>
                <c:pt idx="0">
                  <c:v>U.S. (Gulf) soybean meal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5'!$A$2:$A$16</c:f>
              <c:strCache>
                <c:ptCount val="15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  <c:pt idx="14">
                  <c:v>2024/25</c:v>
                </c:pt>
              </c:strCache>
            </c:strRef>
          </c:cat>
          <c:val>
            <c:numRef>
              <c:f>'Figure 5'!$E$2:$E$16</c:f>
              <c:numCache>
                <c:formatCode>_(* #,##0_);_(* \(#,##0\);_(* "-"??_);_(@_)</c:formatCode>
                <c:ptCount val="15"/>
                <c:pt idx="0">
                  <c:v>413.47154471544718</c:v>
                </c:pt>
                <c:pt idx="1">
                  <c:v>464.024</c:v>
                </c:pt>
                <c:pt idx="2">
                  <c:v>534.50134099616844</c:v>
                </c:pt>
                <c:pt idx="3">
                  <c:v>544.40850574712613</c:v>
                </c:pt>
                <c:pt idx="4">
                  <c:v>422.59926923076915</c:v>
                </c:pt>
                <c:pt idx="5">
                  <c:v>369.13664122137419</c:v>
                </c:pt>
                <c:pt idx="6">
                  <c:v>350.02330769230747</c:v>
                </c:pt>
                <c:pt idx="7">
                  <c:v>391.51038461538491</c:v>
                </c:pt>
                <c:pt idx="8">
                  <c:v>343.99701149425312</c:v>
                </c:pt>
                <c:pt idx="9">
                  <c:v>345.31774809160311</c:v>
                </c:pt>
                <c:pt idx="10">
                  <c:v>461.29444444444471</c:v>
                </c:pt>
                <c:pt idx="11">
                  <c:v>510.86429118773918</c:v>
                </c:pt>
                <c:pt idx="12">
                  <c:v>520.90865384615392</c:v>
                </c:pt>
                <c:pt idx="13">
                  <c:v>442.87603846153854</c:v>
                </c:pt>
                <c:pt idx="14">
                  <c:v>341.41731818181819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6B0-4828-8D68-66D6049C9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 (October–September)</a:t>
                </a:r>
              </a:p>
            </c:rich>
          </c:tx>
          <c:layout>
            <c:manualLayout>
              <c:xMode val="edge"/>
              <c:yMode val="edge"/>
              <c:x val="0.35810193109779648"/>
              <c:y val="0.833729637849348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metric ton</a:t>
                </a:r>
              </a:p>
            </c:rich>
          </c:tx>
          <c:layout>
            <c:manualLayout>
              <c:xMode val="edge"/>
              <c:yMode val="edge"/>
              <c:x val="3.5014425717735873E-3"/>
              <c:y val="0.1208391221440723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302869622553675E-2"/>
          <c:y val="0.16712877733215811"/>
          <c:w val="0.9"/>
          <c:h val="5.565729707421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0</xdr:row>
      <xdr:rowOff>28575</xdr:rowOff>
    </xdr:from>
    <xdr:to>
      <xdr:col>15</xdr:col>
      <xdr:colOff>30479</xdr:colOff>
      <xdr:row>21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F2EF76-3780-4105-87B9-F65321D54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0.88474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114675"/>
          <a:ext cx="7267576" cy="405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Annual average meal prices were calculated by averaging daily quotes from the marketing year.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Grains Council.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0.00254</cdr:x>
      <cdr:y>0.74422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4521" y="2638426"/>
          <a:ext cx="5667682" cy="882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Delta: Arkansas, Louisiana, and Mississippi; Eastern Corn Belt: Illinois, Indiana, Ohio, Michigan, and Wisconsin; Western Corn Belt: Iowa, Minnesota, and Missouri; Central Plains: Kansas and Nebraska; Northern Plains: North Dakota and South Dakota; and "Other" includes remaining States. 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August forecast. Marketing years begin September 1 and end August 31.</a:t>
          </a:r>
        </a:p>
        <a:p xmlns:a="http://schemas.openxmlformats.org/drawingml/2006/main"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8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Quickstats </a:t>
          </a:r>
          <a:r>
            <a:rPr lang="en-US" sz="8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8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8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0.01448</cdr:x>
      <cdr:y>0.13363</cdr:y>
    </cdr:from>
    <cdr:to>
      <cdr:x>0.16654</cdr:x>
      <cdr:y>0.1804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6191" y="457200"/>
          <a:ext cx="800111" cy="16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Million bushels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550334</xdr:colOff>
      <xdr:row>0</xdr:row>
      <xdr:rowOff>148166</xdr:rowOff>
    </xdr:from>
    <xdr:to>
      <xdr:col>18</xdr:col>
      <xdr:colOff>355601</xdr:colOff>
      <xdr:row>19</xdr:row>
      <xdr:rowOff>115146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63BF92A-A9E4-4B1C-BED0-E88B748C7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0.89273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213101"/>
          <a:ext cx="6070601" cy="386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National Agricultural Statistics Service,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Crop Progress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report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 4, 2025.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95250</xdr:rowOff>
    </xdr:from>
    <xdr:to>
      <xdr:col>14</xdr:col>
      <xdr:colOff>266700</xdr:colOff>
      <xdr:row>21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898778-6963-33FD-CC2C-6A0F7AB24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0.87172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47975"/>
          <a:ext cx="5124450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MY=Marketing year. Asterisk (*)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denotes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Export Sales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59583</xdr:colOff>
      <xdr:row>0</xdr:row>
      <xdr:rowOff>146261</xdr:rowOff>
    </xdr:from>
    <xdr:to>
      <xdr:col>14</xdr:col>
      <xdr:colOff>100647</xdr:colOff>
      <xdr:row>20</xdr:row>
      <xdr:rowOff>111336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1E6C722-86FE-4423-9861-11EB125EC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0.8653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323167"/>
          <a:ext cx="5943601" cy="517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Estimates,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August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2025.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0</xdr:row>
      <xdr:rowOff>0</xdr:rowOff>
    </xdr:from>
    <xdr:to>
      <xdr:col>19</xdr:col>
      <xdr:colOff>525781</xdr:colOff>
      <xdr:row>20</xdr:row>
      <xdr:rowOff>87631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5E390A76-35A1-5802-EAA6-7C5D28629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7"/>
  <sheetViews>
    <sheetView tabSelected="1" workbookViewId="0">
      <selection activeCell="A19" sqref="A19"/>
    </sheetView>
  </sheetViews>
  <sheetFormatPr defaultColWidth="9.5703125" defaultRowHeight="14.25"/>
  <cols>
    <col min="1" max="1" width="166.7109375" style="12" customWidth="1"/>
    <col min="2" max="16384" width="9.5703125" style="1"/>
  </cols>
  <sheetData>
    <row r="1" spans="1:3" s="2" customFormat="1" ht="15">
      <c r="A1" s="7" t="s">
        <v>0</v>
      </c>
    </row>
    <row r="2" spans="1:3">
      <c r="A2" s="8"/>
      <c r="B2" s="3"/>
      <c r="C2" s="2"/>
    </row>
    <row r="3" spans="1:3">
      <c r="A3" s="10" t="s">
        <v>1</v>
      </c>
      <c r="B3" s="4"/>
      <c r="C3" s="79"/>
    </row>
    <row r="4" spans="1:3">
      <c r="A4" s="10" t="s">
        <v>2</v>
      </c>
      <c r="B4" s="4"/>
      <c r="C4" s="79"/>
    </row>
    <row r="5" spans="1:3">
      <c r="A5" s="10" t="s">
        <v>3</v>
      </c>
      <c r="B5" s="4"/>
      <c r="C5" s="79"/>
    </row>
    <row r="6" spans="1:3">
      <c r="A6" s="10" t="s">
        <v>4</v>
      </c>
      <c r="B6" s="4"/>
      <c r="C6" s="79"/>
    </row>
    <row r="7" spans="1:3">
      <c r="A7" s="10" t="s">
        <v>5</v>
      </c>
      <c r="B7" s="4"/>
      <c r="C7" s="79"/>
    </row>
    <row r="8" spans="1:3">
      <c r="A8" s="10" t="s">
        <v>6</v>
      </c>
      <c r="B8" s="4"/>
      <c r="C8" s="79"/>
    </row>
    <row r="9" spans="1:3">
      <c r="A9" s="10" t="s">
        <v>7</v>
      </c>
      <c r="B9" s="4"/>
      <c r="C9" s="79"/>
    </row>
    <row r="10" spans="1:3">
      <c r="A10" s="10" t="s">
        <v>8</v>
      </c>
      <c r="B10" s="4"/>
      <c r="C10" s="79"/>
    </row>
    <row r="11" spans="1:3">
      <c r="A11" s="10" t="s">
        <v>9</v>
      </c>
      <c r="B11" s="4"/>
      <c r="C11" s="79"/>
    </row>
    <row r="12" spans="1:3">
      <c r="A12" s="10" t="s">
        <v>10</v>
      </c>
      <c r="B12" s="4"/>
      <c r="C12" s="79"/>
    </row>
    <row r="13" spans="1:3">
      <c r="A13" s="11" t="s">
        <v>11</v>
      </c>
      <c r="B13" s="4"/>
      <c r="C13" s="79"/>
    </row>
    <row r="14" spans="1:3">
      <c r="A14" s="11" t="s">
        <v>12</v>
      </c>
      <c r="B14" s="79"/>
      <c r="C14" s="79"/>
    </row>
    <row r="15" spans="1:3" ht="12.75">
      <c r="A15" s="79"/>
      <c r="B15" s="79"/>
      <c r="C15" s="79"/>
    </row>
    <row r="16" spans="1:3" ht="15">
      <c r="A16" s="7" t="s">
        <v>13</v>
      </c>
      <c r="B16" s="79"/>
      <c r="C16" s="79"/>
    </row>
    <row r="17" spans="1:1" ht="15">
      <c r="A17" s="9">
        <v>45883</v>
      </c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E558-4E65-4296-BC03-60FF3E2E7DE6}">
  <sheetPr codeName="Sheet9"/>
  <dimension ref="A1:H112"/>
  <sheetViews>
    <sheetView zoomScale="90" zoomScaleNormal="90" workbookViewId="0">
      <selection activeCell="I24" sqref="I24"/>
    </sheetView>
  </sheetViews>
  <sheetFormatPr defaultColWidth="9.140625" defaultRowHeight="14.25"/>
  <cols>
    <col min="1" max="1" width="11.42578125" style="157" bestFit="1" customWidth="1"/>
    <col min="2" max="8" width="8.42578125" style="157" bestFit="1" customWidth="1"/>
    <col min="9" max="16384" width="9.140625" style="157"/>
  </cols>
  <sheetData>
    <row r="1" spans="1:8" ht="34.5" customHeight="1">
      <c r="A1" s="156" t="s">
        <v>169</v>
      </c>
      <c r="B1" s="156" t="s">
        <v>116</v>
      </c>
      <c r="C1" s="156" t="s">
        <v>117</v>
      </c>
      <c r="D1" s="156" t="s">
        <v>118</v>
      </c>
      <c r="E1" s="156" t="s">
        <v>119</v>
      </c>
      <c r="F1" s="156" t="s">
        <v>35</v>
      </c>
      <c r="G1" s="156" t="s">
        <v>54</v>
      </c>
      <c r="H1" s="156" t="s">
        <v>186</v>
      </c>
    </row>
    <row r="2" spans="1:8">
      <c r="A2" s="157" t="s">
        <v>170</v>
      </c>
      <c r="B2" s="157">
        <v>54</v>
      </c>
      <c r="C2" s="157">
        <v>70</v>
      </c>
      <c r="D2" s="157">
        <v>60</v>
      </c>
      <c r="E2" s="157">
        <v>65</v>
      </c>
      <c r="F2" s="157">
        <v>51</v>
      </c>
      <c r="G2" s="157">
        <v>67</v>
      </c>
      <c r="H2" s="157">
        <v>66</v>
      </c>
    </row>
    <row r="3" spans="1:8">
      <c r="A3" s="157" t="s">
        <v>171</v>
      </c>
      <c r="B3" s="157">
        <v>54</v>
      </c>
      <c r="C3" s="157">
        <v>71</v>
      </c>
      <c r="D3" s="157">
        <v>59</v>
      </c>
      <c r="E3" s="157">
        <v>63</v>
      </c>
      <c r="F3" s="157">
        <v>50</v>
      </c>
      <c r="G3" s="157">
        <v>67</v>
      </c>
      <c r="H3" s="157">
        <v>66</v>
      </c>
    </row>
    <row r="4" spans="1:8">
      <c r="A4" s="157" t="s">
        <v>172</v>
      </c>
      <c r="B4" s="157">
        <v>53</v>
      </c>
      <c r="C4" s="157">
        <v>71</v>
      </c>
      <c r="D4" s="157">
        <v>59</v>
      </c>
      <c r="E4" s="157">
        <v>62</v>
      </c>
      <c r="F4" s="157">
        <v>51</v>
      </c>
      <c r="G4" s="157">
        <v>68</v>
      </c>
      <c r="H4" s="157">
        <v>66</v>
      </c>
    </row>
    <row r="5" spans="1:8">
      <c r="A5" s="157" t="s">
        <v>173</v>
      </c>
      <c r="B5" s="157">
        <v>54</v>
      </c>
      <c r="C5" s="157">
        <v>68</v>
      </c>
      <c r="D5" s="157">
        <v>60</v>
      </c>
      <c r="E5" s="157">
        <v>61</v>
      </c>
      <c r="F5" s="157">
        <v>55</v>
      </c>
      <c r="G5" s="157">
        <v>68</v>
      </c>
      <c r="H5" s="157">
        <v>70</v>
      </c>
    </row>
    <row r="6" spans="1:8">
      <c r="A6" s="157" t="s">
        <v>174</v>
      </c>
      <c r="B6" s="157">
        <v>54</v>
      </c>
      <c r="C6" s="157">
        <v>69</v>
      </c>
      <c r="D6" s="157">
        <v>58</v>
      </c>
      <c r="E6" s="157">
        <v>59</v>
      </c>
      <c r="F6" s="157">
        <v>54</v>
      </c>
      <c r="G6" s="157">
        <v>68</v>
      </c>
      <c r="H6" s="157">
        <v>68</v>
      </c>
    </row>
    <row r="7" spans="1:8">
      <c r="A7" s="157" t="s">
        <v>175</v>
      </c>
      <c r="B7" s="157">
        <v>54</v>
      </c>
      <c r="C7" s="157">
        <v>72</v>
      </c>
      <c r="D7" s="157">
        <v>60</v>
      </c>
      <c r="E7" s="157">
        <v>60</v>
      </c>
      <c r="F7" s="157">
        <v>52</v>
      </c>
      <c r="G7" s="157">
        <v>67</v>
      </c>
      <c r="H7" s="157">
        <v>70</v>
      </c>
    </row>
    <row r="8" spans="1:8">
      <c r="A8" s="157" t="s">
        <v>176</v>
      </c>
      <c r="B8" s="157">
        <v>54</v>
      </c>
      <c r="C8" s="157">
        <v>73</v>
      </c>
      <c r="D8" s="157">
        <v>60</v>
      </c>
      <c r="E8" s="157">
        <v>59</v>
      </c>
      <c r="F8" s="157">
        <v>54</v>
      </c>
      <c r="G8" s="157">
        <v>68</v>
      </c>
      <c r="H8" s="157">
        <v>69</v>
      </c>
    </row>
    <row r="9" spans="1:8">
      <c r="A9" s="157" t="s">
        <v>177</v>
      </c>
      <c r="B9" s="157">
        <v>54</v>
      </c>
      <c r="C9" s="157">
        <v>74</v>
      </c>
      <c r="D9" s="157">
        <v>57</v>
      </c>
      <c r="E9" s="157">
        <v>58</v>
      </c>
      <c r="F9" s="157">
        <v>59</v>
      </c>
      <c r="G9" s="157">
        <v>68</v>
      </c>
    </row>
    <row r="10" spans="1:8">
      <c r="A10" s="157" t="s">
        <v>178</v>
      </c>
      <c r="B10" s="157">
        <v>53</v>
      </c>
      <c r="C10" s="157">
        <v>72</v>
      </c>
      <c r="D10" s="157">
        <v>56</v>
      </c>
      <c r="E10" s="157">
        <v>57</v>
      </c>
      <c r="F10" s="157">
        <v>59</v>
      </c>
      <c r="G10" s="157">
        <v>68</v>
      </c>
    </row>
    <row r="11" spans="1:8">
      <c r="A11" s="157" t="s">
        <v>179</v>
      </c>
      <c r="B11" s="157">
        <v>55</v>
      </c>
      <c r="C11" s="157">
        <v>69</v>
      </c>
      <c r="D11" s="157">
        <v>56</v>
      </c>
      <c r="E11" s="157">
        <v>57</v>
      </c>
      <c r="F11" s="157">
        <v>58</v>
      </c>
      <c r="G11" s="157">
        <v>67</v>
      </c>
    </row>
    <row r="12" spans="1:8">
      <c r="A12" s="157" t="s">
        <v>180</v>
      </c>
      <c r="B12" s="157">
        <v>55</v>
      </c>
      <c r="C12" s="157">
        <v>66</v>
      </c>
      <c r="D12" s="157">
        <v>57</v>
      </c>
      <c r="E12" s="157">
        <v>57</v>
      </c>
      <c r="F12" s="157">
        <v>53</v>
      </c>
      <c r="G12" s="157">
        <v>65</v>
      </c>
    </row>
    <row r="13" spans="1:8">
      <c r="A13" s="157" t="s">
        <v>181</v>
      </c>
      <c r="B13" s="157">
        <v>55</v>
      </c>
      <c r="C13" s="157">
        <v>65</v>
      </c>
      <c r="D13" s="157">
        <v>57</v>
      </c>
      <c r="E13" s="157">
        <v>56</v>
      </c>
      <c r="F13" s="157">
        <v>52</v>
      </c>
      <c r="G13" s="157">
        <v>65</v>
      </c>
    </row>
    <row r="14" spans="1:8">
      <c r="A14" s="157" t="s">
        <v>182</v>
      </c>
      <c r="B14" s="157">
        <v>54</v>
      </c>
      <c r="C14" s="157">
        <v>63</v>
      </c>
      <c r="D14" s="157">
        <v>58</v>
      </c>
      <c r="E14" s="157">
        <v>55</v>
      </c>
      <c r="F14" s="157">
        <v>52</v>
      </c>
      <c r="G14" s="157">
        <v>64</v>
      </c>
    </row>
    <row r="15" spans="1:8">
      <c r="A15" s="157" t="s">
        <v>183</v>
      </c>
      <c r="B15" s="157">
        <v>54</v>
      </c>
      <c r="C15" s="157">
        <v>63</v>
      </c>
      <c r="D15" s="157">
        <v>58</v>
      </c>
      <c r="E15" s="157">
        <v>55</v>
      </c>
      <c r="F15" s="157">
        <v>50</v>
      </c>
      <c r="G15" s="157">
        <v>64</v>
      </c>
    </row>
    <row r="16" spans="1:8">
      <c r="A16" s="157" t="s">
        <v>184</v>
      </c>
      <c r="B16" s="157">
        <v>55</v>
      </c>
      <c r="C16" s="157">
        <v>64</v>
      </c>
      <c r="D16" s="157">
        <v>58</v>
      </c>
      <c r="E16" s="157">
        <v>55</v>
      </c>
      <c r="F16" s="157">
        <v>52</v>
      </c>
      <c r="G16" s="157">
        <v>64</v>
      </c>
    </row>
    <row r="17" spans="1:7">
      <c r="A17" s="157" t="s">
        <v>185</v>
      </c>
      <c r="B17" s="157">
        <v>53</v>
      </c>
      <c r="C17" s="157">
        <v>64</v>
      </c>
      <c r="D17" s="157">
        <v>59</v>
      </c>
      <c r="E17" s="157">
        <v>57</v>
      </c>
      <c r="F17" s="157">
        <v>51</v>
      </c>
      <c r="G17" s="157">
        <v>63</v>
      </c>
    </row>
    <row r="18" spans="1:7">
      <c r="F18" s="176"/>
    </row>
    <row r="19" spans="1:7">
      <c r="F19" s="176"/>
    </row>
    <row r="20" spans="1:7">
      <c r="F20" s="176"/>
    </row>
    <row r="21" spans="1:7">
      <c r="F21" s="176"/>
    </row>
    <row r="22" spans="1:7">
      <c r="F22" s="176"/>
    </row>
    <row r="23" spans="1:7">
      <c r="F23" s="176"/>
    </row>
    <row r="24" spans="1:7">
      <c r="F24" s="176"/>
    </row>
    <row r="25" spans="1:7">
      <c r="F25" s="176"/>
    </row>
    <row r="26" spans="1:7">
      <c r="F26" s="176"/>
    </row>
    <row r="27" spans="1:7">
      <c r="F27" s="176"/>
    </row>
    <row r="28" spans="1:7">
      <c r="F28" s="176"/>
    </row>
    <row r="29" spans="1:7">
      <c r="F29" s="176"/>
    </row>
    <row r="30" spans="1:7">
      <c r="F30" s="176"/>
    </row>
    <row r="31" spans="1:7">
      <c r="F31" s="176"/>
    </row>
    <row r="32" spans="1:7">
      <c r="F32" s="176"/>
    </row>
    <row r="33" spans="6:6">
      <c r="F33" s="176"/>
    </row>
    <row r="34" spans="6:6">
      <c r="F34" s="176"/>
    </row>
    <row r="35" spans="6:6">
      <c r="F35" s="176"/>
    </row>
    <row r="36" spans="6:6">
      <c r="F36" s="176"/>
    </row>
    <row r="37" spans="6:6">
      <c r="F37" s="176"/>
    </row>
    <row r="38" spans="6:6">
      <c r="F38" s="176"/>
    </row>
    <row r="39" spans="6:6">
      <c r="F39" s="176"/>
    </row>
    <row r="40" spans="6:6">
      <c r="F40" s="176"/>
    </row>
    <row r="41" spans="6:6">
      <c r="F41" s="176"/>
    </row>
    <row r="42" spans="6:6">
      <c r="F42" s="176"/>
    </row>
    <row r="43" spans="6:6">
      <c r="F43" s="176"/>
    </row>
    <row r="44" spans="6:6">
      <c r="F44" s="176"/>
    </row>
    <row r="45" spans="6:6">
      <c r="F45" s="176"/>
    </row>
    <row r="46" spans="6:6">
      <c r="F46" s="176"/>
    </row>
    <row r="47" spans="6:6">
      <c r="F47" s="176"/>
    </row>
    <row r="48" spans="6:6">
      <c r="F48" s="176"/>
    </row>
    <row r="49" spans="6:6">
      <c r="F49" s="176"/>
    </row>
    <row r="50" spans="6:6">
      <c r="F50" s="176"/>
    </row>
    <row r="51" spans="6:6">
      <c r="F51" s="176"/>
    </row>
    <row r="52" spans="6:6">
      <c r="F52" s="176"/>
    </row>
    <row r="53" spans="6:6">
      <c r="F53" s="176"/>
    </row>
    <row r="54" spans="6:6">
      <c r="F54" s="176"/>
    </row>
    <row r="55" spans="6:6">
      <c r="F55" s="176"/>
    </row>
    <row r="56" spans="6:6">
      <c r="F56" s="176"/>
    </row>
    <row r="57" spans="6:6">
      <c r="F57" s="176"/>
    </row>
    <row r="58" spans="6:6">
      <c r="F58" s="176"/>
    </row>
    <row r="59" spans="6:6">
      <c r="F59" s="176"/>
    </row>
    <row r="60" spans="6:6">
      <c r="F60" s="176"/>
    </row>
    <row r="61" spans="6:6">
      <c r="F61" s="176"/>
    </row>
    <row r="62" spans="6:6">
      <c r="F62" s="176"/>
    </row>
    <row r="63" spans="6:6">
      <c r="F63" s="176"/>
    </row>
    <row r="64" spans="6:6">
      <c r="F64" s="176"/>
    </row>
    <row r="65" spans="6:6">
      <c r="F65" s="176"/>
    </row>
    <row r="66" spans="6:6">
      <c r="F66" s="176"/>
    </row>
    <row r="67" spans="6:6">
      <c r="F67" s="176"/>
    </row>
    <row r="68" spans="6:6">
      <c r="F68" s="176"/>
    </row>
    <row r="69" spans="6:6">
      <c r="F69" s="176"/>
    </row>
    <row r="70" spans="6:6">
      <c r="F70" s="176"/>
    </row>
    <row r="71" spans="6:6">
      <c r="F71" s="176"/>
    </row>
    <row r="72" spans="6:6">
      <c r="F72" s="176"/>
    </row>
    <row r="73" spans="6:6">
      <c r="F73" s="176"/>
    </row>
    <row r="74" spans="6:6">
      <c r="F74" s="176"/>
    </row>
    <row r="75" spans="6:6">
      <c r="F75" s="176"/>
    </row>
    <row r="76" spans="6:6">
      <c r="F76" s="176"/>
    </row>
    <row r="77" spans="6:6">
      <c r="F77" s="176"/>
    </row>
    <row r="78" spans="6:6">
      <c r="F78" s="176"/>
    </row>
    <row r="79" spans="6:6">
      <c r="F79" s="176"/>
    </row>
    <row r="80" spans="6:6">
      <c r="F80" s="176"/>
    </row>
    <row r="81" spans="6:6">
      <c r="F81" s="176"/>
    </row>
    <row r="82" spans="6:6">
      <c r="F82" s="176"/>
    </row>
    <row r="83" spans="6:6">
      <c r="F83" s="176"/>
    </row>
    <row r="84" spans="6:6">
      <c r="F84" s="176"/>
    </row>
    <row r="85" spans="6:6">
      <c r="F85" s="176"/>
    </row>
    <row r="86" spans="6:6">
      <c r="F86" s="176"/>
    </row>
    <row r="87" spans="6:6">
      <c r="F87" s="176"/>
    </row>
    <row r="88" spans="6:6">
      <c r="F88" s="176"/>
    </row>
    <row r="89" spans="6:6">
      <c r="F89" s="176"/>
    </row>
    <row r="90" spans="6:6">
      <c r="F90" s="176"/>
    </row>
    <row r="91" spans="6:6">
      <c r="F91" s="176"/>
    </row>
    <row r="92" spans="6:6">
      <c r="F92" s="176"/>
    </row>
    <row r="93" spans="6:6">
      <c r="F93" s="176"/>
    </row>
    <row r="94" spans="6:6">
      <c r="F94" s="176"/>
    </row>
    <row r="95" spans="6:6">
      <c r="F95" s="176"/>
    </row>
    <row r="96" spans="6:6">
      <c r="F96" s="176"/>
    </row>
    <row r="97" spans="6:6">
      <c r="F97" s="176"/>
    </row>
    <row r="98" spans="6:6">
      <c r="F98" s="176"/>
    </row>
    <row r="99" spans="6:6">
      <c r="F99" s="176"/>
    </row>
    <row r="100" spans="6:6">
      <c r="F100" s="176"/>
    </row>
    <row r="101" spans="6:6">
      <c r="F101" s="176"/>
    </row>
    <row r="102" spans="6:6">
      <c r="F102" s="176"/>
    </row>
    <row r="103" spans="6:6">
      <c r="F103" s="176"/>
    </row>
    <row r="104" spans="6:6">
      <c r="F104" s="176"/>
    </row>
    <row r="105" spans="6:6">
      <c r="F105" s="176"/>
    </row>
    <row r="106" spans="6:6">
      <c r="F106" s="176"/>
    </row>
    <row r="107" spans="6:6">
      <c r="F107" s="176"/>
    </row>
    <row r="108" spans="6:6">
      <c r="F108" s="176"/>
    </row>
    <row r="109" spans="6:6">
      <c r="F109" s="176"/>
    </row>
    <row r="110" spans="6:6">
      <c r="F110" s="176"/>
    </row>
    <row r="111" spans="6:6">
      <c r="F111" s="176"/>
    </row>
    <row r="112" spans="6:6">
      <c r="F112" s="176"/>
    </row>
  </sheetData>
  <phoneticPr fontId="6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A9FCD-5F72-4EB1-8227-994F02A7ED1B}">
  <sheetPr codeName="Sheet11"/>
  <dimension ref="A1:E19"/>
  <sheetViews>
    <sheetView workbookViewId="0"/>
  </sheetViews>
  <sheetFormatPr defaultRowHeight="12.75"/>
  <cols>
    <col min="1" max="1" width="14.7109375" bestFit="1" customWidth="1"/>
    <col min="2" max="2" width="20.42578125" bestFit="1" customWidth="1"/>
    <col min="3" max="3" width="17.28515625" bestFit="1" customWidth="1"/>
    <col min="4" max="4" width="16.7109375" bestFit="1" customWidth="1"/>
    <col min="5" max="5" width="18.42578125" bestFit="1" customWidth="1"/>
  </cols>
  <sheetData>
    <row r="1" spans="1:5">
      <c r="A1" s="158" t="s">
        <v>154</v>
      </c>
      <c r="B1" s="158" t="s">
        <v>187</v>
      </c>
      <c r="C1" s="158" t="s">
        <v>188</v>
      </c>
      <c r="D1" s="158" t="s">
        <v>189</v>
      </c>
      <c r="E1" s="158" t="s">
        <v>190</v>
      </c>
    </row>
    <row r="2" spans="1:5">
      <c r="A2" s="186" t="s">
        <v>115</v>
      </c>
      <c r="B2" s="186">
        <v>9704436</v>
      </c>
      <c r="C2" s="186">
        <v>1972113</v>
      </c>
      <c r="D2" s="186">
        <v>12140568.199999999</v>
      </c>
      <c r="E2" s="186">
        <f>D2-C2-B2</f>
        <v>464019.19999999925</v>
      </c>
    </row>
    <row r="3" spans="1:5">
      <c r="A3" s="186" t="s">
        <v>116</v>
      </c>
      <c r="B3" s="186">
        <v>10108960</v>
      </c>
      <c r="C3" s="186">
        <v>1666148</v>
      </c>
      <c r="D3" s="186">
        <v>12549122.4</v>
      </c>
      <c r="E3" s="186">
        <f t="shared" ref="E3:E9" si="0">D3-C3-B3</f>
        <v>774014.40000000037</v>
      </c>
    </row>
    <row r="4" spans="1:5">
      <c r="A4" s="186" t="s">
        <v>117</v>
      </c>
      <c r="B4" s="186">
        <v>9950640</v>
      </c>
      <c r="C4" s="186">
        <v>1861594</v>
      </c>
      <c r="D4" s="186">
        <v>12406016.1</v>
      </c>
      <c r="E4" s="186">
        <f t="shared" si="0"/>
        <v>593782.09999999963</v>
      </c>
    </row>
    <row r="5" spans="1:5">
      <c r="A5" s="186" t="s">
        <v>118</v>
      </c>
      <c r="B5" s="186">
        <v>10151687</v>
      </c>
      <c r="C5" s="186">
        <v>1536503</v>
      </c>
      <c r="D5" s="186">
        <v>12302683.300000001</v>
      </c>
      <c r="E5" s="186">
        <f t="shared" si="0"/>
        <v>614493.30000000075</v>
      </c>
    </row>
    <row r="6" spans="1:5">
      <c r="A6" s="186" t="s">
        <v>119</v>
      </c>
      <c r="B6" s="186">
        <v>10656816</v>
      </c>
      <c r="C6" s="186">
        <v>1881612</v>
      </c>
      <c r="D6" s="186">
        <v>13196036.9</v>
      </c>
      <c r="E6" s="186">
        <f t="shared" si="0"/>
        <v>657608.90000000037</v>
      </c>
    </row>
    <row r="7" spans="1:5">
      <c r="A7" s="186" t="s">
        <v>35</v>
      </c>
      <c r="B7" s="186">
        <v>11505001</v>
      </c>
      <c r="C7" s="186">
        <v>2230905</v>
      </c>
      <c r="D7" s="186">
        <v>14564243.9</v>
      </c>
      <c r="E7" s="186">
        <f t="shared" si="0"/>
        <v>828337.90000000037</v>
      </c>
    </row>
    <row r="8" spans="1:5">
      <c r="A8" s="186" t="s">
        <v>156</v>
      </c>
      <c r="B8" s="186">
        <v>12691272</v>
      </c>
      <c r="C8" s="186">
        <v>2834118</v>
      </c>
      <c r="D8" s="215">
        <v>16238606.9</v>
      </c>
      <c r="E8" s="186">
        <f t="shared" si="0"/>
        <v>713216.90000000037</v>
      </c>
    </row>
    <row r="9" spans="1:5">
      <c r="A9" s="186" t="s">
        <v>155</v>
      </c>
      <c r="B9" s="186"/>
      <c r="C9" s="186"/>
      <c r="D9" s="215">
        <v>16964354.699999999</v>
      </c>
      <c r="E9" s="186">
        <f t="shared" si="0"/>
        <v>16964354.699999999</v>
      </c>
    </row>
    <row r="12" spans="1:5">
      <c r="D12" s="203"/>
    </row>
    <row r="13" spans="1:5">
      <c r="D13" s="203"/>
    </row>
    <row r="14" spans="1:5">
      <c r="D14" s="203"/>
    </row>
    <row r="15" spans="1:5">
      <c r="D15" s="203"/>
    </row>
    <row r="16" spans="1:5">
      <c r="D16" s="203"/>
    </row>
    <row r="17" spans="4:4">
      <c r="D17" s="203"/>
    </row>
    <row r="18" spans="4:4">
      <c r="D18" s="203"/>
    </row>
    <row r="19" spans="4:4">
      <c r="D19" s="20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0E420-1F8A-4654-9AC8-DCC141212A90}">
  <dimension ref="A1:H88"/>
  <sheetViews>
    <sheetView zoomScale="90" zoomScaleNormal="90" workbookViewId="0"/>
  </sheetViews>
  <sheetFormatPr defaultColWidth="9.140625" defaultRowHeight="14.25"/>
  <cols>
    <col min="1" max="1" width="15.42578125" style="157" customWidth="1"/>
    <col min="2" max="2" width="12.140625" style="157" bestFit="1" customWidth="1"/>
    <col min="3" max="3" width="10.42578125" style="157" customWidth="1"/>
    <col min="4" max="4" width="7.85546875" style="157" customWidth="1"/>
    <col min="5" max="5" width="9.28515625" style="157" bestFit="1" customWidth="1"/>
    <col min="6" max="8" width="7.85546875" style="157" customWidth="1"/>
    <col min="9" max="16384" width="9.140625" style="157"/>
  </cols>
  <sheetData>
    <row r="1" spans="1:8" ht="34.5" customHeight="1">
      <c r="A1" s="194" t="s">
        <v>154</v>
      </c>
      <c r="B1" s="156" t="s">
        <v>27</v>
      </c>
      <c r="C1" s="156" t="s">
        <v>15</v>
      </c>
      <c r="D1" s="193"/>
      <c r="E1" s="193"/>
      <c r="F1" s="193"/>
      <c r="G1" s="193"/>
      <c r="H1" s="193"/>
    </row>
    <row r="2" spans="1:8">
      <c r="A2" s="189" t="s">
        <v>110</v>
      </c>
      <c r="B2" s="192">
        <v>4173.17</v>
      </c>
      <c r="C2" s="195">
        <v>4001.12</v>
      </c>
      <c r="D2" s="191"/>
    </row>
    <row r="3" spans="1:8">
      <c r="A3" s="189" t="s">
        <v>111</v>
      </c>
      <c r="B3" s="192">
        <v>5188.665</v>
      </c>
      <c r="C3" s="195">
        <v>3923.38</v>
      </c>
      <c r="D3" s="191"/>
    </row>
    <row r="4" spans="1:8">
      <c r="A4" s="189" t="s">
        <v>112</v>
      </c>
      <c r="B4" s="192">
        <v>6001.357</v>
      </c>
      <c r="C4" s="195">
        <v>3844.81</v>
      </c>
      <c r="D4" s="191"/>
    </row>
    <row r="5" spans="1:8">
      <c r="A5" s="189" t="s">
        <v>113</v>
      </c>
      <c r="B5" s="192">
        <v>5581.57</v>
      </c>
      <c r="C5" s="195">
        <v>3633.83</v>
      </c>
      <c r="D5" s="191"/>
    </row>
    <row r="6" spans="1:8">
      <c r="A6" s="189" t="s">
        <v>114</v>
      </c>
      <c r="B6" s="192">
        <v>7115.41</v>
      </c>
      <c r="C6" s="195">
        <v>4007.33</v>
      </c>
      <c r="D6" s="191"/>
    </row>
    <row r="7" spans="1:8">
      <c r="A7" s="189" t="s">
        <v>115</v>
      </c>
      <c r="B7" s="192">
        <v>5491.57</v>
      </c>
      <c r="C7" s="195">
        <v>4012.55</v>
      </c>
      <c r="D7" s="191"/>
    </row>
    <row r="8" spans="1:8">
      <c r="A8" s="189" t="s">
        <v>116</v>
      </c>
      <c r="B8" s="192">
        <v>5464.84</v>
      </c>
      <c r="C8" s="195">
        <v>3941.75</v>
      </c>
      <c r="D8" s="191"/>
    </row>
    <row r="9" spans="1:8">
      <c r="A9" s="189" t="s">
        <v>117</v>
      </c>
      <c r="B9" s="192">
        <v>6162.75</v>
      </c>
      <c r="C9" s="195">
        <v>3824.94</v>
      </c>
      <c r="D9" s="191"/>
    </row>
    <row r="10" spans="1:8">
      <c r="A10" s="189" t="s">
        <v>118</v>
      </c>
      <c r="B10" s="192">
        <v>6359.19</v>
      </c>
      <c r="C10" s="195">
        <v>4134.71</v>
      </c>
      <c r="D10" s="191"/>
    </row>
    <row r="11" spans="1:8">
      <c r="A11" s="189" t="s">
        <v>119</v>
      </c>
      <c r="B11" s="192">
        <v>5541.7719999999999</v>
      </c>
      <c r="C11" s="195">
        <v>4011.71</v>
      </c>
      <c r="D11" s="191"/>
    </row>
    <row r="12" spans="1:8">
      <c r="A12" s="189" t="s">
        <v>35</v>
      </c>
      <c r="B12" s="190">
        <v>5877.56</v>
      </c>
      <c r="C12" s="195">
        <v>3774.93</v>
      </c>
      <c r="D12" s="191"/>
    </row>
    <row r="13" spans="1:8">
      <c r="A13" s="189" t="s">
        <v>54</v>
      </c>
      <c r="B13" s="188">
        <v>6448.02</v>
      </c>
      <c r="C13" s="195">
        <v>3667.82</v>
      </c>
      <c r="D13" s="191"/>
    </row>
    <row r="14" spans="1:8">
      <c r="A14" s="189" t="s">
        <v>196</v>
      </c>
      <c r="B14" s="188">
        <v>7400</v>
      </c>
      <c r="C14" s="195">
        <v>4000</v>
      </c>
      <c r="D14" s="191"/>
    </row>
    <row r="15" spans="1:8">
      <c r="A15" s="189" t="s">
        <v>197</v>
      </c>
      <c r="B15" s="188">
        <v>7246</v>
      </c>
      <c r="C15" s="195">
        <v>3838</v>
      </c>
    </row>
    <row r="16" spans="1:8">
      <c r="A16" s="189"/>
      <c r="B16" s="188"/>
    </row>
    <row r="17" spans="1:2">
      <c r="A17" s="189"/>
      <c r="B17" s="188"/>
    </row>
    <row r="18" spans="1:2">
      <c r="A18" s="189"/>
      <c r="B18" s="188"/>
    </row>
    <row r="19" spans="1:2">
      <c r="A19" s="189"/>
      <c r="B19" s="188"/>
    </row>
    <row r="20" spans="1:2">
      <c r="A20" s="189"/>
      <c r="B20" s="188"/>
    </row>
    <row r="21" spans="1:2">
      <c r="A21" s="189"/>
      <c r="B21" s="188"/>
    </row>
    <row r="22" spans="1:2">
      <c r="A22" s="189"/>
      <c r="B22" s="188"/>
    </row>
    <row r="23" spans="1:2">
      <c r="A23" s="189"/>
      <c r="B23" s="188"/>
    </row>
    <row r="24" spans="1:2">
      <c r="A24" s="189"/>
      <c r="B24" s="188"/>
    </row>
    <row r="25" spans="1:2">
      <c r="A25" s="189"/>
      <c r="B25" s="188"/>
    </row>
    <row r="26" spans="1:2">
      <c r="A26" s="187"/>
      <c r="B26" s="187"/>
    </row>
    <row r="27" spans="1:2">
      <c r="A27" s="187"/>
      <c r="B27" s="187"/>
    </row>
    <row r="28" spans="1:2">
      <c r="A28" s="187"/>
      <c r="B28" s="187"/>
    </row>
    <row r="29" spans="1:2">
      <c r="A29" s="187"/>
      <c r="B29" s="187"/>
    </row>
    <row r="30" spans="1:2">
      <c r="A30" s="187"/>
      <c r="B30" s="187"/>
    </row>
    <row r="31" spans="1:2">
      <c r="A31" s="187"/>
      <c r="B31" s="187"/>
    </row>
    <row r="32" spans="1:2">
      <c r="A32" s="187"/>
      <c r="B32" s="187"/>
    </row>
    <row r="33" spans="1:2">
      <c r="A33" s="187"/>
      <c r="B33" s="187"/>
    </row>
    <row r="34" spans="1:2">
      <c r="A34" s="187"/>
      <c r="B34" s="187"/>
    </row>
    <row r="35" spans="1:2">
      <c r="A35" s="187"/>
      <c r="B35" s="187"/>
    </row>
    <row r="36" spans="1:2">
      <c r="A36" s="187"/>
      <c r="B36" s="187"/>
    </row>
    <row r="37" spans="1:2">
      <c r="A37" s="187"/>
      <c r="B37" s="187"/>
    </row>
    <row r="38" spans="1:2">
      <c r="A38" s="187"/>
      <c r="B38" s="187"/>
    </row>
    <row r="39" spans="1:2">
      <c r="A39" s="187"/>
      <c r="B39" s="187"/>
    </row>
    <row r="40" spans="1:2">
      <c r="A40" s="187"/>
      <c r="B40" s="187"/>
    </row>
    <row r="41" spans="1:2">
      <c r="A41" s="187"/>
      <c r="B41" s="187"/>
    </row>
    <row r="42" spans="1:2">
      <c r="A42" s="187"/>
      <c r="B42" s="187"/>
    </row>
    <row r="43" spans="1:2">
      <c r="A43" s="187"/>
      <c r="B43" s="187"/>
    </row>
    <row r="44" spans="1:2">
      <c r="A44" s="187"/>
      <c r="B44" s="187"/>
    </row>
    <row r="45" spans="1:2">
      <c r="A45" s="187"/>
      <c r="B45" s="187"/>
    </row>
    <row r="46" spans="1:2">
      <c r="A46" s="187"/>
      <c r="B46" s="187"/>
    </row>
    <row r="47" spans="1:2">
      <c r="A47" s="187"/>
      <c r="B47" s="187"/>
    </row>
    <row r="48" spans="1:2">
      <c r="A48" s="187"/>
      <c r="B48" s="187"/>
    </row>
    <row r="49" spans="1:2">
      <c r="A49" s="187"/>
      <c r="B49" s="187"/>
    </row>
    <row r="50" spans="1:2">
      <c r="A50" s="187"/>
      <c r="B50" s="187"/>
    </row>
    <row r="51" spans="1:2">
      <c r="A51" s="187"/>
      <c r="B51" s="187"/>
    </row>
    <row r="52" spans="1:2">
      <c r="A52" s="187"/>
      <c r="B52" s="187"/>
    </row>
    <row r="53" spans="1:2">
      <c r="A53" s="187"/>
      <c r="B53" s="187"/>
    </row>
    <row r="54" spans="1:2">
      <c r="A54" s="187"/>
      <c r="B54" s="187"/>
    </row>
    <row r="55" spans="1:2">
      <c r="A55" s="187"/>
      <c r="B55" s="187"/>
    </row>
    <row r="56" spans="1:2">
      <c r="A56" s="187"/>
      <c r="B56" s="187"/>
    </row>
    <row r="57" spans="1:2">
      <c r="A57" s="187"/>
      <c r="B57" s="187"/>
    </row>
    <row r="58" spans="1:2">
      <c r="A58" s="187"/>
      <c r="B58" s="187"/>
    </row>
    <row r="59" spans="1:2">
      <c r="A59" s="187"/>
      <c r="B59" s="187"/>
    </row>
    <row r="60" spans="1:2">
      <c r="A60" s="187"/>
      <c r="B60" s="187"/>
    </row>
    <row r="61" spans="1:2">
      <c r="A61" s="187"/>
      <c r="B61" s="187"/>
    </row>
    <row r="62" spans="1:2">
      <c r="A62" s="187"/>
      <c r="B62" s="187"/>
    </row>
    <row r="63" spans="1:2">
      <c r="A63" s="187"/>
      <c r="B63" s="187"/>
    </row>
    <row r="64" spans="1:2">
      <c r="A64" s="187"/>
      <c r="B64" s="187"/>
    </row>
    <row r="65" spans="1:2">
      <c r="A65" s="187"/>
      <c r="B65" s="187"/>
    </row>
    <row r="66" spans="1:2">
      <c r="A66" s="187"/>
      <c r="B66" s="187"/>
    </row>
    <row r="67" spans="1:2">
      <c r="A67" s="187"/>
      <c r="B67" s="187"/>
    </row>
    <row r="68" spans="1:2">
      <c r="A68" s="187"/>
      <c r="B68" s="187"/>
    </row>
    <row r="69" spans="1:2">
      <c r="A69" s="187"/>
      <c r="B69" s="187"/>
    </row>
    <row r="70" spans="1:2">
      <c r="A70" s="187"/>
      <c r="B70" s="187"/>
    </row>
    <row r="71" spans="1:2">
      <c r="A71" s="187"/>
      <c r="B71" s="187"/>
    </row>
    <row r="72" spans="1:2">
      <c r="A72" s="187"/>
      <c r="B72" s="187"/>
    </row>
    <row r="73" spans="1:2">
      <c r="A73" s="187"/>
      <c r="B73" s="187"/>
    </row>
    <row r="74" spans="1:2">
      <c r="A74" s="187"/>
      <c r="B74" s="187"/>
    </row>
    <row r="75" spans="1:2">
      <c r="A75" s="187"/>
      <c r="B75" s="187"/>
    </row>
    <row r="76" spans="1:2">
      <c r="A76" s="187"/>
      <c r="B76" s="187"/>
    </row>
    <row r="77" spans="1:2">
      <c r="A77" s="187"/>
      <c r="B77" s="187"/>
    </row>
    <row r="78" spans="1:2">
      <c r="A78" s="187"/>
      <c r="B78" s="187"/>
    </row>
    <row r="79" spans="1:2">
      <c r="A79" s="187"/>
      <c r="B79" s="187"/>
    </row>
    <row r="80" spans="1:2">
      <c r="A80" s="187"/>
      <c r="B80" s="187"/>
    </row>
    <row r="81" spans="1:2">
      <c r="A81" s="187"/>
      <c r="B81" s="187"/>
    </row>
    <row r="82" spans="1:2">
      <c r="A82" s="187"/>
      <c r="B82" s="187"/>
    </row>
    <row r="83" spans="1:2">
      <c r="A83" s="187"/>
      <c r="B83" s="187"/>
    </row>
    <row r="84" spans="1:2">
      <c r="A84" s="187"/>
      <c r="B84" s="187"/>
    </row>
    <row r="85" spans="1:2">
      <c r="A85" s="187"/>
      <c r="B85" s="187"/>
    </row>
    <row r="86" spans="1:2">
      <c r="A86" s="187"/>
      <c r="B86" s="187"/>
    </row>
    <row r="87" spans="1:2">
      <c r="A87" s="187"/>
      <c r="B87" s="187"/>
    </row>
    <row r="88" spans="1:2">
      <c r="A88" s="187"/>
      <c r="B88" s="18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00E34-4A1D-400F-9448-C926B8EA8971}">
  <sheetPr codeName="Sheet12"/>
  <dimension ref="A1:E16"/>
  <sheetViews>
    <sheetView workbookViewId="0"/>
  </sheetViews>
  <sheetFormatPr defaultRowHeight="12.75"/>
  <cols>
    <col min="1" max="1" width="13.7109375" customWidth="1"/>
    <col min="3" max="3" width="12.5703125" customWidth="1"/>
    <col min="4" max="4" width="12.140625" customWidth="1"/>
  </cols>
  <sheetData>
    <row r="1" spans="1:5">
      <c r="A1" s="80" t="s">
        <v>195</v>
      </c>
      <c r="B1" s="80" t="s">
        <v>191</v>
      </c>
      <c r="C1" s="80" t="s">
        <v>192</v>
      </c>
      <c r="D1" s="80" t="s">
        <v>193</v>
      </c>
      <c r="E1" s="80" t="s">
        <v>194</v>
      </c>
    </row>
    <row r="2" spans="1:5">
      <c r="A2" s="80" t="s">
        <v>107</v>
      </c>
      <c r="B2" s="186">
        <v>249.43937499999996</v>
      </c>
      <c r="C2" s="186">
        <v>384.56016597510376</v>
      </c>
      <c r="D2" s="186">
        <v>385.08870967741933</v>
      </c>
      <c r="E2" s="186">
        <v>413.47154471544718</v>
      </c>
    </row>
    <row r="3" spans="1:5">
      <c r="A3" s="80" t="s">
        <v>108</v>
      </c>
      <c r="B3" s="186">
        <v>296.82088461538456</v>
      </c>
      <c r="C3" s="186">
        <v>440.11693548387098</v>
      </c>
      <c r="D3" s="186">
        <v>445.76400000000001</v>
      </c>
      <c r="E3" s="186">
        <v>464.024</v>
      </c>
    </row>
    <row r="4" spans="1:5">
      <c r="A4" s="80" t="s">
        <v>109</v>
      </c>
      <c r="B4" s="186">
        <v>356.74076628352498</v>
      </c>
      <c r="C4" s="186">
        <v>507.39463601532566</v>
      </c>
      <c r="D4" s="186">
        <v>489.0331417624522</v>
      </c>
      <c r="E4" s="186">
        <v>534.50134099616844</v>
      </c>
    </row>
    <row r="5" spans="1:5">
      <c r="A5" s="80" t="s">
        <v>110</v>
      </c>
      <c r="B5" s="186">
        <v>313.85513409961686</v>
      </c>
      <c r="C5" s="186">
        <v>506.62452107279694</v>
      </c>
      <c r="D5" s="186">
        <v>497.27546511627901</v>
      </c>
      <c r="E5" s="186">
        <v>544.40850574712613</v>
      </c>
    </row>
    <row r="6" spans="1:5">
      <c r="A6" s="80" t="s">
        <v>111</v>
      </c>
      <c r="B6" s="186">
        <v>269.62628352490418</v>
      </c>
      <c r="C6" s="186">
        <v>386.69731800766283</v>
      </c>
      <c r="D6" s="186">
        <v>370.41613026819942</v>
      </c>
      <c r="E6" s="186">
        <v>422.59926923076915</v>
      </c>
    </row>
    <row r="7" spans="1:5">
      <c r="A7" s="80" t="s">
        <v>112</v>
      </c>
      <c r="B7" s="186">
        <v>230.54175572519077</v>
      </c>
      <c r="C7" s="186">
        <v>348.05725190839695</v>
      </c>
      <c r="D7" s="186">
        <v>334.70698473282465</v>
      </c>
      <c r="E7" s="186">
        <v>369.13664122137419</v>
      </c>
    </row>
    <row r="8" spans="1:5">
      <c r="A8" s="80" t="s">
        <v>113</v>
      </c>
      <c r="B8" s="186">
        <v>223.30499999999995</v>
      </c>
      <c r="C8" s="186">
        <v>326.18532818532816</v>
      </c>
      <c r="D8" s="186">
        <v>321.32519230769236</v>
      </c>
      <c r="E8" s="186">
        <v>350.02330769230747</v>
      </c>
    </row>
    <row r="9" spans="1:5">
      <c r="A9" s="80" t="s">
        <v>114</v>
      </c>
      <c r="B9" s="186">
        <v>256.92603846153844</v>
      </c>
      <c r="C9" s="186">
        <v>372.44573643410854</v>
      </c>
      <c r="D9" s="186">
        <v>367.30038461538464</v>
      </c>
      <c r="E9" s="186">
        <v>391.51038461538491</v>
      </c>
    </row>
    <row r="10" spans="1:5">
      <c r="A10" s="80" t="s">
        <v>115</v>
      </c>
      <c r="B10" s="186">
        <v>245.74396153846143</v>
      </c>
      <c r="C10" s="186">
        <v>321.13899613899616</v>
      </c>
      <c r="D10" s="186">
        <v>322.87130268199223</v>
      </c>
      <c r="E10" s="186">
        <v>343.99701149425312</v>
      </c>
    </row>
    <row r="11" spans="1:5">
      <c r="A11" s="80" t="s">
        <v>116</v>
      </c>
      <c r="B11" s="186">
        <v>237.17610687022901</v>
      </c>
      <c r="C11" s="186">
        <v>331.32442748091603</v>
      </c>
      <c r="D11" s="186">
        <v>327.80824427480923</v>
      </c>
      <c r="E11" s="186">
        <v>345.31774809160311</v>
      </c>
    </row>
    <row r="12" spans="1:5">
      <c r="A12" s="80" t="s">
        <v>117</v>
      </c>
      <c r="B12" s="186">
        <v>312.13478927203113</v>
      </c>
      <c r="C12" s="186">
        <v>437.92720306513411</v>
      </c>
      <c r="D12" s="186">
        <v>446.19881226053627</v>
      </c>
      <c r="E12" s="186">
        <v>461.29444444444471</v>
      </c>
    </row>
    <row r="13" spans="1:5">
      <c r="A13" s="80" t="s">
        <v>118</v>
      </c>
      <c r="B13" s="186">
        <v>393.32938697318082</v>
      </c>
      <c r="C13" s="186">
        <v>470.17241379310343</v>
      </c>
      <c r="D13" s="186">
        <v>476.32241379310312</v>
      </c>
      <c r="E13" s="186">
        <v>510.86429118773918</v>
      </c>
    </row>
    <row r="14" spans="1:5">
      <c r="A14" s="80" t="s">
        <v>119</v>
      </c>
      <c r="B14" s="186">
        <v>345.4217692307692</v>
      </c>
      <c r="C14" s="186">
        <v>510.77906976744185</v>
      </c>
      <c r="D14" s="186">
        <v>497.59215384615408</v>
      </c>
      <c r="E14" s="186">
        <v>520.90865384615392</v>
      </c>
    </row>
    <row r="15" spans="1:5">
      <c r="A15" s="80" t="s">
        <v>35</v>
      </c>
      <c r="B15" s="186">
        <v>308.4333590733591</v>
      </c>
      <c r="C15" s="186">
        <v>424.72093023255815</v>
      </c>
      <c r="D15" s="186">
        <v>416.32057692307689</v>
      </c>
      <c r="E15" s="186">
        <v>442.87603846153854</v>
      </c>
    </row>
    <row r="16" spans="1:5">
      <c r="A16" s="80" t="s">
        <v>54</v>
      </c>
      <c r="B16" s="186">
        <v>292.63650000000001</v>
      </c>
      <c r="C16" s="186">
        <v>322.87272727272727</v>
      </c>
      <c r="D16" s="186">
        <v>323.93250000000006</v>
      </c>
      <c r="E16" s="186">
        <v>341.41731818181819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8"/>
  <sheetViews>
    <sheetView showGridLines="0" zoomScale="70" zoomScaleNormal="70" workbookViewId="0"/>
  </sheetViews>
  <sheetFormatPr defaultColWidth="9.28515625" defaultRowHeight="12.75"/>
  <cols>
    <col min="1" max="1" width="21.5703125" customWidth="1"/>
    <col min="2" max="2" width="14.28515625" customWidth="1"/>
    <col min="3" max="3" width="9.5703125" customWidth="1"/>
    <col min="4" max="4" width="26.5703125" customWidth="1"/>
    <col min="5" max="5" width="9.5703125" customWidth="1"/>
    <col min="6" max="6" width="12.42578125" customWidth="1"/>
    <col min="7" max="7" width="19.7109375" customWidth="1"/>
    <col min="8" max="8" width="18.7109375" customWidth="1"/>
    <col min="9" max="9" width="1.5703125" customWidth="1"/>
    <col min="10" max="10" width="14.5703125" customWidth="1"/>
    <col min="11" max="11" width="10.5703125" customWidth="1"/>
    <col min="12" max="12" width="17.28515625" customWidth="1"/>
    <col min="13" max="13" width="14.140625" customWidth="1"/>
    <col min="14" max="14" width="9.5703125" customWidth="1"/>
    <col min="15" max="15" width="11.85546875" bestFit="1" customWidth="1"/>
    <col min="17" max="17" width="15.42578125" bestFit="1" customWidth="1"/>
    <col min="18" max="18" width="13.42578125" bestFit="1" customWidth="1"/>
    <col min="22" max="22" width="12.28515625" customWidth="1"/>
    <col min="24" max="24" width="10.42578125" bestFit="1" customWidth="1"/>
  </cols>
  <sheetData>
    <row r="1" spans="1:23" ht="14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4.25">
      <c r="A2" s="15"/>
      <c r="B2" s="16" t="s">
        <v>14</v>
      </c>
      <c r="C2" s="170"/>
      <c r="D2" s="17" t="s">
        <v>15</v>
      </c>
      <c r="E2" s="18"/>
      <c r="F2" s="170" t="s">
        <v>16</v>
      </c>
      <c r="G2" s="170"/>
      <c r="H2" s="170"/>
      <c r="I2" s="15"/>
      <c r="J2" s="18"/>
      <c r="K2" s="170"/>
      <c r="L2" s="19" t="s">
        <v>17</v>
      </c>
      <c r="M2" s="170"/>
      <c r="N2" s="15"/>
    </row>
    <row r="3" spans="1:23" ht="14.25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4.25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25">
      <c r="A5" s="15"/>
      <c r="B5" s="109" t="s">
        <v>32</v>
      </c>
      <c r="C5" s="171"/>
      <c r="D5" s="27" t="s">
        <v>33</v>
      </c>
      <c r="G5" s="109"/>
      <c r="I5" s="109"/>
      <c r="J5" s="109" t="s">
        <v>34</v>
      </c>
      <c r="K5" s="109"/>
      <c r="L5" s="109"/>
      <c r="M5" s="109"/>
      <c r="N5" s="109"/>
      <c r="W5" s="26"/>
    </row>
    <row r="6" spans="1:23" s="123" customFormat="1" ht="16.5" customHeight="1">
      <c r="A6" s="118" t="s">
        <v>35</v>
      </c>
      <c r="B6" s="161">
        <v>83.6</v>
      </c>
      <c r="C6" s="161">
        <v>82.271000000000001</v>
      </c>
      <c r="D6" s="161">
        <f>F6/C6</f>
        <v>50.589600223651104</v>
      </c>
      <c r="E6" s="162">
        <v>264.18400000000003</v>
      </c>
      <c r="F6" s="163">
        <v>4162.0569999999998</v>
      </c>
      <c r="G6" s="164">
        <f>G27</f>
        <v>20.830913094265998</v>
      </c>
      <c r="H6" s="164">
        <f>SUM(E6:G6)</f>
        <v>4447.0719130942662</v>
      </c>
      <c r="I6" s="118"/>
      <c r="J6" s="163">
        <f>J27</f>
        <v>2285.303146537427</v>
      </c>
      <c r="K6" s="163">
        <f>M6-L6-J6</f>
        <v>119.36164142305915</v>
      </c>
      <c r="L6" s="164">
        <f>L27</f>
        <v>1699.97412513378</v>
      </c>
      <c r="M6" s="164">
        <f>H6-N6</f>
        <v>4104.6389130942662</v>
      </c>
      <c r="N6" s="164">
        <f>N26</f>
        <v>342.43299999999999</v>
      </c>
    </row>
    <row r="7" spans="1:23" ht="16.5" customHeight="1">
      <c r="A7" s="15" t="s">
        <v>36</v>
      </c>
      <c r="B7" s="199">
        <v>87.05</v>
      </c>
      <c r="C7" s="199">
        <v>86.05</v>
      </c>
      <c r="D7" s="199">
        <f>F7/C7</f>
        <v>50.743660662405581</v>
      </c>
      <c r="E7" s="200">
        <f>N6</f>
        <v>342.43299999999999</v>
      </c>
      <c r="F7" s="201">
        <v>4366.4920000000002</v>
      </c>
      <c r="G7" s="112">
        <v>25</v>
      </c>
      <c r="H7" s="112">
        <f>SUM(E7:G7)</f>
        <v>4733.9250000000002</v>
      </c>
      <c r="I7" s="15"/>
      <c r="J7" s="201">
        <v>2430</v>
      </c>
      <c r="K7" s="202">
        <v>99</v>
      </c>
      <c r="L7" s="112">
        <v>1875</v>
      </c>
      <c r="M7" s="112">
        <f>SUM(J7:L7)</f>
        <v>4404</v>
      </c>
      <c r="N7" s="112">
        <f>H7-M7</f>
        <v>329.92500000000018</v>
      </c>
      <c r="P7" s="203"/>
    </row>
    <row r="8" spans="1:23" ht="16.5" customHeight="1">
      <c r="A8" s="15" t="s">
        <v>37</v>
      </c>
      <c r="B8" s="199">
        <v>80.924999999999997</v>
      </c>
      <c r="C8" s="199">
        <v>80.103999999999999</v>
      </c>
      <c r="D8" s="199">
        <f>F8/C8</f>
        <v>53.582917207630082</v>
      </c>
      <c r="E8" s="200">
        <f>N7</f>
        <v>329.92500000000018</v>
      </c>
      <c r="F8" s="201">
        <v>4292.2060000000001</v>
      </c>
      <c r="G8" s="112">
        <v>20</v>
      </c>
      <c r="H8" s="112">
        <f>SUM(E8:G8)</f>
        <v>4642.1310000000003</v>
      </c>
      <c r="I8" s="15"/>
      <c r="J8" s="201">
        <v>2540</v>
      </c>
      <c r="K8" s="202">
        <v>107.46</v>
      </c>
      <c r="L8" s="112">
        <v>1705</v>
      </c>
      <c r="M8" s="112">
        <f>SUM(J8:L8)</f>
        <v>4352.46</v>
      </c>
      <c r="N8" s="112">
        <f>H8-M8</f>
        <v>289.67100000000028</v>
      </c>
      <c r="P8" s="203"/>
      <c r="Q8" s="203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35</v>
      </c>
      <c r="B10" s="80"/>
      <c r="C10" s="80"/>
      <c r="D10" s="80"/>
      <c r="E10" s="32"/>
      <c r="F10" s="32"/>
      <c r="G10" s="6"/>
      <c r="H10" s="13"/>
      <c r="I10" s="80"/>
      <c r="J10" s="13"/>
      <c r="K10" s="31"/>
      <c r="L10" s="6"/>
      <c r="M10" s="6"/>
      <c r="N10" s="13"/>
      <c r="R10" s="110"/>
      <c r="S10" s="111"/>
    </row>
    <row r="11" spans="1:23" ht="16.5" customHeight="1">
      <c r="A11" s="15" t="s">
        <v>38</v>
      </c>
      <c r="B11" s="80"/>
      <c r="C11" s="80"/>
      <c r="D11" s="80"/>
      <c r="E11" s="32"/>
      <c r="F11" s="32"/>
      <c r="G11" s="102">
        <f>(37479.5*36.74371)/1000000</f>
        <v>1.3771358789450001</v>
      </c>
      <c r="H11" s="13"/>
      <c r="I11" s="80"/>
      <c r="J11" s="6">
        <f>((5242931*0.907184741)*36.74371)/1000000</f>
        <v>174.76436512731999</v>
      </c>
      <c r="K11" s="31"/>
      <c r="L11" s="102">
        <f>(2498517*36.74371)/1000000</f>
        <v>91.80478407807</v>
      </c>
      <c r="M11" s="6"/>
      <c r="N11" s="13"/>
      <c r="Q11" s="83"/>
      <c r="R11" s="110"/>
      <c r="S11" s="111"/>
    </row>
    <row r="12" spans="1:23" ht="16.5" customHeight="1">
      <c r="A12" s="15" t="s">
        <v>39</v>
      </c>
      <c r="B12" s="80"/>
      <c r="C12" s="80"/>
      <c r="D12" s="80"/>
      <c r="E12" s="32"/>
      <c r="F12" s="32"/>
      <c r="G12" s="102">
        <f>(19292.3*36.74371)/1000000</f>
        <v>0.70887067643300006</v>
      </c>
      <c r="H12" s="13"/>
      <c r="I12" s="80"/>
      <c r="J12" s="6">
        <f>((6041685*0.907184741)*36.74371)/1000000</f>
        <v>201.38949822613577</v>
      </c>
      <c r="K12" s="31"/>
      <c r="L12" s="102">
        <f>(9421880*36.74371)/1000000</f>
        <v>346.19482637480002</v>
      </c>
      <c r="M12" s="6"/>
      <c r="N12" s="13"/>
      <c r="Q12" s="83"/>
      <c r="R12" s="110"/>
      <c r="S12" s="111"/>
    </row>
    <row r="13" spans="1:23" ht="16.5" customHeight="1">
      <c r="A13" s="15" t="s">
        <v>40</v>
      </c>
      <c r="B13" s="80"/>
      <c r="C13" s="80"/>
      <c r="D13" s="80"/>
      <c r="E13" s="32"/>
      <c r="F13" s="32"/>
      <c r="G13" s="102">
        <f>(46710.4*36.74371)/1000000</f>
        <v>1.7163133915840001</v>
      </c>
      <c r="H13" s="13"/>
      <c r="I13" s="80"/>
      <c r="J13" s="6">
        <f>((6002708*0.907184741)*36.74371)/1000000</f>
        <v>200.09026490424628</v>
      </c>
      <c r="K13" s="31"/>
      <c r="L13" s="102">
        <f>(7467116.3*36.74371)/1000000</f>
        <v>274.36955586347301</v>
      </c>
      <c r="M13" s="6"/>
      <c r="N13" s="103"/>
      <c r="Q13" s="83"/>
      <c r="R13" s="110"/>
      <c r="S13" s="111"/>
    </row>
    <row r="14" spans="1:23" ht="16.5" customHeight="1">
      <c r="A14" s="15" t="s">
        <v>41</v>
      </c>
      <c r="B14" s="80"/>
      <c r="C14" s="80"/>
      <c r="D14" s="80"/>
      <c r="E14" s="32">
        <v>264.18400000000003</v>
      </c>
      <c r="F14" s="59">
        <v>4162.0569999999998</v>
      </c>
      <c r="G14" s="102">
        <f>SUM(G11:G13)</f>
        <v>3.8023199469620002</v>
      </c>
      <c r="H14" s="13">
        <f>SUM(E14:G14)</f>
        <v>4430.0433199469617</v>
      </c>
      <c r="I14" s="80"/>
      <c r="J14" s="6">
        <f>SUM(J11:J13)</f>
        <v>576.24412825770207</v>
      </c>
      <c r="K14" s="31">
        <f>M14-L14-J14</f>
        <v>140.71102537291654</v>
      </c>
      <c r="L14" s="102">
        <f>SUM(L11:L13)</f>
        <v>712.36916631634301</v>
      </c>
      <c r="M14" s="6">
        <f>H14-N14</f>
        <v>1429.3243199469616</v>
      </c>
      <c r="N14" s="104">
        <v>3000.7190000000001</v>
      </c>
      <c r="R14" s="110"/>
      <c r="S14" s="111"/>
    </row>
    <row r="15" spans="1:23" ht="16.5" customHeight="1">
      <c r="A15" s="15" t="s">
        <v>42</v>
      </c>
      <c r="B15" s="80"/>
      <c r="C15" s="80"/>
      <c r="D15" s="80"/>
      <c r="E15" s="32"/>
      <c r="F15" s="32"/>
      <c r="G15" s="102">
        <f>(18636.8*36.74371)/1000000</f>
        <v>0.68478517452799992</v>
      </c>
      <c r="H15" s="13"/>
      <c r="I15" s="80"/>
      <c r="J15" s="6">
        <f>((6128558*0.907184741)*36.74371)/1000000</f>
        <v>204.28526486729618</v>
      </c>
      <c r="K15" s="31"/>
      <c r="L15" s="102">
        <f>(4771690.5*36.74371)/1000000</f>
        <v>175.32961194175499</v>
      </c>
      <c r="M15" s="6"/>
      <c r="N15" s="104"/>
      <c r="R15" s="110"/>
      <c r="S15" s="111"/>
    </row>
    <row r="16" spans="1:23" ht="16.5" customHeight="1">
      <c r="A16" s="15" t="s">
        <v>43</v>
      </c>
      <c r="B16" s="80"/>
      <c r="C16" s="80"/>
      <c r="D16" s="80"/>
      <c r="E16" s="32"/>
      <c r="F16" s="32"/>
      <c r="G16" s="102">
        <f>(25841.8*36.74371)/1000000</f>
        <v>0.94952360507800004</v>
      </c>
      <c r="H16" s="13"/>
      <c r="I16" s="80"/>
      <c r="J16" s="6">
        <f>((5828390*0.907184741)*36.74371)/1000000</f>
        <v>194.27966495542674</v>
      </c>
      <c r="K16" s="31"/>
      <c r="L16" s="102">
        <f>(5866274.7*36.74371)/1000000</f>
        <v>215.548696357137</v>
      </c>
      <c r="M16" s="6"/>
      <c r="N16" s="104"/>
      <c r="Q16" s="34"/>
      <c r="R16" s="110"/>
      <c r="S16" s="111"/>
    </row>
    <row r="17" spans="1:24" ht="16.5" customHeight="1">
      <c r="A17" s="15" t="s">
        <v>44</v>
      </c>
      <c r="B17" s="80"/>
      <c r="C17" s="80"/>
      <c r="D17" s="80"/>
      <c r="E17" s="32"/>
      <c r="F17" s="32"/>
      <c r="G17" s="102">
        <f>(24303.4*36.74371)/1000000</f>
        <v>0.89299708161400004</v>
      </c>
      <c r="H17" s="13"/>
      <c r="I17" s="80"/>
      <c r="J17" s="6">
        <f>((5803253*0.907184741)*36.74371)/1000000</f>
        <v>193.4417649628071</v>
      </c>
      <c r="K17" s="31"/>
      <c r="L17" s="102">
        <f>(5282181.2*36.74371)/1000000</f>
        <v>194.08693418025203</v>
      </c>
      <c r="M17" s="6"/>
      <c r="N17" s="104"/>
      <c r="Q17" s="83"/>
      <c r="R17" s="110"/>
      <c r="S17" s="111"/>
    </row>
    <row r="18" spans="1:24" ht="16.5" customHeight="1">
      <c r="A18" s="15" t="s">
        <v>45</v>
      </c>
      <c r="B18" s="80"/>
      <c r="C18" s="80"/>
      <c r="D18" s="80"/>
      <c r="E18" s="32">
        <f>N14</f>
        <v>3000.7190000000001</v>
      </c>
      <c r="F18" s="32"/>
      <c r="G18" s="102">
        <f>SUM(G15:G17)</f>
        <v>2.5273058612200003</v>
      </c>
      <c r="H18" s="13">
        <f>SUM(E18:G18)</f>
        <v>3003.2463058612202</v>
      </c>
      <c r="I18" s="80"/>
      <c r="J18" s="6">
        <f>SUM(J15:J17)</f>
        <v>592.00669478553004</v>
      </c>
      <c r="K18" s="31">
        <f>M18-L18-J18</f>
        <v>-18.549631403453873</v>
      </c>
      <c r="L18" s="102">
        <f>SUM(L15:L17)</f>
        <v>584.96524247914397</v>
      </c>
      <c r="M18" s="6">
        <f>H18-N18</f>
        <v>1158.4223058612201</v>
      </c>
      <c r="N18" s="104">
        <v>1844.8240000000001</v>
      </c>
      <c r="O18" s="210"/>
      <c r="P18" s="34"/>
      <c r="R18" s="110"/>
      <c r="S18" s="111"/>
    </row>
    <row r="19" spans="1:24" ht="16.5" customHeight="1">
      <c r="A19" s="15" t="s">
        <v>46</v>
      </c>
      <c r="B19" s="80"/>
      <c r="C19" s="80"/>
      <c r="D19" s="80"/>
      <c r="E19" s="32"/>
      <c r="F19" s="32"/>
      <c r="G19" s="102">
        <f>(144231.4*36.74371)/1000000</f>
        <v>5.299596734494</v>
      </c>
      <c r="H19" s="13"/>
      <c r="I19" s="80"/>
      <c r="J19" s="6">
        <f>((6106056*0.907184741)*36.74371)/1000000</f>
        <v>203.53519820723619</v>
      </c>
      <c r="K19" s="31"/>
      <c r="L19" s="102">
        <f>(3189631.1*36.74371)/1000000</f>
        <v>117.198880145381</v>
      </c>
      <c r="M19" s="6"/>
      <c r="N19" s="104"/>
      <c r="Q19" s="83"/>
      <c r="R19" s="110"/>
      <c r="S19" s="111"/>
    </row>
    <row r="20" spans="1:24" ht="16.5" customHeight="1">
      <c r="A20" s="15" t="s">
        <v>47</v>
      </c>
      <c r="B20" s="80"/>
      <c r="C20" s="80"/>
      <c r="D20" s="80"/>
      <c r="E20" s="32"/>
      <c r="F20" s="32"/>
      <c r="G20" s="102">
        <f>(57161.8*36.74371)/1000000</f>
        <v>2.1003366022780003</v>
      </c>
      <c r="H20" s="13"/>
      <c r="I20" s="80"/>
      <c r="J20" s="6">
        <f>((5327076*0.907184741)*36.74371)/1000000</f>
        <v>177.56919843594798</v>
      </c>
      <c r="K20" s="31"/>
      <c r="L20" s="102">
        <f>(1783416.4*36.74371)/1000000</f>
        <v>65.529335010843994</v>
      </c>
      <c r="M20" s="6"/>
      <c r="N20" s="104"/>
      <c r="R20" s="110"/>
      <c r="S20" s="110"/>
    </row>
    <row r="21" spans="1:24" ht="16.5" customHeight="1">
      <c r="A21" s="15" t="s">
        <v>48</v>
      </c>
      <c r="B21" s="80"/>
      <c r="C21" s="80"/>
      <c r="D21" s="80"/>
      <c r="E21" s="32"/>
      <c r="F21" s="32"/>
      <c r="G21" s="102">
        <f>(32561.4*36.74371)/1000000</f>
        <v>1.1964266387940001</v>
      </c>
      <c r="H21" s="13"/>
      <c r="I21" s="80"/>
      <c r="J21" s="6">
        <f>((5748779*0.907184741)*36.74371)/1000000</f>
        <v>191.62596497880088</v>
      </c>
      <c r="K21" s="31"/>
      <c r="L21" s="102">
        <f>(1376752.8*36.74371)/1000000</f>
        <v>50.587005624888</v>
      </c>
      <c r="M21" s="6"/>
      <c r="N21" s="104"/>
      <c r="P21" s="80"/>
      <c r="Q21" s="83"/>
      <c r="R21" s="110"/>
      <c r="S21" s="110"/>
    </row>
    <row r="22" spans="1:24" ht="16.5" customHeight="1">
      <c r="A22" s="15" t="s">
        <v>49</v>
      </c>
      <c r="B22" s="80"/>
      <c r="C22" s="80"/>
      <c r="D22" s="80"/>
      <c r="E22" s="32">
        <f>N18</f>
        <v>1844.8240000000001</v>
      </c>
      <c r="F22" s="32"/>
      <c r="G22" s="102">
        <f>SUM(G19:G21)</f>
        <v>8.596359975566001</v>
      </c>
      <c r="H22" s="13">
        <f>SUM(E22:G22)</f>
        <v>1853.420359975566</v>
      </c>
      <c r="I22" s="80"/>
      <c r="J22" s="6">
        <f>SUM(J19:J21)</f>
        <v>572.73036162198503</v>
      </c>
      <c r="K22" s="13">
        <f>M22-L22-J22</f>
        <v>77.324777572468065</v>
      </c>
      <c r="L22" s="102">
        <f>SUM(L19:L21)</f>
        <v>233.315220781113</v>
      </c>
      <c r="M22" s="6">
        <f>H22-N22</f>
        <v>883.37035997556609</v>
      </c>
      <c r="N22" s="13">
        <v>970.05</v>
      </c>
      <c r="P22" s="80"/>
      <c r="R22" s="110"/>
      <c r="S22" s="110"/>
    </row>
    <row r="23" spans="1:24" ht="16.5" customHeight="1">
      <c r="A23" s="15" t="s">
        <v>50</v>
      </c>
      <c r="B23" s="80"/>
      <c r="C23" s="80"/>
      <c r="D23" s="80"/>
      <c r="E23" s="32"/>
      <c r="F23" s="32"/>
      <c r="G23" s="102">
        <f>(31168.4*36.74371)/1000000</f>
        <v>1.1452426507640001</v>
      </c>
      <c r="H23" s="13"/>
      <c r="I23" s="80"/>
      <c r="J23" s="6">
        <f>((5504777*0.907184741)*36.74371)/1000000</f>
        <v>183.49256505044087</v>
      </c>
      <c r="K23" s="13"/>
      <c r="L23" s="102">
        <f>(1407564.3*36.74371)/1000000</f>
        <v>51.719134445553003</v>
      </c>
      <c r="M23" s="6"/>
      <c r="N23" s="13"/>
    </row>
    <row r="24" spans="1:24" ht="16.5" customHeight="1">
      <c r="A24" s="15" t="s">
        <v>51</v>
      </c>
      <c r="B24" s="80"/>
      <c r="C24" s="80"/>
      <c r="D24" s="80"/>
      <c r="E24" s="32"/>
      <c r="F24" s="32"/>
      <c r="G24" s="102">
        <f>(59814.7*36.74371)/1000000</f>
        <v>2.197813990537</v>
      </c>
      <c r="H24" s="13"/>
      <c r="I24" s="80"/>
      <c r="J24" s="6">
        <f>((5798234*0.907184741)*36.74371)/1000000</f>
        <v>193.2744649642807</v>
      </c>
      <c r="K24" s="13"/>
      <c r="L24" s="102">
        <f>(1490841.6*36.74371)/1000000</f>
        <v>54.779051406336002</v>
      </c>
      <c r="M24" s="6"/>
      <c r="N24" s="13"/>
      <c r="Q24" s="83"/>
    </row>
    <row r="25" spans="1:24" ht="16.5" customHeight="1">
      <c r="A25" s="15" t="s">
        <v>52</v>
      </c>
      <c r="B25" s="80"/>
      <c r="C25" s="80"/>
      <c r="D25" s="80"/>
      <c r="E25" s="32"/>
      <c r="F25" s="32"/>
      <c r="G25" s="102">
        <f>(69722.7*36.74371)/1000000</f>
        <v>2.5618706692169999</v>
      </c>
      <c r="H25" s="13"/>
      <c r="I25" s="80"/>
      <c r="J25" s="6">
        <f>((5026648*0.907184741)*36.74371)/1000000</f>
        <v>167.55493185748824</v>
      </c>
      <c r="K25" s="13"/>
      <c r="L25" s="102">
        <f>(1709852.1*36.74371)/1000000</f>
        <v>62.826309705291003</v>
      </c>
      <c r="M25" s="6"/>
      <c r="N25" s="13"/>
    </row>
    <row r="26" spans="1:24" ht="16.5" customHeight="1">
      <c r="A26" s="15" t="s">
        <v>53</v>
      </c>
      <c r="B26" s="80"/>
      <c r="C26" s="80"/>
      <c r="D26" s="80"/>
      <c r="E26" s="32">
        <f>N22</f>
        <v>970.05</v>
      </c>
      <c r="F26" s="32"/>
      <c r="G26" s="102">
        <f>SUM(G23:G25)</f>
        <v>5.9049273105179996</v>
      </c>
      <c r="H26" s="13">
        <f>SUM(E26:G26)</f>
        <v>975.95492731051797</v>
      </c>
      <c r="I26" s="80"/>
      <c r="J26" s="6">
        <f>SUM(J23:J25)</f>
        <v>544.32196187220984</v>
      </c>
      <c r="K26" s="31">
        <f>M26-J26-L26</f>
        <v>-80.12453011887186</v>
      </c>
      <c r="L26" s="102">
        <f>SUM(L23:L25)</f>
        <v>169.32449555718</v>
      </c>
      <c r="M26" s="6">
        <f>H26-N26</f>
        <v>633.52192731051798</v>
      </c>
      <c r="N26" s="96">
        <v>342.43299999999999</v>
      </c>
      <c r="Q26" s="120"/>
    </row>
    <row r="27" spans="1:24" ht="16.5" customHeight="1">
      <c r="A27" s="15" t="s">
        <v>29</v>
      </c>
      <c r="B27" s="80"/>
      <c r="C27" s="80"/>
      <c r="D27" s="80"/>
      <c r="E27" s="32"/>
      <c r="F27" s="32"/>
      <c r="G27" s="160">
        <f>(566924.6*36.74371)/1000000</f>
        <v>20.830913094265998</v>
      </c>
      <c r="H27" s="90"/>
      <c r="I27" s="91"/>
      <c r="J27" s="112">
        <f>SUM(J14,J18,J22,J26)</f>
        <v>2285.303146537427</v>
      </c>
      <c r="K27" s="6"/>
      <c r="L27" s="37">
        <f>(46265.718*36.74371)/1000</f>
        <v>1699.97412513378</v>
      </c>
      <c r="M27" s="6"/>
      <c r="N27" s="13"/>
      <c r="Q27" s="83"/>
    </row>
    <row r="28" spans="1:24" ht="16.5" customHeight="1">
      <c r="A28" s="15"/>
      <c r="B28" s="80"/>
      <c r="C28" s="80"/>
      <c r="D28" s="80"/>
      <c r="E28" s="32"/>
      <c r="F28" s="32"/>
      <c r="G28" s="102"/>
      <c r="H28" s="126"/>
      <c r="I28" s="124"/>
      <c r="J28" s="159"/>
      <c r="K28" s="127"/>
      <c r="L28" s="102"/>
      <c r="M28" s="6"/>
      <c r="N28" s="13"/>
      <c r="R28" s="80"/>
    </row>
    <row r="29" spans="1:24" ht="16.5" customHeight="1">
      <c r="A29" s="30" t="s">
        <v>54</v>
      </c>
      <c r="B29" s="80"/>
      <c r="C29" s="80"/>
      <c r="D29" s="80"/>
      <c r="E29" s="32"/>
      <c r="F29" s="32"/>
      <c r="G29" s="102"/>
      <c r="H29" s="126"/>
      <c r="I29" s="124"/>
      <c r="J29" s="126"/>
      <c r="K29" s="127"/>
      <c r="L29" s="102"/>
      <c r="M29" s="6"/>
      <c r="N29" s="13"/>
      <c r="Q29" s="80"/>
      <c r="V29" s="93"/>
      <c r="X29" s="94"/>
    </row>
    <row r="30" spans="1:24" ht="16.5" customHeight="1">
      <c r="A30" s="15" t="s">
        <v>38</v>
      </c>
      <c r="B30" s="80"/>
      <c r="C30" s="80"/>
      <c r="D30" s="80"/>
      <c r="E30" s="32"/>
      <c r="F30" s="32"/>
      <c r="G30" s="102">
        <f>(83562.5*36.74371)/1000000</f>
        <v>3.070396266875</v>
      </c>
      <c r="H30" s="13"/>
      <c r="I30" s="80"/>
      <c r="J30" s="6">
        <f>((5595095*0.907185)*36.74371)/1000000</f>
        <v>186.5032182703211</v>
      </c>
      <c r="K30" s="31"/>
      <c r="L30" s="102">
        <f>(3114160.4*36.74371)/1000000</f>
        <v>114.425806631084</v>
      </c>
      <c r="M30" s="6"/>
      <c r="N30" s="13"/>
      <c r="T30" s="92"/>
    </row>
    <row r="31" spans="1:24" s="123" customFormat="1" ht="16.5" customHeight="1">
      <c r="A31" s="118" t="s">
        <v>39</v>
      </c>
      <c r="B31" s="124"/>
      <c r="C31" s="124"/>
      <c r="D31" s="124"/>
      <c r="E31" s="125"/>
      <c r="F31" s="125"/>
      <c r="G31" s="102">
        <f>(20864.5*36.74371)/1000000</f>
        <v>0.76663913729499999</v>
      </c>
      <c r="H31" s="126"/>
      <c r="I31" s="124"/>
      <c r="J31" s="6">
        <f>((6473504*0.907185)*36.74371)/1000000</f>
        <v>215.78352637190193</v>
      </c>
      <c r="K31" s="127"/>
      <c r="L31" s="102">
        <f>(9418049.2*36.74371)/1000000</f>
        <v>346.05406857053197</v>
      </c>
      <c r="M31" s="102"/>
      <c r="N31" s="126"/>
      <c r="T31" s="128"/>
    </row>
    <row r="32" spans="1:24" ht="16.5" customHeight="1">
      <c r="A32" s="15" t="s">
        <v>40</v>
      </c>
      <c r="B32" s="80"/>
      <c r="C32" s="80"/>
      <c r="D32" s="80"/>
      <c r="E32" s="32"/>
      <c r="F32" s="32"/>
      <c r="G32" s="138">
        <f>(41573*36.74371)/1000000</f>
        <v>1.5275462558299999</v>
      </c>
      <c r="H32" s="13"/>
      <c r="I32" s="80"/>
      <c r="J32" s="6">
        <f>((6301225*0.907185)*36.74371)/1000000</f>
        <v>210.04089144963655</v>
      </c>
      <c r="K32" s="31"/>
      <c r="L32" s="138">
        <f>((10085242.9)*36.74371)/1000000</f>
        <v>370.56924039715904</v>
      </c>
      <c r="M32" s="6"/>
      <c r="N32" s="13"/>
      <c r="T32" s="92"/>
    </row>
    <row r="33" spans="1:20" ht="16.5" customHeight="1">
      <c r="A33" s="15" t="s">
        <v>41</v>
      </c>
      <c r="B33" s="80"/>
      <c r="C33" s="80"/>
      <c r="D33" s="80"/>
      <c r="E33" s="32">
        <f>N26</f>
        <v>342.43299999999999</v>
      </c>
      <c r="F33" s="59">
        <v>4366.4920000000002</v>
      </c>
      <c r="G33" s="102">
        <f>SUM(G30:G32)</f>
        <v>5.3645816599999998</v>
      </c>
      <c r="H33" s="13">
        <f>SUM(E33:G33)</f>
        <v>4714.2895816600003</v>
      </c>
      <c r="I33" s="80"/>
      <c r="J33" s="6">
        <f>SUM(J30:J32)</f>
        <v>612.32763609185963</v>
      </c>
      <c r="K33" s="31">
        <f>M33-L33-J33</f>
        <v>170.62782996936585</v>
      </c>
      <c r="L33" s="102">
        <f>SUM(L30:L32)</f>
        <v>831.04911559877496</v>
      </c>
      <c r="M33" s="6">
        <f>H33-N33</f>
        <v>1614.0045816600004</v>
      </c>
      <c r="N33" s="104">
        <v>3100.2849999999999</v>
      </c>
      <c r="P33" s="34"/>
      <c r="R33" s="110"/>
      <c r="S33" s="110"/>
    </row>
    <row r="34" spans="1:20" ht="16.5" customHeight="1">
      <c r="A34" s="15" t="s">
        <v>42</v>
      </c>
      <c r="B34" s="80"/>
      <c r="C34" s="80"/>
      <c r="D34" s="80"/>
      <c r="E34" s="32"/>
      <c r="F34" s="59"/>
      <c r="G34" s="138">
        <f>(52324.1*36.74371)/1000000</f>
        <v>1.922581556411</v>
      </c>
      <c r="H34" s="13"/>
      <c r="I34" s="80"/>
      <c r="J34" s="6">
        <f>((6531043*0.907185)*36.74371)/1000000</f>
        <v>217.70149356925177</v>
      </c>
      <c r="K34" s="31"/>
      <c r="L34" s="138">
        <f>(7482420.8*36.74371)/1000000</f>
        <v>274.93189997316802</v>
      </c>
      <c r="M34" s="6"/>
      <c r="N34" s="104"/>
      <c r="P34" s="34"/>
      <c r="R34" s="110"/>
      <c r="S34" s="110"/>
    </row>
    <row r="35" spans="1:20" ht="16.5" customHeight="1">
      <c r="A35" s="15" t="s">
        <v>43</v>
      </c>
      <c r="B35" s="80"/>
      <c r="C35" s="80"/>
      <c r="D35" s="80"/>
      <c r="E35" s="32"/>
      <c r="F35" s="59"/>
      <c r="G35" s="138">
        <f>(61026*36.74371)/1000000</f>
        <v>2.2423216464599998</v>
      </c>
      <c r="H35" s="13"/>
      <c r="I35" s="80"/>
      <c r="J35" s="6">
        <f>((6376635*0.907185)*36.74371)/1000000</f>
        <v>212.55455881181089</v>
      </c>
      <c r="K35" s="31"/>
      <c r="L35" s="138">
        <f>(5211687.1*36.74371)/1000000</f>
        <v>191.49671941314099</v>
      </c>
      <c r="M35" s="6"/>
      <c r="N35" s="104"/>
      <c r="P35" s="34"/>
      <c r="Q35" s="34"/>
      <c r="R35" s="87"/>
      <c r="S35" s="110"/>
    </row>
    <row r="36" spans="1:20" s="123" customFormat="1" ht="16.5" customHeight="1">
      <c r="A36" s="118" t="s">
        <v>44</v>
      </c>
      <c r="B36" s="124"/>
      <c r="C36" s="124"/>
      <c r="D36" s="124"/>
      <c r="E36" s="125"/>
      <c r="F36" s="139"/>
      <c r="G36" s="138">
        <f>(66815.2*36.74371)/1000000</f>
        <v>2.4550383323920002</v>
      </c>
      <c r="H36" s="126"/>
      <c r="I36" s="124"/>
      <c r="J36" s="102">
        <f>((5687304*0.907185)*36.74371)/1000000</f>
        <v>189.57685245409957</v>
      </c>
      <c r="K36" s="127"/>
      <c r="L36" s="138">
        <f>(3117201.8*36.74371)/1000000</f>
        <v>114.53755895067799</v>
      </c>
      <c r="M36" s="102"/>
      <c r="N36" s="140"/>
      <c r="P36" s="141"/>
      <c r="Q36" s="141"/>
      <c r="R36" s="142"/>
      <c r="S36" s="143"/>
    </row>
    <row r="37" spans="1:20" s="123" customFormat="1" ht="16.5" customHeight="1">
      <c r="A37" s="118" t="s">
        <v>45</v>
      </c>
      <c r="B37" s="124"/>
      <c r="C37" s="124"/>
      <c r="D37" s="124"/>
      <c r="E37" s="125">
        <f>N33</f>
        <v>3100.2849999999999</v>
      </c>
      <c r="F37" s="139"/>
      <c r="G37" s="138">
        <f>SUM(G34:G36)</f>
        <v>6.619941535263</v>
      </c>
      <c r="H37" s="126">
        <f>SUM(E37:G37)</f>
        <v>3106.9049415352629</v>
      </c>
      <c r="I37" s="138">
        <f>SUM(I34:I36)</f>
        <v>0</v>
      </c>
      <c r="J37" s="138">
        <f>SUM(J34:J36)</f>
        <v>619.83290483516225</v>
      </c>
      <c r="K37" s="31">
        <f>M37-L37-J37</f>
        <v>-4.8181416368863665</v>
      </c>
      <c r="L37" s="102">
        <f>SUM(L34:L36)</f>
        <v>580.96617833698701</v>
      </c>
      <c r="M37" s="102">
        <f>H37-N37</f>
        <v>1195.9809415352629</v>
      </c>
      <c r="N37" s="104">
        <v>1910.924</v>
      </c>
      <c r="O37" s="211"/>
      <c r="P37" s="141"/>
      <c r="Q37" s="141"/>
      <c r="R37" s="142"/>
      <c r="S37" s="143"/>
    </row>
    <row r="38" spans="1:20" ht="16.5" customHeight="1">
      <c r="A38" s="15" t="s">
        <v>46</v>
      </c>
      <c r="B38" s="80"/>
      <c r="C38" s="80"/>
      <c r="D38" s="80"/>
      <c r="E38" s="32"/>
      <c r="F38" s="59"/>
      <c r="G38" s="138">
        <f>(47350.9*36.74371)/1000000</f>
        <v>1.739847737839</v>
      </c>
      <c r="H38" s="13"/>
      <c r="I38" s="99"/>
      <c r="J38" s="6">
        <f>((6202642*0.907185)*36.74371)/1000000</f>
        <v>206.75479054040389</v>
      </c>
      <c r="K38" s="31"/>
      <c r="L38" s="138">
        <f>(3498236.8*36.74371)/1000000</f>
        <v>128.53819849052798</v>
      </c>
      <c r="M38" s="6"/>
      <c r="N38" s="104"/>
      <c r="P38" s="34"/>
      <c r="Q38" s="34"/>
      <c r="R38" s="151"/>
      <c r="S38" s="110"/>
    </row>
    <row r="39" spans="1:20" ht="16.5" customHeight="1">
      <c r="A39" s="15" t="s">
        <v>47</v>
      </c>
      <c r="B39" s="80"/>
      <c r="C39" s="80"/>
      <c r="D39" s="80"/>
      <c r="E39" s="32"/>
      <c r="F39" s="59"/>
      <c r="G39" s="138">
        <f>(79328.8*36.74371)/1000000</f>
        <v>2.914834421848</v>
      </c>
      <c r="H39" s="13"/>
      <c r="I39" s="99"/>
      <c r="J39" s="6">
        <f>((6071540*0.907185)*36.74371)/1000000</f>
        <v>202.38472266458126</v>
      </c>
      <c r="K39" s="31"/>
      <c r="L39" s="138">
        <f>(2179781.36*36.74371)/1000000</f>
        <v>80.093254155245603</v>
      </c>
      <c r="M39" s="6"/>
      <c r="N39" s="104"/>
      <c r="P39" s="34"/>
      <c r="Q39" s="34"/>
      <c r="R39" s="151"/>
      <c r="S39" s="110"/>
    </row>
    <row r="40" spans="1:20" ht="16.5" customHeight="1">
      <c r="A40" s="15" t="s">
        <v>48</v>
      </c>
      <c r="B40" s="80"/>
      <c r="C40" s="80"/>
      <c r="D40" s="80"/>
      <c r="E40" s="32"/>
      <c r="F40" s="59"/>
      <c r="G40" s="99">
        <f>(69258.4*36.74371)/1000000</f>
        <v>2.5448105646639996</v>
      </c>
      <c r="H40" s="13"/>
      <c r="I40" s="99"/>
      <c r="J40" s="6">
        <f>((6111115*0.907185)*36.74371)/1000000</f>
        <v>203.70388969624886</v>
      </c>
      <c r="K40" s="31"/>
      <c r="L40" s="99">
        <f>(1595274.8*36.74371)/1000000</f>
        <v>58.616314621508003</v>
      </c>
      <c r="M40" s="6"/>
      <c r="N40" s="104"/>
      <c r="P40" s="34"/>
      <c r="Q40" s="34"/>
      <c r="R40" s="151"/>
      <c r="S40" s="110"/>
    </row>
    <row r="41" spans="1:20" ht="16.5" customHeight="1">
      <c r="A41" s="15" t="s">
        <v>49</v>
      </c>
      <c r="B41" s="80"/>
      <c r="C41" s="80"/>
      <c r="D41" s="80"/>
      <c r="E41" s="32">
        <f>N37</f>
        <v>1910.924</v>
      </c>
      <c r="F41" s="32"/>
      <c r="G41" s="6">
        <f>SUM(G38:G40)</f>
        <v>7.1994927243509999</v>
      </c>
      <c r="H41" s="13">
        <f>SUM(E41:G41)</f>
        <v>1918.1234927243511</v>
      </c>
      <c r="I41" s="80"/>
      <c r="J41" s="6">
        <f>SUM(J38:J40)</f>
        <v>612.84340290123407</v>
      </c>
      <c r="K41" s="13">
        <f>M41-L41-J41</f>
        <v>30.368322555835448</v>
      </c>
      <c r="L41" s="102">
        <f>SUM(L38:L40)</f>
        <v>267.24776726728157</v>
      </c>
      <c r="M41" s="6">
        <f>H41-N41</f>
        <v>910.45949272435109</v>
      </c>
      <c r="N41" s="13">
        <v>1007.664</v>
      </c>
      <c r="P41" s="34"/>
      <c r="Q41" s="34"/>
      <c r="R41" s="151"/>
      <c r="S41" s="110"/>
    </row>
    <row r="42" spans="1:20" ht="16.5" customHeight="1">
      <c r="A42" s="15" t="s">
        <v>50</v>
      </c>
      <c r="B42" s="80"/>
      <c r="C42" s="80"/>
      <c r="D42" s="80"/>
      <c r="E42" s="32"/>
      <c r="F42" s="32"/>
      <c r="G42" s="99">
        <f>(49589.3*36.74371)/1000000</f>
        <v>1.8220948583030001</v>
      </c>
      <c r="H42" s="13"/>
      <c r="I42" s="80"/>
      <c r="J42" s="6">
        <f>((5914118*0.907185)*36.74371)/1000000</f>
        <v>197.13732121267557</v>
      </c>
      <c r="K42" s="13"/>
      <c r="L42" s="99">
        <f>(1500645.9*36.74371)/1000000</f>
        <v>55.139297762288997</v>
      </c>
      <c r="M42" s="6"/>
      <c r="N42" s="13"/>
      <c r="P42" s="34"/>
      <c r="Q42" s="34"/>
      <c r="R42" s="151"/>
      <c r="S42" s="110"/>
    </row>
    <row r="43" spans="1:20" ht="16.5" customHeight="1">
      <c r="A43" s="76" t="s">
        <v>55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77"/>
      <c r="M43" s="66"/>
      <c r="N43" s="66"/>
      <c r="T43" s="92"/>
    </row>
    <row r="44" spans="1:20" ht="16.5" customHeight="1">
      <c r="A44" s="15" t="s">
        <v>56</v>
      </c>
      <c r="B44" s="15"/>
      <c r="C44" s="15"/>
      <c r="D44" s="15"/>
      <c r="E44" s="35"/>
      <c r="F44" s="35"/>
      <c r="G44" s="35"/>
      <c r="H44" s="35"/>
      <c r="I44" s="35"/>
      <c r="J44" s="35"/>
      <c r="K44" s="35"/>
      <c r="L44" s="35"/>
      <c r="M44" s="35"/>
      <c r="N44" s="35"/>
      <c r="T44" s="92"/>
    </row>
    <row r="45" spans="1:20" ht="16.5" customHeight="1">
      <c r="A45" s="20" t="s">
        <v>57</v>
      </c>
      <c r="B45" s="36">
        <f>Contents!A17</f>
        <v>45883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T45" s="92"/>
    </row>
    <row r="46" spans="1:20" ht="16.5" customHeight="1">
      <c r="T46" s="92"/>
    </row>
    <row r="47" spans="1:20" ht="16.5" customHeight="1">
      <c r="J47" s="34"/>
      <c r="K47" s="34"/>
      <c r="L47" s="83"/>
      <c r="M47" s="87"/>
      <c r="T47" s="92"/>
    </row>
    <row r="48" spans="1:20" ht="16.5" customHeight="1">
      <c r="J48" s="34"/>
      <c r="K48" s="89"/>
      <c r="L48" s="34"/>
      <c r="M48" s="34"/>
      <c r="P48" s="34"/>
      <c r="T48" s="92"/>
    </row>
    <row r="49" spans="5:73" ht="16.5" customHeight="1">
      <c r="J49" s="34"/>
      <c r="L49" s="137"/>
      <c r="T49" s="92"/>
    </row>
    <row r="50" spans="5:73" ht="16.5" customHeight="1">
      <c r="J50" s="34"/>
      <c r="L50" s="122"/>
      <c r="T50" s="92"/>
    </row>
    <row r="51" spans="5:73" ht="16.5" customHeight="1">
      <c r="J51" s="34"/>
      <c r="L51" s="34"/>
      <c r="T51" s="92"/>
    </row>
    <row r="52" spans="5:73" ht="16.5" customHeight="1">
      <c r="J52" s="34"/>
      <c r="L52" s="34"/>
      <c r="T52" s="92"/>
    </row>
    <row r="53" spans="5:73" ht="16.5" customHeight="1">
      <c r="T53" s="92"/>
    </row>
    <row r="54" spans="5:73" ht="16.5" customHeight="1">
      <c r="T54" s="92"/>
    </row>
    <row r="55" spans="5:73" ht="16.5" customHeight="1">
      <c r="T55" s="92"/>
    </row>
    <row r="56" spans="5:73" ht="16.5" customHeight="1">
      <c r="E56" s="87"/>
      <c r="T56" s="92"/>
    </row>
    <row r="57" spans="5:73" ht="16.5" customHeight="1"/>
    <row r="58" spans="5:73" ht="16.5" customHeight="1"/>
    <row r="59" spans="5:73" ht="16.5" customHeight="1"/>
    <row r="60" spans="5:73" ht="16.5" customHeight="1"/>
    <row r="61" spans="5:73" ht="16.5" customHeight="1">
      <c r="O61" s="80"/>
      <c r="P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</row>
    <row r="62" spans="5:73">
      <c r="O62" s="80"/>
      <c r="P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</row>
    <row r="63" spans="5:73">
      <c r="O63" s="80"/>
      <c r="P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  <c r="BH63" s="80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</row>
    <row r="64" spans="5:73">
      <c r="O64" s="80"/>
      <c r="P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</row>
    <row r="65" spans="15:73">
      <c r="O65" s="80"/>
      <c r="P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</row>
    <row r="66" spans="15:73">
      <c r="O66" s="80"/>
      <c r="P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</row>
    <row r="67" spans="15:73">
      <c r="O67" s="80"/>
      <c r="P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</row>
    <row r="68" spans="15:73">
      <c r="O68" s="80"/>
      <c r="P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</row>
    <row r="69" spans="15:73">
      <c r="O69" s="80"/>
      <c r="P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</row>
    <row r="70" spans="15:73">
      <c r="O70" s="80"/>
      <c r="P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</row>
    <row r="71" spans="15:73">
      <c r="O71" s="80"/>
      <c r="P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</row>
    <row r="72" spans="15:73">
      <c r="O72" s="80"/>
      <c r="P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</row>
    <row r="73" spans="15:73">
      <c r="O73" s="80"/>
      <c r="P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</row>
    <row r="74" spans="15:73">
      <c r="O74" s="80"/>
      <c r="P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</row>
    <row r="75" spans="15:73">
      <c r="O75" s="80"/>
      <c r="P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</row>
    <row r="76" spans="15:73">
      <c r="O76" s="80"/>
      <c r="P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</row>
    <row r="77" spans="15:73">
      <c r="O77" s="80"/>
      <c r="P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</row>
    <row r="78" spans="15:73">
      <c r="O78" s="80"/>
      <c r="P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</row>
    <row r="79" spans="15:73">
      <c r="O79" s="80"/>
      <c r="P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</row>
    <row r="80" spans="15:73">
      <c r="O80" s="80"/>
      <c r="P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</row>
    <row r="81" spans="15:73">
      <c r="O81" s="80"/>
      <c r="P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</row>
    <row r="82" spans="15:73">
      <c r="O82" s="80"/>
      <c r="P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</row>
    <row r="83" spans="15:73">
      <c r="O83" s="80"/>
      <c r="P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</row>
    <row r="84" spans="15:73">
      <c r="O84" s="80"/>
      <c r="P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</row>
    <row r="85" spans="15:73">
      <c r="O85" s="80"/>
      <c r="P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</row>
    <row r="86" spans="15:73">
      <c r="O86" s="80"/>
      <c r="P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</row>
    <row r="87" spans="15:73">
      <c r="O87" s="80"/>
      <c r="P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</row>
    <row r="88" spans="15:73">
      <c r="O88" s="80"/>
      <c r="P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</row>
    <row r="89" spans="15:73"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</row>
    <row r="90" spans="15:73"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</row>
    <row r="91" spans="15:73"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</row>
    <row r="92" spans="15:73"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</row>
    <row r="93" spans="15:73"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</row>
    <row r="94" spans="15:73"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</row>
    <row r="95" spans="15:73"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</row>
    <row r="96" spans="15:73"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</row>
    <row r="97" spans="15:73"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</row>
    <row r="98" spans="15:73"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</row>
    <row r="99" spans="15:73"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</row>
    <row r="100" spans="15:73"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</row>
    <row r="101" spans="15:73"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</row>
    <row r="102" spans="15:73"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</row>
    <row r="103" spans="15:73"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</row>
    <row r="104" spans="15:73"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</row>
    <row r="105" spans="15:73"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D105" s="80"/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</row>
    <row r="106" spans="15:73"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</row>
    <row r="107" spans="15:73"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</row>
    <row r="108" spans="15:73"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</row>
    <row r="109" spans="15:73"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D109" s="80"/>
      <c r="BE109" s="80"/>
      <c r="BF109" s="80"/>
      <c r="BG109" s="80"/>
      <c r="BH109" s="80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</row>
    <row r="110" spans="15:73"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</row>
    <row r="111" spans="15:73"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</row>
    <row r="112" spans="15:73"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</row>
    <row r="113" spans="15:73"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</row>
    <row r="114" spans="15:73"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D114" s="80"/>
      <c r="BE114" s="80"/>
      <c r="BF114" s="80"/>
      <c r="BG114" s="80"/>
      <c r="BH114" s="80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</row>
    <row r="115" spans="15:73"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</row>
    <row r="116" spans="15:73"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</row>
    <row r="117" spans="15:73"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</row>
    <row r="118" spans="15:73"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</row>
    <row r="119" spans="15:73"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</row>
    <row r="120" spans="15:73"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</row>
    <row r="121" spans="15:73"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</row>
    <row r="122" spans="15:73"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</row>
    <row r="123" spans="15:73"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</row>
    <row r="124" spans="15:73"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</row>
    <row r="125" spans="15:73"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</row>
    <row r="126" spans="15:73"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</row>
    <row r="127" spans="15:73"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</row>
    <row r="128" spans="15:73"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</row>
    <row r="129" spans="15:73"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</row>
    <row r="130" spans="15:73"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</row>
    <row r="131" spans="15:73"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</row>
    <row r="132" spans="15:73"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</row>
    <row r="133" spans="15:73"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</row>
    <row r="134" spans="15:73"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</row>
    <row r="135" spans="15:73"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</row>
    <row r="136" spans="15:73"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</row>
    <row r="137" spans="15:73"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</row>
    <row r="138" spans="15:73"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</row>
    <row r="139" spans="15:73"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</row>
    <row r="140" spans="15:73"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</row>
    <row r="141" spans="15:73"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</row>
    <row r="142" spans="15:73"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</row>
    <row r="143" spans="15:73"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</row>
    <row r="144" spans="15:73"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</row>
    <row r="145" spans="15:73"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</row>
    <row r="146" spans="15:73"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</row>
    <row r="147" spans="15:73"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</row>
    <row r="148" spans="15:73"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</row>
    <row r="149" spans="15:73"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</row>
    <row r="150" spans="15:73"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</row>
    <row r="151" spans="15:73"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</row>
    <row r="152" spans="15:73"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</row>
    <row r="153" spans="15:73"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</row>
    <row r="154" spans="15:73"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E154" s="80"/>
      <c r="BF154" s="80"/>
      <c r="BG154" s="80"/>
      <c r="BH154" s="80"/>
      <c r="BI154" s="80"/>
      <c r="BJ154" s="80"/>
      <c r="BK154" s="80"/>
      <c r="BL154" s="80"/>
      <c r="BM154" s="80"/>
      <c r="BN154" s="80"/>
      <c r="BO154" s="80"/>
      <c r="BP154" s="80"/>
      <c r="BQ154" s="80"/>
      <c r="BR154" s="80"/>
      <c r="BS154" s="80"/>
      <c r="BT154" s="80"/>
      <c r="BU154" s="80"/>
    </row>
    <row r="155" spans="15:73"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0"/>
      <c r="BH155" s="80"/>
      <c r="BI155" s="80"/>
      <c r="BJ155" s="80"/>
      <c r="BK155" s="80"/>
      <c r="BL155" s="80"/>
      <c r="BM155" s="80"/>
      <c r="BN155" s="80"/>
      <c r="BO155" s="80"/>
      <c r="BP155" s="80"/>
      <c r="BQ155" s="80"/>
      <c r="BR155" s="80"/>
      <c r="BS155" s="80"/>
      <c r="BT155" s="80"/>
      <c r="BU155" s="80"/>
    </row>
    <row r="156" spans="15:73"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</row>
    <row r="157" spans="15:73"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E157" s="80"/>
      <c r="BF157" s="80"/>
      <c r="BG157" s="80"/>
      <c r="BH157" s="80"/>
      <c r="BI157" s="80"/>
      <c r="BJ157" s="80"/>
      <c r="BK157" s="80"/>
      <c r="BL157" s="80"/>
      <c r="BM157" s="80"/>
      <c r="BN157" s="80"/>
      <c r="BO157" s="80"/>
      <c r="BP157" s="80"/>
      <c r="BQ157" s="80"/>
      <c r="BR157" s="80"/>
      <c r="BS157" s="80"/>
      <c r="BT157" s="80"/>
      <c r="BU157" s="80"/>
    </row>
    <row r="158" spans="15:73"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E158" s="80"/>
      <c r="BF158" s="80"/>
      <c r="BG158" s="80"/>
      <c r="BH158" s="80"/>
      <c r="BI158" s="80"/>
      <c r="BJ158" s="80"/>
      <c r="BK158" s="80"/>
      <c r="BL158" s="80"/>
      <c r="BM158" s="80"/>
      <c r="BN158" s="80"/>
      <c r="BO158" s="80"/>
      <c r="BP158" s="80"/>
      <c r="BQ158" s="80"/>
      <c r="BR158" s="80"/>
      <c r="BS158" s="80"/>
      <c r="BT158" s="80"/>
      <c r="BU158" s="80"/>
    </row>
    <row r="159" spans="15:73"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E159" s="80"/>
      <c r="BF159" s="80"/>
      <c r="BG159" s="80"/>
      <c r="BH159" s="80"/>
      <c r="BI159" s="80"/>
      <c r="BJ159" s="80"/>
      <c r="BK159" s="80"/>
      <c r="BL159" s="80"/>
      <c r="BM159" s="80"/>
      <c r="BN159" s="80"/>
      <c r="BO159" s="80"/>
      <c r="BP159" s="80"/>
      <c r="BQ159" s="80"/>
      <c r="BR159" s="80"/>
      <c r="BS159" s="80"/>
      <c r="BT159" s="80"/>
      <c r="BU159" s="80"/>
    </row>
    <row r="160" spans="15:73"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0"/>
      <c r="BE160" s="80"/>
      <c r="BF160" s="80"/>
      <c r="BG160" s="80"/>
      <c r="BH160" s="80"/>
      <c r="BI160" s="80"/>
      <c r="BJ160" s="80"/>
      <c r="BK160" s="80"/>
      <c r="BL160" s="80"/>
      <c r="BM160" s="80"/>
      <c r="BN160" s="80"/>
      <c r="BO160" s="80"/>
      <c r="BP160" s="80"/>
      <c r="BQ160" s="80"/>
      <c r="BR160" s="80"/>
      <c r="BS160" s="80"/>
      <c r="BT160" s="80"/>
      <c r="BU160" s="80"/>
    </row>
    <row r="161" spans="15:73"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D161" s="80"/>
      <c r="BE161" s="80"/>
      <c r="BF161" s="80"/>
      <c r="BG161" s="80"/>
      <c r="BH161" s="80"/>
      <c r="BI161" s="80"/>
      <c r="BJ161" s="80"/>
      <c r="BK161" s="80"/>
      <c r="BL161" s="80"/>
      <c r="BM161" s="80"/>
      <c r="BN161" s="80"/>
      <c r="BO161" s="80"/>
      <c r="BP161" s="80"/>
      <c r="BQ161" s="80"/>
      <c r="BR161" s="80"/>
      <c r="BS161" s="80"/>
      <c r="BT161" s="80"/>
      <c r="BU161" s="80"/>
    </row>
    <row r="162" spans="15:73"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  <c r="BK162" s="80"/>
      <c r="BL162" s="80"/>
      <c r="BM162" s="80"/>
      <c r="BN162" s="80"/>
      <c r="BO162" s="80"/>
      <c r="BP162" s="80"/>
      <c r="BQ162" s="80"/>
      <c r="BR162" s="80"/>
      <c r="BS162" s="80"/>
      <c r="BT162" s="80"/>
      <c r="BU162" s="80"/>
    </row>
    <row r="163" spans="15:73"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D163" s="80"/>
      <c r="BE163" s="80"/>
      <c r="BF163" s="80"/>
      <c r="BG163" s="80"/>
      <c r="BH163" s="80"/>
      <c r="BI163" s="80"/>
      <c r="BJ163" s="80"/>
      <c r="BK163" s="80"/>
      <c r="BL163" s="80"/>
      <c r="BM163" s="80"/>
      <c r="BN163" s="80"/>
      <c r="BO163" s="80"/>
      <c r="BP163" s="80"/>
      <c r="BQ163" s="80"/>
      <c r="BR163" s="80"/>
      <c r="BS163" s="80"/>
      <c r="BT163" s="80"/>
      <c r="BU163" s="80"/>
    </row>
    <row r="164" spans="15:73"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  <c r="BK164" s="80"/>
      <c r="BL164" s="80"/>
      <c r="BM164" s="80"/>
      <c r="BN164" s="80"/>
      <c r="BO164" s="80"/>
      <c r="BP164" s="80"/>
      <c r="BQ164" s="80"/>
      <c r="BR164" s="80"/>
      <c r="BS164" s="80"/>
      <c r="BT164" s="80"/>
      <c r="BU164" s="80"/>
    </row>
    <row r="165" spans="15:73"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D165" s="80"/>
      <c r="BE165" s="80"/>
      <c r="BF165" s="80"/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</row>
    <row r="166" spans="15:73"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D166" s="80"/>
      <c r="BE166" s="80"/>
      <c r="BF166" s="80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</row>
    <row r="167" spans="15:73"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</row>
    <row r="168" spans="15:73"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</row>
    <row r="169" spans="15:73"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</row>
    <row r="170" spans="15:73"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D170" s="80"/>
      <c r="BE170" s="80"/>
      <c r="BF170" s="80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</row>
    <row r="171" spans="15:73"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D171" s="80"/>
      <c r="BE171" s="80"/>
      <c r="BF171" s="80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</row>
    <row r="172" spans="15:73"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D172" s="80"/>
      <c r="BE172" s="80"/>
      <c r="BF172" s="80"/>
      <c r="BG172" s="80"/>
      <c r="BH172" s="80"/>
      <c r="BI172" s="80"/>
      <c r="BJ172" s="80"/>
      <c r="BK172" s="80"/>
      <c r="BL172" s="80"/>
      <c r="BM172" s="80"/>
      <c r="BN172" s="80"/>
      <c r="BO172" s="80"/>
      <c r="BP172" s="80"/>
      <c r="BQ172" s="80"/>
      <c r="BR172" s="80"/>
      <c r="BS172" s="80"/>
      <c r="BT172" s="80"/>
      <c r="BU172" s="80"/>
    </row>
    <row r="173" spans="15:73"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D173" s="80"/>
      <c r="BE173" s="80"/>
      <c r="BF173" s="80"/>
      <c r="BG173" s="80"/>
      <c r="BH173" s="80"/>
      <c r="BI173" s="80"/>
      <c r="BJ173" s="80"/>
      <c r="BK173" s="80"/>
      <c r="BL173" s="80"/>
      <c r="BM173" s="80"/>
      <c r="BN173" s="80"/>
      <c r="BO173" s="80"/>
      <c r="BP173" s="80"/>
      <c r="BQ173" s="80"/>
      <c r="BR173" s="80"/>
      <c r="BS173" s="80"/>
      <c r="BT173" s="80"/>
      <c r="BU173" s="80"/>
    </row>
    <row r="174" spans="15:73"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D174" s="80"/>
      <c r="BE174" s="80"/>
      <c r="BF174" s="80"/>
      <c r="BG174" s="80"/>
      <c r="BH174" s="80"/>
      <c r="BI174" s="80"/>
      <c r="BJ174" s="80"/>
      <c r="BK174" s="80"/>
      <c r="BL174" s="80"/>
      <c r="BM174" s="80"/>
      <c r="BN174" s="80"/>
      <c r="BO174" s="80"/>
      <c r="BP174" s="80"/>
      <c r="BQ174" s="80"/>
      <c r="BR174" s="80"/>
      <c r="BS174" s="80"/>
      <c r="BT174" s="80"/>
      <c r="BU174" s="80"/>
    </row>
    <row r="175" spans="15:73"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D175" s="80"/>
      <c r="BE175" s="80"/>
      <c r="BF175" s="80"/>
      <c r="BG175" s="80"/>
      <c r="BH175" s="80"/>
      <c r="BI175" s="80"/>
      <c r="BJ175" s="80"/>
      <c r="BK175" s="80"/>
      <c r="BL175" s="80"/>
      <c r="BM175" s="80"/>
      <c r="BN175" s="80"/>
      <c r="BO175" s="80"/>
      <c r="BP175" s="80"/>
      <c r="BQ175" s="80"/>
      <c r="BR175" s="80"/>
      <c r="BS175" s="80"/>
      <c r="BT175" s="80"/>
      <c r="BU175" s="80"/>
    </row>
    <row r="176" spans="15:73"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0"/>
      <c r="BR176" s="80"/>
      <c r="BS176" s="80"/>
      <c r="BT176" s="80"/>
      <c r="BU176" s="80"/>
    </row>
    <row r="177" spans="15:73"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</row>
    <row r="178" spans="15:73"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D178" s="80"/>
      <c r="BE178" s="80"/>
      <c r="BF178" s="80"/>
      <c r="BG178" s="80"/>
      <c r="BH178" s="80"/>
      <c r="BI178" s="80"/>
      <c r="BJ178" s="80"/>
      <c r="BK178" s="80"/>
      <c r="BL178" s="80"/>
      <c r="BM178" s="80"/>
      <c r="BN178" s="80"/>
      <c r="BO178" s="80"/>
      <c r="BP178" s="80"/>
      <c r="BQ178" s="80"/>
      <c r="BR178" s="80"/>
      <c r="BS178" s="80"/>
      <c r="BT178" s="80"/>
      <c r="BU178" s="80"/>
    </row>
    <row r="179" spans="15:73"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D179" s="80"/>
      <c r="BE179" s="80"/>
      <c r="BF179" s="80"/>
      <c r="BG179" s="80"/>
      <c r="BH179" s="80"/>
      <c r="BI179" s="80"/>
      <c r="BJ179" s="80"/>
      <c r="BK179" s="80"/>
      <c r="BL179" s="80"/>
      <c r="BM179" s="80"/>
      <c r="BN179" s="80"/>
      <c r="BO179" s="80"/>
      <c r="BP179" s="80"/>
      <c r="BQ179" s="80"/>
      <c r="BR179" s="80"/>
      <c r="BS179" s="80"/>
      <c r="BT179" s="80"/>
      <c r="BU179" s="80"/>
    </row>
    <row r="180" spans="15:73"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0"/>
      <c r="AB180" s="80"/>
      <c r="AC180" s="80"/>
      <c r="AD180" s="80"/>
      <c r="AE180" s="80"/>
      <c r="AF180" s="80"/>
      <c r="AG180" s="80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0"/>
      <c r="BB180" s="80"/>
      <c r="BC180" s="80"/>
      <c r="BD180" s="80"/>
      <c r="BE180" s="80"/>
      <c r="BF180" s="80"/>
      <c r="BG180" s="80"/>
      <c r="BH180" s="80"/>
      <c r="BI180" s="80"/>
      <c r="BJ180" s="80"/>
      <c r="BK180" s="80"/>
      <c r="BL180" s="80"/>
      <c r="BM180" s="80"/>
      <c r="BN180" s="80"/>
      <c r="BO180" s="80"/>
      <c r="BP180" s="80"/>
      <c r="BQ180" s="80"/>
      <c r="BR180" s="80"/>
      <c r="BS180" s="80"/>
      <c r="BT180" s="80"/>
      <c r="BU180" s="80"/>
    </row>
    <row r="181" spans="15:73"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  <c r="AA181" s="80"/>
      <c r="AB181" s="80"/>
      <c r="AC181" s="80"/>
      <c r="AD181" s="80"/>
      <c r="AE181" s="80"/>
      <c r="AF181" s="80"/>
      <c r="AG181" s="80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0"/>
      <c r="BB181" s="80"/>
      <c r="BC181" s="80"/>
      <c r="BD181" s="80"/>
      <c r="BE181" s="80"/>
      <c r="BF181" s="80"/>
      <c r="BG181" s="80"/>
      <c r="BH181" s="80"/>
      <c r="BI181" s="80"/>
      <c r="BJ181" s="80"/>
      <c r="BK181" s="80"/>
      <c r="BL181" s="80"/>
      <c r="BM181" s="80"/>
      <c r="BN181" s="80"/>
      <c r="BO181" s="80"/>
      <c r="BP181" s="80"/>
      <c r="BQ181" s="80"/>
      <c r="BR181" s="80"/>
      <c r="BS181" s="80"/>
      <c r="BT181" s="80"/>
      <c r="BU181" s="80"/>
    </row>
    <row r="182" spans="15:73"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0"/>
      <c r="BB182" s="80"/>
      <c r="BC182" s="80"/>
      <c r="BD182" s="80"/>
      <c r="BE182" s="80"/>
      <c r="BF182" s="80"/>
      <c r="BG182" s="80"/>
      <c r="BH182" s="80"/>
      <c r="BI182" s="80"/>
      <c r="BJ182" s="80"/>
      <c r="BK182" s="80"/>
      <c r="BL182" s="80"/>
      <c r="BM182" s="80"/>
      <c r="BN182" s="80"/>
      <c r="BO182" s="80"/>
      <c r="BP182" s="80"/>
      <c r="BQ182" s="80"/>
      <c r="BR182" s="80"/>
      <c r="BS182" s="80"/>
      <c r="BT182" s="80"/>
      <c r="BU182" s="80"/>
    </row>
    <row r="183" spans="15:73"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  <c r="AA183" s="80"/>
      <c r="AB183" s="80"/>
      <c r="AC183" s="80"/>
      <c r="AD183" s="80"/>
      <c r="AE183" s="80"/>
      <c r="AF183" s="80"/>
      <c r="AG183" s="80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  <c r="BB183" s="80"/>
      <c r="BC183" s="80"/>
      <c r="BD183" s="80"/>
      <c r="BE183" s="80"/>
      <c r="BF183" s="80"/>
      <c r="BG183" s="80"/>
      <c r="BH183" s="80"/>
      <c r="BI183" s="80"/>
      <c r="BJ183" s="80"/>
      <c r="BK183" s="80"/>
      <c r="BL183" s="80"/>
      <c r="BM183" s="80"/>
      <c r="BN183" s="80"/>
      <c r="BO183" s="80"/>
      <c r="BP183" s="80"/>
      <c r="BQ183" s="80"/>
      <c r="BR183" s="80"/>
      <c r="BS183" s="80"/>
      <c r="BT183" s="80"/>
      <c r="BU183" s="80"/>
    </row>
    <row r="184" spans="15:73"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  <c r="AA184" s="80"/>
      <c r="AB184" s="80"/>
      <c r="AC184" s="80"/>
      <c r="AD184" s="80"/>
      <c r="AE184" s="80"/>
      <c r="AF184" s="80"/>
      <c r="AG184" s="80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  <c r="BB184" s="80"/>
      <c r="BC184" s="80"/>
      <c r="BD184" s="80"/>
      <c r="BE184" s="80"/>
      <c r="BF184" s="80"/>
      <c r="BG184" s="80"/>
      <c r="BH184" s="80"/>
      <c r="BI184" s="80"/>
      <c r="BJ184" s="80"/>
      <c r="BK184" s="80"/>
      <c r="BL184" s="80"/>
      <c r="BM184" s="80"/>
      <c r="BN184" s="80"/>
      <c r="BO184" s="80"/>
      <c r="BP184" s="80"/>
      <c r="BQ184" s="80"/>
      <c r="BR184" s="80"/>
      <c r="BS184" s="80"/>
      <c r="BT184" s="80"/>
      <c r="BU184" s="80"/>
    </row>
    <row r="185" spans="15:73"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</row>
    <row r="186" spans="15:73"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  <c r="AA186" s="80"/>
      <c r="AB186" s="80"/>
      <c r="AC186" s="80"/>
      <c r="AD186" s="80"/>
      <c r="AE186" s="80"/>
      <c r="AF186" s="80"/>
      <c r="AG186" s="80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0"/>
      <c r="BB186" s="80"/>
      <c r="BC186" s="80"/>
      <c r="BD186" s="80"/>
      <c r="BE186" s="80"/>
      <c r="BF186" s="80"/>
      <c r="BG186" s="80"/>
      <c r="BH186" s="80"/>
      <c r="BI186" s="80"/>
      <c r="BJ186" s="80"/>
      <c r="BK186" s="80"/>
      <c r="BL186" s="80"/>
      <c r="BM186" s="80"/>
      <c r="BN186" s="80"/>
      <c r="BO186" s="80"/>
      <c r="BP186" s="80"/>
      <c r="BQ186" s="80"/>
      <c r="BR186" s="80"/>
      <c r="BS186" s="80"/>
      <c r="BT186" s="80"/>
      <c r="BU186" s="80"/>
    </row>
    <row r="187" spans="15:73"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</row>
    <row r="188" spans="15:73"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  <c r="AA188" s="80"/>
      <c r="AB188" s="80"/>
      <c r="AC188" s="80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</row>
    <row r="189" spans="15:73"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/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</row>
    <row r="190" spans="15:73"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  <c r="AA190" s="80"/>
      <c r="AB190" s="80"/>
      <c r="AC190" s="80"/>
      <c r="AD190" s="80"/>
      <c r="AE190" s="80"/>
      <c r="AF190" s="80"/>
      <c r="AG190" s="80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80"/>
      <c r="AY190" s="80"/>
      <c r="AZ190" s="80"/>
      <c r="BA190" s="80"/>
      <c r="BB190" s="80"/>
      <c r="BC190" s="80"/>
      <c r="BD190" s="80"/>
      <c r="BE190" s="80"/>
      <c r="BF190" s="80"/>
      <c r="BG190" s="80"/>
      <c r="BH190" s="80"/>
      <c r="BI190" s="80"/>
      <c r="BJ190" s="80"/>
      <c r="BK190" s="80"/>
      <c r="BL190" s="80"/>
      <c r="BM190" s="80"/>
      <c r="BN190" s="80"/>
      <c r="BO190" s="80"/>
      <c r="BP190" s="80"/>
      <c r="BQ190" s="80"/>
      <c r="BR190" s="80"/>
      <c r="BS190" s="80"/>
      <c r="BT190" s="80"/>
      <c r="BU190" s="80"/>
    </row>
    <row r="191" spans="15:73"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  <c r="AA191" s="80"/>
      <c r="AB191" s="80"/>
      <c r="AC191" s="80"/>
      <c r="AD191" s="80"/>
      <c r="AE191" s="80"/>
      <c r="AF191" s="80"/>
      <c r="AG191" s="80"/>
      <c r="AH191" s="80"/>
      <c r="AI191" s="80"/>
      <c r="AJ191" s="80"/>
      <c r="AK191" s="80"/>
      <c r="AL191" s="80"/>
      <c r="AM191" s="80"/>
      <c r="AN191" s="80"/>
      <c r="AO191" s="80"/>
      <c r="AP191" s="80"/>
      <c r="AQ191" s="80"/>
      <c r="AR191" s="80"/>
      <c r="AS191" s="80"/>
      <c r="AT191" s="80"/>
      <c r="AU191" s="80"/>
      <c r="AV191" s="80"/>
      <c r="AW191" s="80"/>
      <c r="AX191" s="80"/>
      <c r="AY191" s="80"/>
      <c r="AZ191" s="80"/>
      <c r="BA191" s="80"/>
      <c r="BB191" s="80"/>
      <c r="BC191" s="80"/>
      <c r="BD191" s="80"/>
      <c r="BE191" s="80"/>
      <c r="BF191" s="80"/>
      <c r="BG191" s="80"/>
      <c r="BH191" s="80"/>
      <c r="BI191" s="80"/>
      <c r="BJ191" s="80"/>
      <c r="BK191" s="80"/>
      <c r="BL191" s="80"/>
      <c r="BM191" s="80"/>
      <c r="BN191" s="80"/>
      <c r="BO191" s="80"/>
      <c r="BP191" s="80"/>
      <c r="BQ191" s="80"/>
      <c r="BR191" s="80"/>
      <c r="BS191" s="80"/>
      <c r="BT191" s="80"/>
      <c r="BU191" s="80"/>
    </row>
    <row r="192" spans="15:73"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</row>
    <row r="193" spans="15:73"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</row>
    <row r="194" spans="15:73"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  <c r="AL194" s="80"/>
      <c r="AM194" s="80"/>
      <c r="AN194" s="80"/>
      <c r="AO194" s="80"/>
      <c r="AP194" s="80"/>
      <c r="AQ194" s="80"/>
      <c r="AR194" s="80"/>
      <c r="AS194" s="80"/>
      <c r="AT194" s="80"/>
      <c r="AU194" s="80"/>
      <c r="AV194" s="80"/>
      <c r="AW194" s="80"/>
      <c r="AX194" s="80"/>
      <c r="AY194" s="80"/>
      <c r="AZ194" s="80"/>
      <c r="BA194" s="80"/>
      <c r="BB194" s="80"/>
      <c r="BC194" s="80"/>
      <c r="BD194" s="80"/>
      <c r="BE194" s="80"/>
      <c r="BF194" s="80"/>
      <c r="BG194" s="80"/>
      <c r="BH194" s="80"/>
      <c r="BI194" s="80"/>
      <c r="BJ194" s="80"/>
      <c r="BK194" s="80"/>
      <c r="BL194" s="80"/>
      <c r="BM194" s="80"/>
      <c r="BN194" s="80"/>
      <c r="BO194" s="80"/>
      <c r="BP194" s="80"/>
      <c r="BQ194" s="80"/>
      <c r="BR194" s="80"/>
      <c r="BS194" s="80"/>
      <c r="BT194" s="80"/>
      <c r="BU194" s="80"/>
    </row>
    <row r="195" spans="15:73"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  <c r="AA195" s="80"/>
      <c r="AB195" s="80"/>
      <c r="AC195" s="80"/>
      <c r="AD195" s="80"/>
      <c r="AE195" s="80"/>
      <c r="AF195" s="80"/>
      <c r="AG195" s="80"/>
      <c r="AH195" s="80"/>
      <c r="AI195" s="80"/>
      <c r="AJ195" s="80"/>
      <c r="AK195" s="80"/>
      <c r="AL195" s="80"/>
      <c r="AM195" s="80"/>
      <c r="AN195" s="80"/>
      <c r="AO195" s="80"/>
      <c r="AP195" s="80"/>
      <c r="AQ195" s="80"/>
      <c r="AR195" s="80"/>
      <c r="AS195" s="80"/>
      <c r="AT195" s="80"/>
      <c r="AU195" s="80"/>
      <c r="AV195" s="80"/>
      <c r="AW195" s="80"/>
      <c r="AX195" s="80"/>
      <c r="AY195" s="80"/>
      <c r="AZ195" s="80"/>
      <c r="BA195" s="80"/>
      <c r="BB195" s="80"/>
      <c r="BC195" s="80"/>
      <c r="BD195" s="80"/>
      <c r="BE195" s="80"/>
      <c r="BF195" s="80"/>
      <c r="BG195" s="80"/>
      <c r="BH195" s="80"/>
      <c r="BI195" s="80"/>
      <c r="BJ195" s="80"/>
      <c r="BK195" s="80"/>
      <c r="BL195" s="80"/>
      <c r="BM195" s="80"/>
      <c r="BN195" s="80"/>
      <c r="BO195" s="80"/>
      <c r="BP195" s="80"/>
      <c r="BQ195" s="80"/>
      <c r="BR195" s="80"/>
      <c r="BS195" s="80"/>
      <c r="BT195" s="80"/>
      <c r="BU195" s="80"/>
    </row>
    <row r="196" spans="15:73"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  <c r="AA196" s="80"/>
      <c r="AB196" s="80"/>
      <c r="AC196" s="80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</row>
    <row r="197" spans="15:73"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  <c r="AA197" s="80"/>
      <c r="AB197" s="80"/>
      <c r="AC197" s="80"/>
      <c r="AD197" s="80"/>
      <c r="AE197" s="80"/>
      <c r="AF197" s="80"/>
      <c r="AG197" s="80"/>
      <c r="AH197" s="80"/>
      <c r="AI197" s="80"/>
      <c r="AJ197" s="80"/>
      <c r="AK197" s="80"/>
      <c r="AL197" s="80"/>
      <c r="AM197" s="80"/>
      <c r="AN197" s="80"/>
      <c r="AO197" s="80"/>
      <c r="AP197" s="80"/>
      <c r="AQ197" s="80"/>
      <c r="AR197" s="80"/>
      <c r="AS197" s="80"/>
      <c r="AT197" s="80"/>
      <c r="AU197" s="80"/>
      <c r="AV197" s="80"/>
      <c r="AW197" s="80"/>
      <c r="AX197" s="80"/>
      <c r="AY197" s="80"/>
      <c r="AZ197" s="80"/>
      <c r="BA197" s="80"/>
      <c r="BB197" s="80"/>
      <c r="BC197" s="80"/>
      <c r="BD197" s="80"/>
      <c r="BE197" s="80"/>
      <c r="BF197" s="80"/>
      <c r="BG197" s="80"/>
      <c r="BH197" s="80"/>
      <c r="BI197" s="80"/>
      <c r="BJ197" s="80"/>
      <c r="BK197" s="80"/>
      <c r="BL197" s="80"/>
      <c r="BM197" s="80"/>
      <c r="BN197" s="80"/>
      <c r="BO197" s="80"/>
      <c r="BP197" s="80"/>
      <c r="BQ197" s="80"/>
      <c r="BR197" s="80"/>
      <c r="BS197" s="80"/>
      <c r="BT197" s="80"/>
      <c r="BU197" s="80"/>
    </row>
    <row r="198" spans="15:73"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  <c r="AA198" s="80"/>
      <c r="AB198" s="80"/>
      <c r="AC198" s="80"/>
      <c r="AD198" s="80"/>
      <c r="AE198" s="80"/>
      <c r="AF198" s="80"/>
      <c r="AG198" s="80"/>
      <c r="AH198" s="80"/>
      <c r="AI198" s="80"/>
      <c r="AJ198" s="80"/>
      <c r="AK198" s="80"/>
      <c r="AL198" s="80"/>
      <c r="AM198" s="80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80"/>
      <c r="AY198" s="80"/>
      <c r="AZ198" s="80"/>
      <c r="BA198" s="80"/>
      <c r="BB198" s="80"/>
      <c r="BC198" s="80"/>
      <c r="BD198" s="80"/>
      <c r="BE198" s="80"/>
      <c r="BF198" s="80"/>
      <c r="BG198" s="80"/>
      <c r="BH198" s="80"/>
      <c r="BI198" s="80"/>
      <c r="BJ198" s="80"/>
      <c r="BK198" s="80"/>
      <c r="BL198" s="80"/>
      <c r="BM198" s="80"/>
      <c r="BN198" s="80"/>
      <c r="BO198" s="80"/>
      <c r="BP198" s="80"/>
      <c r="BQ198" s="80"/>
      <c r="BR198" s="80"/>
      <c r="BS198" s="80"/>
      <c r="BT198" s="80"/>
      <c r="BU198" s="80"/>
    </row>
    <row r="199" spans="15:73"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0"/>
      <c r="BH199" s="80"/>
      <c r="BI199" s="80"/>
      <c r="BJ199" s="80"/>
      <c r="BK199" s="80"/>
      <c r="BL199" s="80"/>
      <c r="BM199" s="80"/>
      <c r="BN199" s="80"/>
      <c r="BO199" s="80"/>
      <c r="BP199" s="80"/>
      <c r="BQ199" s="80"/>
      <c r="BR199" s="80"/>
      <c r="BS199" s="80"/>
      <c r="BT199" s="80"/>
      <c r="BU199" s="80"/>
    </row>
    <row r="200" spans="15:73"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  <c r="AA200" s="80"/>
      <c r="AB200" s="80"/>
      <c r="AC200" s="80"/>
      <c r="AD200" s="80"/>
      <c r="AE200" s="80"/>
      <c r="AF200" s="80"/>
      <c r="AG200" s="80"/>
      <c r="AH200" s="80"/>
      <c r="AI200" s="80"/>
      <c r="AJ200" s="80"/>
      <c r="AK200" s="80"/>
      <c r="AL200" s="80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80"/>
      <c r="AY200" s="80"/>
      <c r="AZ200" s="80"/>
      <c r="BA200" s="80"/>
      <c r="BB200" s="80"/>
      <c r="BC200" s="80"/>
      <c r="BD200" s="80"/>
      <c r="BE200" s="80"/>
      <c r="BF200" s="80"/>
      <c r="BG200" s="80"/>
      <c r="BH200" s="80"/>
      <c r="BI200" s="80"/>
      <c r="BJ200" s="80"/>
      <c r="BK200" s="80"/>
      <c r="BL200" s="80"/>
      <c r="BM200" s="80"/>
      <c r="BN200" s="80"/>
      <c r="BO200" s="80"/>
      <c r="BP200" s="80"/>
      <c r="BQ200" s="80"/>
      <c r="BR200" s="80"/>
      <c r="BS200" s="80"/>
      <c r="BT200" s="80"/>
      <c r="BU200" s="80"/>
    </row>
    <row r="201" spans="15:73"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80"/>
      <c r="AY201" s="80"/>
      <c r="AZ201" s="80"/>
      <c r="BA201" s="80"/>
      <c r="BB201" s="80"/>
      <c r="BC201" s="80"/>
      <c r="BD201" s="80"/>
      <c r="BE201" s="80"/>
      <c r="BF201" s="80"/>
      <c r="BG201" s="80"/>
      <c r="BH201" s="80"/>
      <c r="BI201" s="80"/>
      <c r="BJ201" s="80"/>
      <c r="BK201" s="80"/>
      <c r="BL201" s="80"/>
      <c r="BM201" s="80"/>
      <c r="BN201" s="80"/>
      <c r="BO201" s="80"/>
      <c r="BP201" s="80"/>
      <c r="BQ201" s="80"/>
      <c r="BR201" s="80"/>
      <c r="BS201" s="80"/>
      <c r="BT201" s="80"/>
      <c r="BU201" s="80"/>
    </row>
    <row r="202" spans="15:73"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  <c r="AA202" s="80"/>
      <c r="AB202" s="80"/>
      <c r="AC202" s="80"/>
      <c r="AD202" s="80"/>
      <c r="AE202" s="80"/>
      <c r="AF202" s="80"/>
      <c r="AG202" s="80"/>
      <c r="AH202" s="80"/>
      <c r="AI202" s="80"/>
      <c r="AJ202" s="80"/>
      <c r="AK202" s="80"/>
      <c r="AL202" s="80"/>
      <c r="AM202" s="80"/>
      <c r="AN202" s="80"/>
      <c r="AO202" s="80"/>
      <c r="AP202" s="80"/>
      <c r="AQ202" s="80"/>
      <c r="AR202" s="80"/>
      <c r="AS202" s="80"/>
      <c r="AT202" s="80"/>
      <c r="AU202" s="80"/>
      <c r="AV202" s="80"/>
      <c r="AW202" s="80"/>
      <c r="AX202" s="80"/>
      <c r="AY202" s="80"/>
      <c r="AZ202" s="80"/>
      <c r="BA202" s="80"/>
      <c r="BB202" s="80"/>
      <c r="BC202" s="80"/>
      <c r="BD202" s="80"/>
      <c r="BE202" s="80"/>
      <c r="BF202" s="80"/>
      <c r="BG202" s="80"/>
      <c r="BH202" s="80"/>
      <c r="BI202" s="80"/>
      <c r="BJ202" s="80"/>
      <c r="BK202" s="80"/>
      <c r="BL202" s="80"/>
      <c r="BM202" s="80"/>
      <c r="BN202" s="80"/>
      <c r="BO202" s="80"/>
      <c r="BP202" s="80"/>
      <c r="BQ202" s="80"/>
      <c r="BR202" s="80"/>
      <c r="BS202" s="80"/>
      <c r="BT202" s="80"/>
      <c r="BU202" s="80"/>
    </row>
    <row r="203" spans="15:73"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  <c r="AA203" s="80"/>
      <c r="AB203" s="80"/>
      <c r="AC203" s="80"/>
      <c r="AD203" s="80"/>
      <c r="AE203" s="80"/>
      <c r="AF203" s="80"/>
      <c r="AG203" s="80"/>
      <c r="AH203" s="80"/>
      <c r="AI203" s="80"/>
      <c r="AJ203" s="80"/>
      <c r="AK203" s="80"/>
      <c r="AL203" s="80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0"/>
      <c r="BB203" s="80"/>
      <c r="BC203" s="80"/>
      <c r="BD203" s="80"/>
      <c r="BE203" s="80"/>
      <c r="BF203" s="80"/>
      <c r="BG203" s="80"/>
      <c r="BH203" s="80"/>
      <c r="BI203" s="80"/>
      <c r="BJ203" s="80"/>
      <c r="BK203" s="80"/>
      <c r="BL203" s="80"/>
      <c r="BM203" s="80"/>
      <c r="BN203" s="80"/>
      <c r="BO203" s="80"/>
      <c r="BP203" s="80"/>
      <c r="BQ203" s="80"/>
      <c r="BR203" s="80"/>
      <c r="BS203" s="80"/>
      <c r="BT203" s="80"/>
      <c r="BU203" s="80"/>
    </row>
    <row r="204" spans="15:73"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  <c r="AA204" s="80"/>
      <c r="AB204" s="80"/>
      <c r="AC204" s="80"/>
      <c r="AD204" s="80"/>
      <c r="AE204" s="80"/>
      <c r="AF204" s="80"/>
      <c r="AG204" s="80"/>
      <c r="AH204" s="80"/>
      <c r="AI204" s="80"/>
      <c r="AJ204" s="80"/>
      <c r="AK204" s="80"/>
      <c r="AL204" s="80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0"/>
      <c r="BB204" s="80"/>
      <c r="BC204" s="80"/>
      <c r="BD204" s="80"/>
      <c r="BE204" s="80"/>
      <c r="BF204" s="80"/>
      <c r="BG204" s="80"/>
      <c r="BH204" s="80"/>
      <c r="BI204" s="80"/>
      <c r="BJ204" s="80"/>
      <c r="BK204" s="80"/>
      <c r="BL204" s="80"/>
      <c r="BM204" s="80"/>
      <c r="BN204" s="80"/>
      <c r="BO204" s="80"/>
      <c r="BP204" s="80"/>
      <c r="BQ204" s="80"/>
      <c r="BR204" s="80"/>
      <c r="BS204" s="80"/>
      <c r="BT204" s="80"/>
      <c r="BU204" s="80"/>
    </row>
    <row r="205" spans="15:73"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0"/>
      <c r="BQ205" s="80"/>
      <c r="BR205" s="80"/>
      <c r="BS205" s="80"/>
      <c r="BT205" s="80"/>
      <c r="BU205" s="80"/>
    </row>
    <row r="206" spans="15:73"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0"/>
      <c r="BQ206" s="80"/>
      <c r="BR206" s="80"/>
      <c r="BS206" s="80"/>
      <c r="BT206" s="80"/>
      <c r="BU206" s="80"/>
    </row>
    <row r="207" spans="15:73"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0"/>
      <c r="BQ207" s="80"/>
      <c r="BR207" s="80"/>
      <c r="BS207" s="80"/>
      <c r="BT207" s="80"/>
      <c r="BU207" s="80"/>
    </row>
    <row r="208" spans="15:73"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0"/>
      <c r="BQ208" s="80"/>
      <c r="BR208" s="80"/>
      <c r="BS208" s="80"/>
      <c r="BT208" s="80"/>
      <c r="BU208" s="80"/>
    </row>
    <row r="209" spans="15:73"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0"/>
      <c r="BQ209" s="80"/>
      <c r="BR209" s="80"/>
      <c r="BS209" s="80"/>
      <c r="BT209" s="80"/>
      <c r="BU209" s="80"/>
    </row>
    <row r="210" spans="15:73"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0"/>
      <c r="BQ210" s="80"/>
      <c r="BR210" s="80"/>
      <c r="BS210" s="80"/>
      <c r="BT210" s="80"/>
      <c r="BU210" s="80"/>
    </row>
    <row r="211" spans="15:73"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0"/>
      <c r="BQ211" s="80"/>
      <c r="BR211" s="80"/>
      <c r="BS211" s="80"/>
      <c r="BT211" s="80"/>
      <c r="BU211" s="80"/>
    </row>
    <row r="212" spans="15:73"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0"/>
      <c r="BQ212" s="80"/>
      <c r="BR212" s="80"/>
      <c r="BS212" s="80"/>
      <c r="BT212" s="80"/>
      <c r="BU212" s="80"/>
    </row>
    <row r="213" spans="15:73"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0"/>
      <c r="BQ213" s="80"/>
      <c r="BR213" s="80"/>
      <c r="BS213" s="80"/>
      <c r="BT213" s="80"/>
      <c r="BU213" s="80"/>
    </row>
    <row r="214" spans="15:73"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0"/>
      <c r="BQ214" s="80"/>
      <c r="BR214" s="80"/>
      <c r="BS214" s="80"/>
      <c r="BT214" s="80"/>
      <c r="BU214" s="80"/>
    </row>
    <row r="215" spans="15:73"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0"/>
      <c r="BQ215" s="80"/>
      <c r="BR215" s="80"/>
      <c r="BS215" s="80"/>
      <c r="BT215" s="80"/>
      <c r="BU215" s="80"/>
    </row>
    <row r="216" spans="15:73"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0"/>
      <c r="BQ216" s="80"/>
      <c r="BR216" s="80"/>
      <c r="BS216" s="80"/>
      <c r="BT216" s="80"/>
      <c r="BU216" s="80"/>
    </row>
    <row r="217" spans="15:73"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0"/>
      <c r="BQ217" s="80"/>
      <c r="BR217" s="80"/>
      <c r="BS217" s="80"/>
      <c r="BT217" s="80"/>
      <c r="BU217" s="80"/>
    </row>
    <row r="218" spans="15:73"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0"/>
      <c r="BQ218" s="80"/>
      <c r="BR218" s="80"/>
      <c r="BS218" s="80"/>
      <c r="BT218" s="80"/>
      <c r="BU218" s="80"/>
    </row>
    <row r="219" spans="15:73"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0"/>
      <c r="BQ219" s="80"/>
      <c r="BR219" s="80"/>
      <c r="BS219" s="80"/>
      <c r="BT219" s="80"/>
      <c r="BU219" s="80"/>
    </row>
    <row r="220" spans="15:73"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0"/>
      <c r="BQ220" s="80"/>
      <c r="BR220" s="80"/>
      <c r="BS220" s="80"/>
      <c r="BT220" s="80"/>
      <c r="BU220" s="80"/>
    </row>
    <row r="221" spans="15:73"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0"/>
      <c r="BQ221" s="80"/>
      <c r="BR221" s="80"/>
      <c r="BS221" s="80"/>
      <c r="BT221" s="80"/>
      <c r="BU221" s="80"/>
    </row>
    <row r="222" spans="15:73"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0"/>
      <c r="BQ222" s="80"/>
      <c r="BR222" s="80"/>
      <c r="BS222" s="80"/>
      <c r="BT222" s="80"/>
      <c r="BU222" s="80"/>
    </row>
    <row r="223" spans="15:73"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0"/>
      <c r="BQ223" s="80"/>
      <c r="BR223" s="80"/>
      <c r="BS223" s="80"/>
      <c r="BT223" s="80"/>
      <c r="BU223" s="80"/>
    </row>
    <row r="224" spans="15:73"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0"/>
      <c r="BQ224" s="80"/>
      <c r="BR224" s="80"/>
      <c r="BS224" s="80"/>
      <c r="BT224" s="80"/>
      <c r="BU224" s="80"/>
    </row>
    <row r="225" spans="15:73"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0"/>
      <c r="BQ225" s="80"/>
      <c r="BR225" s="80"/>
      <c r="BS225" s="80"/>
      <c r="BT225" s="80"/>
      <c r="BU225" s="80"/>
    </row>
    <row r="226" spans="15:73"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0"/>
      <c r="BQ226" s="80"/>
      <c r="BR226" s="80"/>
      <c r="BS226" s="80"/>
      <c r="BT226" s="80"/>
      <c r="BU226" s="80"/>
    </row>
    <row r="227" spans="15:73"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0"/>
      <c r="BQ227" s="80"/>
      <c r="BR227" s="80"/>
      <c r="BS227" s="80"/>
      <c r="BT227" s="80"/>
      <c r="BU227" s="80"/>
    </row>
    <row r="228" spans="15:73"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0"/>
      <c r="BQ228" s="80"/>
      <c r="BR228" s="80"/>
      <c r="BS228" s="80"/>
      <c r="BT228" s="80"/>
      <c r="BU228" s="80"/>
    </row>
    <row r="229" spans="15:73"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0"/>
      <c r="BQ229" s="80"/>
      <c r="BR229" s="80"/>
      <c r="BS229" s="80"/>
      <c r="BT229" s="80"/>
      <c r="BU229" s="80"/>
    </row>
    <row r="230" spans="15:73"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0"/>
      <c r="BQ230" s="80"/>
      <c r="BR230" s="80"/>
      <c r="BS230" s="80"/>
      <c r="BT230" s="80"/>
      <c r="BU230" s="80"/>
    </row>
    <row r="231" spans="15:73"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0"/>
      <c r="BQ231" s="80"/>
      <c r="BR231" s="80"/>
      <c r="BS231" s="80"/>
      <c r="BT231" s="80"/>
      <c r="BU231" s="80"/>
    </row>
    <row r="232" spans="15:73"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0"/>
      <c r="BQ232" s="80"/>
      <c r="BR232" s="80"/>
      <c r="BS232" s="80"/>
      <c r="BT232" s="80"/>
      <c r="BU232" s="80"/>
    </row>
    <row r="233" spans="15:73"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0"/>
      <c r="BQ233" s="80"/>
      <c r="BR233" s="80"/>
      <c r="BS233" s="80"/>
      <c r="BT233" s="80"/>
      <c r="BU233" s="80"/>
    </row>
    <row r="234" spans="15:73"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0"/>
      <c r="BQ234" s="80"/>
      <c r="BR234" s="80"/>
      <c r="BS234" s="80"/>
      <c r="BT234" s="80"/>
      <c r="BU234" s="80"/>
    </row>
    <row r="235" spans="15:73"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0"/>
      <c r="BQ235" s="80"/>
      <c r="BR235" s="80"/>
      <c r="BS235" s="80"/>
      <c r="BT235" s="80"/>
      <c r="BU235" s="80"/>
    </row>
    <row r="236" spans="15:73"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0"/>
      <c r="BQ236" s="80"/>
      <c r="BR236" s="80"/>
      <c r="BS236" s="80"/>
      <c r="BT236" s="80"/>
      <c r="BU236" s="80"/>
    </row>
    <row r="237" spans="15:73"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0"/>
      <c r="BQ237" s="80"/>
      <c r="BR237" s="80"/>
      <c r="BS237" s="80"/>
      <c r="BT237" s="80"/>
      <c r="BU237" s="80"/>
    </row>
    <row r="238" spans="15:73"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0"/>
      <c r="BQ238" s="80"/>
      <c r="BR238" s="80"/>
      <c r="BS238" s="80"/>
      <c r="BT238" s="80"/>
      <c r="BU238" s="80"/>
    </row>
    <row r="239" spans="15:73"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0"/>
      <c r="BQ239" s="80"/>
      <c r="BR239" s="80"/>
      <c r="BS239" s="80"/>
      <c r="BT239" s="80"/>
      <c r="BU239" s="80"/>
    </row>
    <row r="240" spans="15:73"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0"/>
      <c r="BQ240" s="80"/>
      <c r="BR240" s="80"/>
      <c r="BS240" s="80"/>
      <c r="BT240" s="80"/>
      <c r="BU240" s="80"/>
    </row>
    <row r="241" spans="15:73"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0"/>
      <c r="BQ241" s="80"/>
      <c r="BR241" s="80"/>
      <c r="BS241" s="80"/>
      <c r="BT241" s="80"/>
      <c r="BU241" s="80"/>
    </row>
    <row r="242" spans="15:73"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0"/>
      <c r="BQ242" s="80"/>
      <c r="BR242" s="80"/>
      <c r="BS242" s="80"/>
      <c r="BT242" s="80"/>
      <c r="BU242" s="80"/>
    </row>
    <row r="243" spans="15:73"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0"/>
      <c r="BQ243" s="80"/>
      <c r="BR243" s="80"/>
      <c r="BS243" s="80"/>
      <c r="BT243" s="80"/>
      <c r="BU243" s="80"/>
    </row>
    <row r="244" spans="15:73"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0"/>
      <c r="BQ244" s="80"/>
      <c r="BR244" s="80"/>
      <c r="BS244" s="80"/>
      <c r="BT244" s="80"/>
      <c r="BU244" s="80"/>
    </row>
    <row r="245" spans="15:73"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0"/>
      <c r="BQ245" s="80"/>
      <c r="BR245" s="80"/>
      <c r="BS245" s="80"/>
      <c r="BT245" s="80"/>
      <c r="BU245" s="80"/>
    </row>
    <row r="246" spans="15:73"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0"/>
      <c r="BQ246" s="80"/>
      <c r="BR246" s="80"/>
      <c r="BS246" s="80"/>
      <c r="BT246" s="80"/>
      <c r="BU246" s="80"/>
    </row>
    <row r="247" spans="15:73"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0"/>
      <c r="BQ247" s="80"/>
      <c r="BR247" s="80"/>
      <c r="BS247" s="80"/>
      <c r="BT247" s="80"/>
      <c r="BU247" s="80"/>
    </row>
    <row r="248" spans="15:73"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0"/>
      <c r="BQ248" s="80"/>
      <c r="BR248" s="80"/>
      <c r="BS248" s="80"/>
      <c r="BT248" s="80"/>
      <c r="BU248" s="80"/>
    </row>
    <row r="249" spans="15:73"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80"/>
      <c r="BS249" s="80"/>
      <c r="BT249" s="80"/>
      <c r="BU249" s="80"/>
    </row>
    <row r="250" spans="15:73"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0"/>
      <c r="BQ250" s="80"/>
      <c r="BR250" s="80"/>
      <c r="BS250" s="80"/>
      <c r="BT250" s="80"/>
      <c r="BU250" s="80"/>
    </row>
    <row r="251" spans="15:73"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0"/>
      <c r="BQ251" s="80"/>
      <c r="BR251" s="80"/>
      <c r="BS251" s="80"/>
      <c r="BT251" s="80"/>
      <c r="BU251" s="80"/>
    </row>
    <row r="252" spans="15:73"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0"/>
      <c r="BQ252" s="80"/>
      <c r="BR252" s="80"/>
      <c r="BS252" s="80"/>
      <c r="BT252" s="80"/>
      <c r="BU252" s="80"/>
    </row>
    <row r="253" spans="15:73"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0"/>
      <c r="BQ253" s="80"/>
      <c r="BR253" s="80"/>
      <c r="BS253" s="80"/>
      <c r="BT253" s="80"/>
      <c r="BU253" s="80"/>
    </row>
    <row r="254" spans="15:73"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0"/>
      <c r="BQ254" s="80"/>
      <c r="BR254" s="80"/>
      <c r="BS254" s="80"/>
      <c r="BT254" s="80"/>
      <c r="BU254" s="80"/>
    </row>
    <row r="255" spans="15:73"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0"/>
      <c r="BQ255" s="80"/>
      <c r="BR255" s="80"/>
      <c r="BS255" s="80"/>
      <c r="BT255" s="80"/>
      <c r="BU255" s="80"/>
    </row>
    <row r="256" spans="15:73"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0"/>
      <c r="BQ256" s="80"/>
      <c r="BR256" s="80"/>
      <c r="BS256" s="80"/>
      <c r="BT256" s="80"/>
      <c r="BU256" s="80"/>
    </row>
    <row r="257" spans="15:73"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0"/>
      <c r="BQ257" s="80"/>
      <c r="BR257" s="80"/>
      <c r="BS257" s="80"/>
      <c r="BT257" s="80"/>
      <c r="BU257" s="80"/>
    </row>
    <row r="258" spans="15:73"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0"/>
      <c r="BQ258" s="80"/>
      <c r="BR258" s="80"/>
      <c r="BS258" s="80"/>
      <c r="BT258" s="80"/>
      <c r="BU258" s="80"/>
    </row>
    <row r="259" spans="15:73"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</row>
    <row r="260" spans="15:73"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</row>
    <row r="261" spans="15:73"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</row>
    <row r="262" spans="15:73"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</row>
    <row r="263" spans="15:73"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</row>
    <row r="264" spans="15:73"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</row>
    <row r="265" spans="15:73"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</row>
    <row r="266" spans="15:73"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</row>
    <row r="267" spans="15:73"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</row>
    <row r="268" spans="15:73"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</row>
    <row r="269" spans="15:73"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</row>
    <row r="270" spans="15:73"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</row>
    <row r="271" spans="15:73"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</row>
    <row r="272" spans="15:73"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</row>
    <row r="273" spans="15:73"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</row>
    <row r="274" spans="15:73"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</row>
    <row r="275" spans="15:73"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0"/>
      <c r="BQ275" s="80"/>
      <c r="BR275" s="80"/>
      <c r="BS275" s="80"/>
      <c r="BT275" s="80"/>
      <c r="BU275" s="80"/>
    </row>
    <row r="276" spans="15:73"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0"/>
      <c r="BQ276" s="80"/>
      <c r="BR276" s="80"/>
      <c r="BS276" s="80"/>
      <c r="BT276" s="80"/>
      <c r="BU276" s="80"/>
    </row>
    <row r="277" spans="15:73"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0"/>
      <c r="BQ277" s="80"/>
      <c r="BR277" s="80"/>
      <c r="BS277" s="80"/>
      <c r="BT277" s="80"/>
      <c r="BU277" s="80"/>
    </row>
    <row r="278" spans="15:73"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0"/>
      <c r="BQ278" s="80"/>
      <c r="BR278" s="80"/>
      <c r="BS278" s="80"/>
      <c r="BT278" s="80"/>
      <c r="BU278" s="80"/>
    </row>
    <row r="279" spans="15:73"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0"/>
      <c r="BQ279" s="80"/>
      <c r="BR279" s="80"/>
      <c r="BS279" s="80"/>
      <c r="BT279" s="80"/>
      <c r="BU279" s="80"/>
    </row>
    <row r="280" spans="15:73"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0"/>
      <c r="BQ280" s="80"/>
      <c r="BR280" s="80"/>
      <c r="BS280" s="80"/>
      <c r="BT280" s="80"/>
      <c r="BU280" s="80"/>
    </row>
    <row r="281" spans="15:73"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0"/>
      <c r="BQ281" s="80"/>
      <c r="BR281" s="80"/>
      <c r="BS281" s="80"/>
      <c r="BT281" s="80"/>
      <c r="BU281" s="80"/>
    </row>
    <row r="282" spans="15:73"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0"/>
      <c r="BQ282" s="80"/>
      <c r="BR282" s="80"/>
      <c r="BS282" s="80"/>
      <c r="BT282" s="80"/>
      <c r="BU282" s="80"/>
    </row>
    <row r="283" spans="15:73"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0"/>
      <c r="BQ283" s="80"/>
      <c r="BR283" s="80"/>
      <c r="BS283" s="80"/>
      <c r="BT283" s="80"/>
      <c r="BU283" s="80"/>
    </row>
    <row r="284" spans="15:73"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0"/>
      <c r="BQ284" s="80"/>
      <c r="BR284" s="80"/>
      <c r="BS284" s="80"/>
      <c r="BT284" s="80"/>
      <c r="BU284" s="80"/>
    </row>
    <row r="285" spans="15:73"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0"/>
      <c r="BQ285" s="80"/>
      <c r="BR285" s="80"/>
      <c r="BS285" s="80"/>
      <c r="BT285" s="80"/>
      <c r="BU285" s="80"/>
    </row>
    <row r="286" spans="15:73"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0"/>
      <c r="BQ286" s="80"/>
      <c r="BR286" s="80"/>
      <c r="BS286" s="80"/>
      <c r="BT286" s="80"/>
      <c r="BU286" s="80"/>
    </row>
    <row r="287" spans="15:73"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0"/>
      <c r="BQ287" s="80"/>
      <c r="BR287" s="80"/>
      <c r="BS287" s="80"/>
      <c r="BT287" s="80"/>
      <c r="BU287" s="80"/>
    </row>
    <row r="288" spans="15:73"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0"/>
      <c r="BQ288" s="80"/>
      <c r="BR288" s="80"/>
      <c r="BS288" s="80"/>
      <c r="BT288" s="80"/>
      <c r="BU288" s="80"/>
    </row>
    <row r="289" spans="15:73"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0"/>
      <c r="BQ289" s="80"/>
      <c r="BR289" s="80"/>
      <c r="BS289" s="80"/>
      <c r="BT289" s="80"/>
      <c r="BU289" s="80"/>
    </row>
    <row r="290" spans="15:73"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0"/>
      <c r="BQ290" s="80"/>
      <c r="BR290" s="80"/>
      <c r="BS290" s="80"/>
      <c r="BT290" s="80"/>
      <c r="BU290" s="80"/>
    </row>
    <row r="291" spans="15:73"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0"/>
      <c r="BQ291" s="80"/>
      <c r="BR291" s="80"/>
      <c r="BS291" s="80"/>
      <c r="BT291" s="80"/>
      <c r="BU291" s="80"/>
    </row>
    <row r="292" spans="15:73"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0"/>
      <c r="BQ292" s="80"/>
      <c r="BR292" s="80"/>
      <c r="BS292" s="80"/>
      <c r="BT292" s="80"/>
      <c r="BU292" s="80"/>
    </row>
    <row r="293" spans="15:73"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0"/>
      <c r="BQ293" s="80"/>
      <c r="BR293" s="80"/>
      <c r="BS293" s="80"/>
      <c r="BT293" s="80"/>
      <c r="BU293" s="80"/>
    </row>
    <row r="294" spans="15:73"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0"/>
      <c r="BQ294" s="80"/>
      <c r="BR294" s="80"/>
      <c r="BS294" s="80"/>
      <c r="BT294" s="80"/>
      <c r="BU294" s="80"/>
    </row>
    <row r="295" spans="15:73"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0"/>
      <c r="BQ295" s="80"/>
      <c r="BR295" s="80"/>
      <c r="BS295" s="80"/>
      <c r="BT295" s="80"/>
      <c r="BU295" s="80"/>
    </row>
    <row r="296" spans="15:73"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0"/>
      <c r="BQ296" s="80"/>
      <c r="BR296" s="80"/>
      <c r="BS296" s="80"/>
      <c r="BT296" s="80"/>
      <c r="BU296" s="80"/>
    </row>
    <row r="297" spans="15:73"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0"/>
      <c r="BQ297" s="80"/>
      <c r="BR297" s="80"/>
      <c r="BS297" s="80"/>
      <c r="BT297" s="80"/>
      <c r="BU297" s="80"/>
    </row>
    <row r="298" spans="15:73"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0"/>
      <c r="BQ298" s="80"/>
      <c r="BR298" s="80"/>
      <c r="BS298" s="80"/>
      <c r="BT298" s="80"/>
      <c r="BU298" s="80"/>
    </row>
    <row r="299" spans="15:73"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0"/>
      <c r="BQ299" s="80"/>
      <c r="BR299" s="80"/>
      <c r="BS299" s="80"/>
      <c r="BT299" s="80"/>
      <c r="BU299" s="80"/>
    </row>
    <row r="300" spans="15:73"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0"/>
      <c r="BQ300" s="80"/>
      <c r="BR300" s="80"/>
      <c r="BS300" s="80"/>
      <c r="BT300" s="80"/>
      <c r="BU300" s="80"/>
    </row>
    <row r="301" spans="15:73"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0"/>
      <c r="BQ301" s="80"/>
      <c r="BR301" s="80"/>
      <c r="BS301" s="80"/>
      <c r="BT301" s="80"/>
      <c r="BU301" s="80"/>
    </row>
    <row r="302" spans="15:73"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0"/>
      <c r="BQ302" s="80"/>
      <c r="BR302" s="80"/>
      <c r="BS302" s="80"/>
      <c r="BT302" s="80"/>
      <c r="BU302" s="80"/>
    </row>
    <row r="303" spans="15:73"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0"/>
      <c r="BQ303" s="80"/>
      <c r="BR303" s="80"/>
      <c r="BS303" s="80"/>
      <c r="BT303" s="80"/>
      <c r="BU303" s="80"/>
    </row>
    <row r="304" spans="15:73"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0"/>
      <c r="BQ304" s="80"/>
      <c r="BR304" s="80"/>
      <c r="BS304" s="80"/>
      <c r="BT304" s="80"/>
      <c r="BU304" s="80"/>
    </row>
    <row r="305" spans="15:73"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0"/>
      <c r="BQ305" s="80"/>
      <c r="BR305" s="80"/>
      <c r="BS305" s="80"/>
      <c r="BT305" s="80"/>
      <c r="BU305" s="80"/>
    </row>
    <row r="306" spans="15:73"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0"/>
      <c r="BQ306" s="80"/>
      <c r="BR306" s="80"/>
      <c r="BS306" s="80"/>
      <c r="BT306" s="80"/>
      <c r="BU306" s="80"/>
    </row>
    <row r="307" spans="15:73"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0"/>
      <c r="BQ307" s="80"/>
      <c r="BR307" s="80"/>
      <c r="BS307" s="80"/>
      <c r="BT307" s="80"/>
      <c r="BU307" s="80"/>
    </row>
    <row r="308" spans="15:73"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0"/>
      <c r="BQ308" s="80"/>
      <c r="BR308" s="80"/>
      <c r="BS308" s="80"/>
      <c r="BT308" s="80"/>
      <c r="BU308" s="80"/>
    </row>
    <row r="309" spans="15:73"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0"/>
      <c r="BQ309" s="80"/>
      <c r="BR309" s="80"/>
      <c r="BS309" s="80"/>
      <c r="BT309" s="80"/>
      <c r="BU309" s="80"/>
    </row>
    <row r="310" spans="15:73"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0"/>
      <c r="BQ310" s="80"/>
      <c r="BR310" s="80"/>
      <c r="BS310" s="80"/>
      <c r="BT310" s="80"/>
      <c r="BU310" s="80"/>
    </row>
    <row r="311" spans="15:73"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0"/>
      <c r="BQ311" s="80"/>
      <c r="BR311" s="80"/>
      <c r="BS311" s="80"/>
      <c r="BT311" s="80"/>
      <c r="BU311" s="80"/>
    </row>
    <row r="312" spans="15:73"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0"/>
      <c r="BQ312" s="80"/>
      <c r="BR312" s="80"/>
      <c r="BS312" s="80"/>
      <c r="BT312" s="80"/>
      <c r="BU312" s="80"/>
    </row>
    <row r="313" spans="15:73"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0"/>
      <c r="BQ313" s="80"/>
      <c r="BR313" s="80"/>
      <c r="BS313" s="80"/>
      <c r="BT313" s="80"/>
      <c r="BU313" s="80"/>
    </row>
    <row r="314" spans="15:73"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0"/>
      <c r="BQ314" s="80"/>
      <c r="BR314" s="80"/>
      <c r="BS314" s="80"/>
      <c r="BT314" s="80"/>
      <c r="BU314" s="80"/>
    </row>
    <row r="315" spans="15:73"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0"/>
      <c r="BQ315" s="80"/>
      <c r="BR315" s="80"/>
      <c r="BS315" s="80"/>
      <c r="BT315" s="80"/>
      <c r="BU315" s="80"/>
    </row>
    <row r="316" spans="15:73"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  <c r="AA316" s="80"/>
      <c r="AB316" s="80"/>
      <c r="AC316" s="80"/>
      <c r="AD316" s="80"/>
      <c r="AE316" s="80"/>
      <c r="AF316" s="80"/>
      <c r="AG316" s="80"/>
      <c r="AH316" s="80"/>
      <c r="AI316" s="80"/>
      <c r="AJ316" s="80"/>
      <c r="AK316" s="80"/>
      <c r="AL316" s="80"/>
      <c r="AM316" s="80"/>
      <c r="AN316" s="80"/>
      <c r="AO316" s="80"/>
      <c r="AP316" s="80"/>
      <c r="AQ316" s="80"/>
      <c r="AR316" s="80"/>
      <c r="AS316" s="80"/>
      <c r="AT316" s="80"/>
      <c r="AU316" s="80"/>
      <c r="AV316" s="80"/>
      <c r="AW316" s="80"/>
      <c r="AX316" s="80"/>
      <c r="AY316" s="80"/>
      <c r="AZ316" s="80"/>
      <c r="BA316" s="80"/>
      <c r="BB316" s="80"/>
      <c r="BC316" s="80"/>
      <c r="BD316" s="80"/>
      <c r="BE316" s="80"/>
      <c r="BF316" s="80"/>
      <c r="BG316" s="80"/>
      <c r="BH316" s="80"/>
      <c r="BI316" s="80"/>
      <c r="BJ316" s="80"/>
      <c r="BK316" s="80"/>
      <c r="BL316" s="80"/>
      <c r="BM316" s="80"/>
      <c r="BN316" s="80"/>
      <c r="BO316" s="80"/>
      <c r="BP316" s="80"/>
      <c r="BQ316" s="80"/>
      <c r="BR316" s="80"/>
      <c r="BS316" s="80"/>
      <c r="BT316" s="80"/>
      <c r="BU316" s="80"/>
    </row>
    <row r="317" spans="15:73"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  <c r="AN317" s="80"/>
      <c r="AO317" s="80"/>
      <c r="AP317" s="80"/>
      <c r="AQ317" s="80"/>
      <c r="AR317" s="80"/>
      <c r="AS317" s="80"/>
      <c r="AT317" s="80"/>
      <c r="AU317" s="80"/>
      <c r="AV317" s="80"/>
      <c r="AW317" s="80"/>
      <c r="AX317" s="80"/>
      <c r="AY317" s="80"/>
      <c r="AZ317" s="80"/>
      <c r="BA317" s="80"/>
      <c r="BB317" s="80"/>
      <c r="BC317" s="80"/>
      <c r="BD317" s="80"/>
      <c r="BE317" s="80"/>
      <c r="BF317" s="80"/>
      <c r="BG317" s="80"/>
      <c r="BH317" s="80"/>
      <c r="BI317" s="80"/>
      <c r="BJ317" s="80"/>
      <c r="BK317" s="80"/>
      <c r="BL317" s="80"/>
      <c r="BM317" s="80"/>
      <c r="BN317" s="80"/>
      <c r="BO317" s="80"/>
      <c r="BP317" s="80"/>
      <c r="BQ317" s="80"/>
      <c r="BR317" s="80"/>
      <c r="BS317" s="80"/>
      <c r="BT317" s="80"/>
      <c r="BU317" s="80"/>
    </row>
    <row r="318" spans="15:73"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  <c r="AN318" s="80"/>
      <c r="AO318" s="80"/>
      <c r="AP318" s="80"/>
      <c r="AQ318" s="80"/>
      <c r="AR318" s="80"/>
      <c r="AS318" s="80"/>
      <c r="AT318" s="80"/>
      <c r="AU318" s="80"/>
      <c r="AV318" s="80"/>
      <c r="AW318" s="80"/>
      <c r="AX318" s="80"/>
      <c r="AY318" s="80"/>
      <c r="AZ318" s="80"/>
      <c r="BA318" s="80"/>
      <c r="BB318" s="80"/>
      <c r="BC318" s="80"/>
      <c r="BD318" s="80"/>
      <c r="BE318" s="80"/>
      <c r="BF318" s="80"/>
      <c r="BG318" s="80"/>
      <c r="BH318" s="80"/>
      <c r="BI318" s="80"/>
      <c r="BJ318" s="80"/>
      <c r="BK318" s="80"/>
      <c r="BL318" s="80"/>
      <c r="BM318" s="80"/>
      <c r="BN318" s="80"/>
      <c r="BO318" s="80"/>
      <c r="BP318" s="80"/>
      <c r="BQ318" s="80"/>
      <c r="BR318" s="80"/>
      <c r="BS318" s="80"/>
      <c r="BT318" s="80"/>
      <c r="BU318" s="80"/>
    </row>
    <row r="319" spans="15:73"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  <c r="AN319" s="80"/>
      <c r="AO319" s="80"/>
      <c r="AP319" s="80"/>
      <c r="AQ319" s="80"/>
      <c r="AR319" s="80"/>
      <c r="AS319" s="80"/>
      <c r="AT319" s="80"/>
      <c r="AU319" s="80"/>
      <c r="AV319" s="80"/>
      <c r="AW319" s="80"/>
      <c r="AX319" s="80"/>
      <c r="AY319" s="80"/>
      <c r="AZ319" s="80"/>
      <c r="BA319" s="80"/>
      <c r="BB319" s="80"/>
      <c r="BC319" s="80"/>
      <c r="BD319" s="80"/>
      <c r="BE319" s="80"/>
      <c r="BF319" s="80"/>
      <c r="BG319" s="80"/>
      <c r="BH319" s="80"/>
      <c r="BI319" s="80"/>
      <c r="BJ319" s="80"/>
      <c r="BK319" s="80"/>
      <c r="BL319" s="80"/>
      <c r="BM319" s="80"/>
      <c r="BN319" s="80"/>
      <c r="BO319" s="80"/>
      <c r="BP319" s="80"/>
      <c r="BQ319" s="80"/>
      <c r="BR319" s="80"/>
      <c r="BS319" s="80"/>
      <c r="BT319" s="80"/>
      <c r="BU319" s="80"/>
    </row>
    <row r="320" spans="15:73"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  <c r="AN320" s="80"/>
      <c r="AO320" s="80"/>
      <c r="AP320" s="80"/>
      <c r="AQ320" s="80"/>
      <c r="AR320" s="80"/>
      <c r="AS320" s="80"/>
      <c r="AT320" s="80"/>
      <c r="AU320" s="80"/>
      <c r="AV320" s="80"/>
      <c r="AW320" s="80"/>
      <c r="AX320" s="80"/>
      <c r="AY320" s="80"/>
      <c r="AZ320" s="80"/>
      <c r="BA320" s="80"/>
      <c r="BB320" s="80"/>
      <c r="BC320" s="80"/>
      <c r="BD320" s="80"/>
      <c r="BE320" s="80"/>
      <c r="BF320" s="80"/>
      <c r="BG320" s="80"/>
      <c r="BH320" s="80"/>
      <c r="BI320" s="80"/>
      <c r="BJ320" s="80"/>
      <c r="BK320" s="80"/>
      <c r="BL320" s="80"/>
      <c r="BM320" s="80"/>
      <c r="BN320" s="80"/>
      <c r="BO320" s="80"/>
      <c r="BP320" s="80"/>
      <c r="BQ320" s="80"/>
      <c r="BR320" s="80"/>
      <c r="BS320" s="80"/>
      <c r="BT320" s="80"/>
      <c r="BU320" s="80"/>
    </row>
    <row r="321" spans="15:73"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  <c r="AN321" s="80"/>
      <c r="AO321" s="80"/>
      <c r="AP321" s="80"/>
      <c r="AQ321" s="80"/>
      <c r="AR321" s="80"/>
      <c r="AS321" s="80"/>
      <c r="AT321" s="80"/>
      <c r="AU321" s="80"/>
      <c r="AV321" s="80"/>
      <c r="AW321" s="80"/>
      <c r="AX321" s="80"/>
      <c r="AY321" s="80"/>
      <c r="AZ321" s="80"/>
      <c r="BA321" s="80"/>
      <c r="BB321" s="80"/>
      <c r="BC321" s="80"/>
      <c r="BD321" s="80"/>
      <c r="BE321" s="80"/>
      <c r="BF321" s="80"/>
      <c r="BG321" s="80"/>
      <c r="BH321" s="80"/>
      <c r="BI321" s="80"/>
      <c r="BJ321" s="80"/>
      <c r="BK321" s="80"/>
      <c r="BL321" s="80"/>
      <c r="BM321" s="80"/>
      <c r="BN321" s="80"/>
      <c r="BO321" s="80"/>
      <c r="BP321" s="80"/>
      <c r="BQ321" s="80"/>
      <c r="BR321" s="80"/>
      <c r="BS321" s="80"/>
      <c r="BT321" s="80"/>
      <c r="BU321" s="80"/>
    </row>
    <row r="322" spans="15:73"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  <c r="AN322" s="80"/>
      <c r="AO322" s="80"/>
      <c r="AP322" s="80"/>
      <c r="AQ322" s="80"/>
      <c r="AR322" s="80"/>
      <c r="AS322" s="80"/>
      <c r="AT322" s="80"/>
      <c r="AU322" s="80"/>
      <c r="AV322" s="80"/>
      <c r="AW322" s="80"/>
      <c r="AX322" s="80"/>
      <c r="AY322" s="80"/>
      <c r="AZ322" s="80"/>
      <c r="BA322" s="80"/>
      <c r="BB322" s="80"/>
      <c r="BC322" s="80"/>
      <c r="BD322" s="80"/>
      <c r="BE322" s="80"/>
      <c r="BF322" s="80"/>
      <c r="BG322" s="80"/>
      <c r="BH322" s="80"/>
      <c r="BI322" s="80"/>
      <c r="BJ322" s="80"/>
      <c r="BK322" s="80"/>
      <c r="BL322" s="80"/>
      <c r="BM322" s="80"/>
      <c r="BN322" s="80"/>
      <c r="BO322" s="80"/>
      <c r="BP322" s="80"/>
      <c r="BQ322" s="80"/>
      <c r="BR322" s="80"/>
      <c r="BS322" s="80"/>
      <c r="BT322" s="80"/>
      <c r="BU322" s="80"/>
    </row>
    <row r="323" spans="15:73"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  <c r="AN323" s="80"/>
      <c r="AO323" s="80"/>
      <c r="AP323" s="80"/>
      <c r="AQ323" s="80"/>
      <c r="AR323" s="80"/>
      <c r="AS323" s="80"/>
      <c r="AT323" s="80"/>
      <c r="AU323" s="80"/>
      <c r="AV323" s="80"/>
      <c r="AW323" s="80"/>
      <c r="AX323" s="80"/>
      <c r="AY323" s="80"/>
      <c r="AZ323" s="80"/>
      <c r="BA323" s="80"/>
      <c r="BB323" s="80"/>
      <c r="BC323" s="80"/>
      <c r="BD323" s="80"/>
      <c r="BE323" s="80"/>
      <c r="BF323" s="80"/>
      <c r="BG323" s="80"/>
      <c r="BH323" s="80"/>
      <c r="BI323" s="80"/>
      <c r="BJ323" s="80"/>
      <c r="BK323" s="80"/>
      <c r="BL323" s="80"/>
      <c r="BM323" s="80"/>
      <c r="BN323" s="80"/>
      <c r="BO323" s="80"/>
      <c r="BP323" s="80"/>
      <c r="BQ323" s="80"/>
      <c r="BR323" s="80"/>
      <c r="BS323" s="80"/>
      <c r="BT323" s="80"/>
      <c r="BU323" s="80"/>
    </row>
    <row r="324" spans="15:73"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  <c r="AN324" s="80"/>
      <c r="AO324" s="80"/>
      <c r="AP324" s="80"/>
      <c r="AQ324" s="80"/>
      <c r="AR324" s="80"/>
      <c r="AS324" s="80"/>
      <c r="AT324" s="80"/>
      <c r="AU324" s="80"/>
      <c r="AV324" s="80"/>
      <c r="AW324" s="80"/>
      <c r="AX324" s="80"/>
      <c r="AY324" s="80"/>
      <c r="AZ324" s="80"/>
      <c r="BA324" s="80"/>
      <c r="BB324" s="80"/>
      <c r="BC324" s="80"/>
      <c r="BD324" s="80"/>
      <c r="BE324" s="80"/>
      <c r="BF324" s="80"/>
      <c r="BG324" s="80"/>
      <c r="BH324" s="80"/>
      <c r="BI324" s="80"/>
      <c r="BJ324" s="80"/>
      <c r="BK324" s="80"/>
      <c r="BL324" s="80"/>
      <c r="BM324" s="80"/>
      <c r="BN324" s="80"/>
      <c r="BO324" s="80"/>
      <c r="BP324" s="80"/>
      <c r="BQ324" s="80"/>
      <c r="BR324" s="80"/>
      <c r="BS324" s="80"/>
      <c r="BT324" s="80"/>
      <c r="BU324" s="80"/>
    </row>
    <row r="325" spans="15:73"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  <c r="AN325" s="80"/>
      <c r="AO325" s="80"/>
      <c r="AP325" s="80"/>
      <c r="AQ325" s="80"/>
      <c r="AR325" s="80"/>
      <c r="AS325" s="80"/>
      <c r="AT325" s="80"/>
      <c r="AU325" s="80"/>
      <c r="AV325" s="80"/>
      <c r="AW325" s="80"/>
      <c r="AX325" s="80"/>
      <c r="AY325" s="80"/>
      <c r="AZ325" s="80"/>
      <c r="BA325" s="80"/>
      <c r="BB325" s="80"/>
      <c r="BC325" s="80"/>
      <c r="BD325" s="80"/>
      <c r="BE325" s="80"/>
      <c r="BF325" s="80"/>
      <c r="BG325" s="80"/>
      <c r="BH325" s="80"/>
      <c r="BI325" s="80"/>
      <c r="BJ325" s="80"/>
      <c r="BK325" s="80"/>
      <c r="BL325" s="80"/>
      <c r="BM325" s="80"/>
      <c r="BN325" s="80"/>
      <c r="BO325" s="80"/>
      <c r="BP325" s="80"/>
      <c r="BQ325" s="80"/>
      <c r="BR325" s="80"/>
      <c r="BS325" s="80"/>
      <c r="BT325" s="80"/>
      <c r="BU325" s="80"/>
    </row>
    <row r="326" spans="15:73"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  <c r="AN326" s="80"/>
      <c r="AO326" s="80"/>
      <c r="AP326" s="80"/>
      <c r="AQ326" s="80"/>
      <c r="AR326" s="80"/>
      <c r="AS326" s="80"/>
      <c r="AT326" s="80"/>
      <c r="AU326" s="80"/>
      <c r="AV326" s="80"/>
      <c r="AW326" s="80"/>
      <c r="AX326" s="80"/>
      <c r="AY326" s="80"/>
      <c r="AZ326" s="80"/>
      <c r="BA326" s="80"/>
      <c r="BB326" s="80"/>
      <c r="BC326" s="80"/>
      <c r="BD326" s="80"/>
      <c r="BE326" s="80"/>
      <c r="BF326" s="80"/>
      <c r="BG326" s="80"/>
      <c r="BH326" s="80"/>
      <c r="BI326" s="80"/>
      <c r="BJ326" s="80"/>
      <c r="BK326" s="80"/>
      <c r="BL326" s="80"/>
      <c r="BM326" s="80"/>
      <c r="BN326" s="80"/>
      <c r="BO326" s="80"/>
      <c r="BP326" s="80"/>
      <c r="BQ326" s="80"/>
      <c r="BR326" s="80"/>
      <c r="BS326" s="80"/>
      <c r="BT326" s="80"/>
      <c r="BU326" s="80"/>
    </row>
    <row r="327" spans="15:73"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  <c r="AN327" s="80"/>
      <c r="AO327" s="80"/>
      <c r="AP327" s="80"/>
      <c r="AQ327" s="80"/>
      <c r="AR327" s="80"/>
      <c r="AS327" s="80"/>
      <c r="AT327" s="80"/>
      <c r="AU327" s="80"/>
      <c r="AV327" s="80"/>
      <c r="AW327" s="80"/>
      <c r="AX327" s="80"/>
      <c r="AY327" s="80"/>
      <c r="AZ327" s="80"/>
      <c r="BA327" s="80"/>
      <c r="BB327" s="80"/>
      <c r="BC327" s="80"/>
      <c r="BD327" s="80"/>
      <c r="BE327" s="80"/>
      <c r="BF327" s="80"/>
      <c r="BG327" s="80"/>
      <c r="BH327" s="80"/>
      <c r="BI327" s="80"/>
      <c r="BJ327" s="80"/>
      <c r="BK327" s="80"/>
      <c r="BL327" s="80"/>
      <c r="BM327" s="80"/>
      <c r="BN327" s="80"/>
      <c r="BO327" s="80"/>
      <c r="BP327" s="80"/>
      <c r="BQ327" s="80"/>
      <c r="BR327" s="80"/>
      <c r="BS327" s="80"/>
      <c r="BT327" s="80"/>
      <c r="BU327" s="80"/>
    </row>
    <row r="328" spans="15:73"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  <c r="AN328" s="80"/>
      <c r="AO328" s="80"/>
      <c r="AP328" s="80"/>
      <c r="AQ328" s="80"/>
      <c r="AR328" s="80"/>
      <c r="AS328" s="80"/>
      <c r="AT328" s="80"/>
      <c r="AU328" s="80"/>
      <c r="AV328" s="80"/>
      <c r="AW328" s="80"/>
      <c r="AX328" s="80"/>
      <c r="AY328" s="80"/>
      <c r="AZ328" s="80"/>
      <c r="BA328" s="80"/>
      <c r="BB328" s="80"/>
      <c r="BC328" s="80"/>
      <c r="BD328" s="80"/>
      <c r="BE328" s="80"/>
      <c r="BF328" s="80"/>
      <c r="BG328" s="80"/>
      <c r="BH328" s="80"/>
      <c r="BI328" s="80"/>
      <c r="BJ328" s="80"/>
      <c r="BK328" s="80"/>
      <c r="BL328" s="80"/>
      <c r="BM328" s="80"/>
      <c r="BN328" s="80"/>
      <c r="BO328" s="80"/>
      <c r="BP328" s="80"/>
      <c r="BQ328" s="80"/>
      <c r="BR328" s="80"/>
      <c r="BS328" s="80"/>
      <c r="BT328" s="80"/>
      <c r="BU328" s="80"/>
    </row>
    <row r="329" spans="15:73"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  <c r="AN329" s="80"/>
      <c r="AO329" s="80"/>
      <c r="AP329" s="80"/>
      <c r="AQ329" s="80"/>
      <c r="AR329" s="80"/>
      <c r="AS329" s="80"/>
      <c r="AT329" s="80"/>
      <c r="AU329" s="80"/>
      <c r="AV329" s="80"/>
      <c r="AW329" s="80"/>
      <c r="AX329" s="80"/>
      <c r="AY329" s="80"/>
      <c r="AZ329" s="80"/>
      <c r="BA329" s="80"/>
      <c r="BB329" s="80"/>
      <c r="BC329" s="80"/>
      <c r="BD329" s="80"/>
      <c r="BE329" s="80"/>
      <c r="BF329" s="80"/>
      <c r="BG329" s="80"/>
      <c r="BH329" s="80"/>
      <c r="BI329" s="80"/>
      <c r="BJ329" s="80"/>
      <c r="BK329" s="80"/>
      <c r="BL329" s="80"/>
      <c r="BM329" s="80"/>
      <c r="BN329" s="80"/>
      <c r="BO329" s="80"/>
      <c r="BP329" s="80"/>
      <c r="BQ329" s="80"/>
      <c r="BR329" s="80"/>
      <c r="BS329" s="80"/>
      <c r="BT329" s="80"/>
      <c r="BU329" s="80"/>
    </row>
    <row r="330" spans="15:73"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  <c r="AN330" s="80"/>
      <c r="AO330" s="80"/>
      <c r="AP330" s="80"/>
      <c r="AQ330" s="80"/>
      <c r="AR330" s="80"/>
      <c r="AS330" s="80"/>
      <c r="AT330" s="80"/>
      <c r="AU330" s="80"/>
      <c r="AV330" s="80"/>
      <c r="AW330" s="80"/>
      <c r="AX330" s="80"/>
      <c r="AY330" s="80"/>
      <c r="AZ330" s="80"/>
      <c r="BA330" s="80"/>
      <c r="BB330" s="80"/>
      <c r="BC330" s="80"/>
      <c r="BD330" s="80"/>
      <c r="BE330" s="80"/>
      <c r="BF330" s="80"/>
      <c r="BG330" s="80"/>
      <c r="BH330" s="80"/>
      <c r="BI330" s="80"/>
      <c r="BJ330" s="80"/>
      <c r="BK330" s="80"/>
      <c r="BL330" s="80"/>
      <c r="BM330" s="80"/>
      <c r="BN330" s="80"/>
      <c r="BO330" s="80"/>
      <c r="BP330" s="80"/>
      <c r="BQ330" s="80"/>
      <c r="BR330" s="80"/>
      <c r="BS330" s="80"/>
      <c r="BT330" s="80"/>
      <c r="BU330" s="80"/>
    </row>
    <row r="331" spans="15:73"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  <c r="AN331" s="80"/>
      <c r="AO331" s="80"/>
      <c r="AP331" s="80"/>
      <c r="AQ331" s="80"/>
      <c r="AR331" s="80"/>
      <c r="AS331" s="80"/>
      <c r="AT331" s="80"/>
      <c r="AU331" s="80"/>
      <c r="AV331" s="80"/>
      <c r="AW331" s="80"/>
      <c r="AX331" s="80"/>
      <c r="AY331" s="80"/>
      <c r="AZ331" s="80"/>
      <c r="BA331" s="80"/>
      <c r="BB331" s="80"/>
      <c r="BC331" s="80"/>
      <c r="BD331" s="80"/>
      <c r="BE331" s="80"/>
      <c r="BF331" s="80"/>
      <c r="BG331" s="80"/>
      <c r="BH331" s="80"/>
      <c r="BI331" s="80"/>
      <c r="BJ331" s="80"/>
      <c r="BK331" s="80"/>
      <c r="BL331" s="80"/>
      <c r="BM331" s="80"/>
      <c r="BN331" s="80"/>
      <c r="BO331" s="80"/>
      <c r="BP331" s="80"/>
      <c r="BQ331" s="80"/>
      <c r="BR331" s="80"/>
      <c r="BS331" s="80"/>
      <c r="BT331" s="80"/>
      <c r="BU331" s="80"/>
    </row>
    <row r="332" spans="15:73"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  <c r="AN332" s="80"/>
      <c r="AO332" s="80"/>
      <c r="AP332" s="80"/>
      <c r="AQ332" s="80"/>
      <c r="AR332" s="80"/>
      <c r="AS332" s="80"/>
      <c r="AT332" s="80"/>
      <c r="AU332" s="80"/>
      <c r="AV332" s="80"/>
      <c r="AW332" s="80"/>
      <c r="AX332" s="80"/>
      <c r="AY332" s="80"/>
      <c r="AZ332" s="80"/>
      <c r="BA332" s="80"/>
      <c r="BB332" s="80"/>
      <c r="BC332" s="80"/>
      <c r="BD332" s="80"/>
      <c r="BE332" s="80"/>
      <c r="BF332" s="80"/>
      <c r="BG332" s="80"/>
      <c r="BH332" s="80"/>
      <c r="BI332" s="80"/>
      <c r="BJ332" s="80"/>
      <c r="BK332" s="80"/>
      <c r="BL332" s="80"/>
      <c r="BM332" s="80"/>
      <c r="BN332" s="80"/>
      <c r="BO332" s="80"/>
      <c r="BP332" s="80"/>
      <c r="BQ332" s="80"/>
      <c r="BR332" s="80"/>
      <c r="BS332" s="80"/>
      <c r="BT332" s="80"/>
      <c r="BU332" s="80"/>
    </row>
    <row r="333" spans="15:73"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  <c r="AN333" s="80"/>
      <c r="AO333" s="80"/>
      <c r="AP333" s="80"/>
      <c r="AQ333" s="80"/>
      <c r="AR333" s="80"/>
      <c r="AS333" s="80"/>
      <c r="AT333" s="80"/>
      <c r="AU333" s="80"/>
      <c r="AV333" s="80"/>
      <c r="AW333" s="80"/>
      <c r="AX333" s="80"/>
      <c r="AY333" s="80"/>
      <c r="AZ333" s="80"/>
      <c r="BA333" s="80"/>
      <c r="BB333" s="80"/>
      <c r="BC333" s="80"/>
      <c r="BD333" s="80"/>
      <c r="BE333" s="80"/>
      <c r="BF333" s="80"/>
      <c r="BG333" s="80"/>
      <c r="BH333" s="80"/>
      <c r="BI333" s="80"/>
      <c r="BJ333" s="80"/>
      <c r="BK333" s="80"/>
      <c r="BL333" s="80"/>
      <c r="BM333" s="80"/>
      <c r="BN333" s="80"/>
      <c r="BO333" s="80"/>
      <c r="BP333" s="80"/>
      <c r="BQ333" s="80"/>
      <c r="BR333" s="80"/>
      <c r="BS333" s="80"/>
      <c r="BT333" s="80"/>
      <c r="BU333" s="80"/>
    </row>
    <row r="334" spans="15:73"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  <c r="AN334" s="80"/>
      <c r="AO334" s="80"/>
      <c r="AP334" s="80"/>
      <c r="AQ334" s="80"/>
      <c r="AR334" s="80"/>
      <c r="AS334" s="80"/>
      <c r="AT334" s="80"/>
      <c r="AU334" s="80"/>
      <c r="AV334" s="80"/>
      <c r="AW334" s="80"/>
      <c r="AX334" s="80"/>
      <c r="AY334" s="80"/>
      <c r="AZ334" s="80"/>
      <c r="BA334" s="80"/>
      <c r="BB334" s="80"/>
      <c r="BC334" s="80"/>
      <c r="BD334" s="80"/>
      <c r="BE334" s="80"/>
      <c r="BF334" s="80"/>
      <c r="BG334" s="80"/>
      <c r="BH334" s="80"/>
      <c r="BI334" s="80"/>
      <c r="BJ334" s="80"/>
      <c r="BK334" s="80"/>
      <c r="BL334" s="80"/>
      <c r="BM334" s="80"/>
      <c r="BN334" s="80"/>
      <c r="BO334" s="80"/>
      <c r="BP334" s="80"/>
      <c r="BQ334" s="80"/>
      <c r="BR334" s="80"/>
      <c r="BS334" s="80"/>
      <c r="BT334" s="80"/>
      <c r="BU334" s="80"/>
    </row>
    <row r="335" spans="15:73"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  <c r="AN335" s="80"/>
      <c r="AO335" s="80"/>
      <c r="AP335" s="80"/>
      <c r="AQ335" s="80"/>
      <c r="AR335" s="80"/>
      <c r="AS335" s="80"/>
      <c r="AT335" s="80"/>
      <c r="AU335" s="80"/>
      <c r="AV335" s="80"/>
      <c r="AW335" s="80"/>
      <c r="AX335" s="80"/>
      <c r="AY335" s="80"/>
      <c r="AZ335" s="80"/>
      <c r="BA335" s="80"/>
      <c r="BB335" s="80"/>
      <c r="BC335" s="80"/>
      <c r="BD335" s="80"/>
      <c r="BE335" s="80"/>
      <c r="BF335" s="80"/>
      <c r="BG335" s="80"/>
      <c r="BH335" s="80"/>
      <c r="BI335" s="80"/>
      <c r="BJ335" s="80"/>
      <c r="BK335" s="80"/>
      <c r="BL335" s="80"/>
      <c r="BM335" s="80"/>
      <c r="BN335" s="80"/>
      <c r="BO335" s="80"/>
      <c r="BP335" s="80"/>
      <c r="BQ335" s="80"/>
      <c r="BR335" s="80"/>
      <c r="BS335" s="80"/>
      <c r="BT335" s="80"/>
      <c r="BU335" s="80"/>
    </row>
    <row r="336" spans="15:73"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  <c r="AN336" s="80"/>
      <c r="AO336" s="80"/>
      <c r="AP336" s="80"/>
      <c r="AQ336" s="80"/>
      <c r="AR336" s="80"/>
      <c r="AS336" s="80"/>
      <c r="AT336" s="80"/>
      <c r="AU336" s="80"/>
      <c r="AV336" s="80"/>
      <c r="AW336" s="80"/>
      <c r="AX336" s="80"/>
      <c r="AY336" s="80"/>
      <c r="AZ336" s="80"/>
      <c r="BA336" s="80"/>
      <c r="BB336" s="80"/>
      <c r="BC336" s="80"/>
      <c r="BD336" s="80"/>
      <c r="BE336" s="80"/>
      <c r="BF336" s="80"/>
      <c r="BG336" s="80"/>
      <c r="BH336" s="80"/>
      <c r="BI336" s="80"/>
      <c r="BJ336" s="80"/>
      <c r="BK336" s="80"/>
      <c r="BL336" s="80"/>
      <c r="BM336" s="80"/>
      <c r="BN336" s="80"/>
      <c r="BO336" s="80"/>
      <c r="BP336" s="80"/>
      <c r="BQ336" s="80"/>
      <c r="BR336" s="80"/>
      <c r="BS336" s="80"/>
      <c r="BT336" s="80"/>
      <c r="BU336" s="80"/>
    </row>
    <row r="337" spans="15:73"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  <c r="AN337" s="80"/>
      <c r="AO337" s="80"/>
      <c r="AP337" s="80"/>
      <c r="AQ337" s="80"/>
      <c r="AR337" s="80"/>
      <c r="AS337" s="80"/>
      <c r="AT337" s="80"/>
      <c r="AU337" s="80"/>
      <c r="AV337" s="80"/>
      <c r="AW337" s="80"/>
      <c r="AX337" s="80"/>
      <c r="AY337" s="80"/>
      <c r="AZ337" s="80"/>
      <c r="BA337" s="80"/>
      <c r="BB337" s="80"/>
      <c r="BC337" s="80"/>
      <c r="BD337" s="80"/>
      <c r="BE337" s="80"/>
      <c r="BF337" s="80"/>
      <c r="BG337" s="80"/>
      <c r="BH337" s="80"/>
      <c r="BI337" s="80"/>
      <c r="BJ337" s="80"/>
      <c r="BK337" s="80"/>
      <c r="BL337" s="80"/>
      <c r="BM337" s="80"/>
      <c r="BN337" s="80"/>
      <c r="BO337" s="80"/>
      <c r="BP337" s="80"/>
      <c r="BQ337" s="80"/>
      <c r="BR337" s="80"/>
      <c r="BS337" s="80"/>
      <c r="BT337" s="80"/>
      <c r="BU337" s="80"/>
    </row>
    <row r="338" spans="15:73"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  <c r="AN338" s="80"/>
      <c r="AO338" s="80"/>
      <c r="AP338" s="80"/>
      <c r="AQ338" s="80"/>
      <c r="AR338" s="80"/>
      <c r="AS338" s="80"/>
      <c r="AT338" s="80"/>
      <c r="AU338" s="80"/>
      <c r="AV338" s="80"/>
      <c r="AW338" s="80"/>
      <c r="AX338" s="80"/>
      <c r="AY338" s="80"/>
      <c r="AZ338" s="80"/>
      <c r="BA338" s="80"/>
      <c r="BB338" s="80"/>
      <c r="BC338" s="80"/>
      <c r="BD338" s="80"/>
      <c r="BE338" s="80"/>
      <c r="BF338" s="80"/>
      <c r="BG338" s="80"/>
      <c r="BH338" s="80"/>
      <c r="BI338" s="80"/>
      <c r="BJ338" s="80"/>
      <c r="BK338" s="80"/>
      <c r="BL338" s="80"/>
      <c r="BM338" s="80"/>
      <c r="BN338" s="80"/>
      <c r="BO338" s="80"/>
      <c r="BP338" s="80"/>
      <c r="BQ338" s="80"/>
      <c r="BR338" s="80"/>
      <c r="BS338" s="80"/>
      <c r="BT338" s="80"/>
      <c r="BU338" s="80"/>
    </row>
    <row r="339" spans="15:73"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  <c r="AN339" s="80"/>
      <c r="AO339" s="80"/>
      <c r="AP339" s="80"/>
      <c r="AQ339" s="80"/>
      <c r="AR339" s="80"/>
      <c r="AS339" s="80"/>
      <c r="AT339" s="80"/>
      <c r="AU339" s="80"/>
      <c r="AV339" s="80"/>
      <c r="AW339" s="80"/>
      <c r="AX339" s="80"/>
      <c r="AY339" s="80"/>
      <c r="AZ339" s="80"/>
      <c r="BA339" s="80"/>
      <c r="BB339" s="80"/>
      <c r="BC339" s="80"/>
      <c r="BD339" s="80"/>
      <c r="BE339" s="80"/>
      <c r="BF339" s="80"/>
      <c r="BG339" s="80"/>
      <c r="BH339" s="80"/>
      <c r="BI339" s="80"/>
      <c r="BJ339" s="80"/>
      <c r="BK339" s="80"/>
      <c r="BL339" s="80"/>
      <c r="BM339" s="80"/>
      <c r="BN339" s="80"/>
      <c r="BO339" s="80"/>
      <c r="BP339" s="80"/>
      <c r="BQ339" s="80"/>
      <c r="BR339" s="80"/>
      <c r="BS339" s="80"/>
      <c r="BT339" s="80"/>
      <c r="BU339" s="80"/>
    </row>
    <row r="340" spans="15:73"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  <c r="AN340" s="80"/>
      <c r="AO340" s="80"/>
      <c r="AP340" s="80"/>
      <c r="AQ340" s="80"/>
      <c r="AR340" s="80"/>
      <c r="AS340" s="80"/>
      <c r="AT340" s="80"/>
      <c r="AU340" s="80"/>
      <c r="AV340" s="80"/>
      <c r="AW340" s="80"/>
      <c r="AX340" s="80"/>
      <c r="AY340" s="80"/>
      <c r="AZ340" s="80"/>
      <c r="BA340" s="80"/>
      <c r="BB340" s="80"/>
      <c r="BC340" s="80"/>
      <c r="BD340" s="80"/>
      <c r="BE340" s="80"/>
      <c r="BF340" s="80"/>
      <c r="BG340" s="80"/>
      <c r="BH340" s="80"/>
      <c r="BI340" s="80"/>
      <c r="BJ340" s="80"/>
      <c r="BK340" s="80"/>
      <c r="BL340" s="80"/>
      <c r="BM340" s="80"/>
      <c r="BN340" s="80"/>
      <c r="BO340" s="80"/>
      <c r="BP340" s="80"/>
      <c r="BQ340" s="80"/>
      <c r="BR340" s="80"/>
      <c r="BS340" s="80"/>
      <c r="BT340" s="80"/>
      <c r="BU340" s="80"/>
    </row>
    <row r="341" spans="15:73"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  <c r="AN341" s="80"/>
      <c r="AO341" s="80"/>
      <c r="AP341" s="80"/>
      <c r="AQ341" s="80"/>
      <c r="AR341" s="80"/>
      <c r="AS341" s="80"/>
      <c r="AT341" s="80"/>
      <c r="AU341" s="80"/>
      <c r="AV341" s="80"/>
      <c r="AW341" s="80"/>
      <c r="AX341" s="80"/>
      <c r="AY341" s="80"/>
      <c r="AZ341" s="80"/>
      <c r="BA341" s="80"/>
      <c r="BB341" s="80"/>
      <c r="BC341" s="80"/>
      <c r="BD341" s="80"/>
      <c r="BE341" s="80"/>
      <c r="BF341" s="80"/>
      <c r="BG341" s="80"/>
      <c r="BH341" s="80"/>
      <c r="BI341" s="80"/>
      <c r="BJ341" s="80"/>
      <c r="BK341" s="80"/>
      <c r="BL341" s="80"/>
      <c r="BM341" s="80"/>
      <c r="BN341" s="80"/>
      <c r="BO341" s="80"/>
      <c r="BP341" s="80"/>
      <c r="BQ341" s="80"/>
      <c r="BR341" s="80"/>
      <c r="BS341" s="80"/>
      <c r="BT341" s="80"/>
      <c r="BU341" s="80"/>
    </row>
    <row r="342" spans="15:73"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80"/>
      <c r="BN342" s="80"/>
      <c r="BO342" s="80"/>
      <c r="BP342" s="80"/>
      <c r="BQ342" s="80"/>
      <c r="BR342" s="80"/>
      <c r="BS342" s="80"/>
      <c r="BT342" s="80"/>
      <c r="BU342" s="80"/>
    </row>
    <row r="343" spans="15:73"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80"/>
      <c r="BN343" s="80"/>
      <c r="BO343" s="80"/>
      <c r="BP343" s="80"/>
      <c r="BQ343" s="80"/>
      <c r="BR343" s="80"/>
      <c r="BS343" s="80"/>
      <c r="BT343" s="80"/>
      <c r="BU343" s="80"/>
    </row>
    <row r="344" spans="15:73"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80"/>
      <c r="BN344" s="80"/>
      <c r="BO344" s="80"/>
      <c r="BP344" s="80"/>
      <c r="BQ344" s="80"/>
      <c r="BR344" s="80"/>
      <c r="BS344" s="80"/>
      <c r="BT344" s="80"/>
      <c r="BU344" s="80"/>
    </row>
    <row r="345" spans="15:73"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80"/>
      <c r="BN345" s="80"/>
      <c r="BO345" s="80"/>
      <c r="BP345" s="80"/>
      <c r="BQ345" s="80"/>
      <c r="BR345" s="80"/>
      <c r="BS345" s="80"/>
      <c r="BT345" s="80"/>
      <c r="BU345" s="80"/>
    </row>
    <row r="346" spans="15:73"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80"/>
      <c r="AY346" s="80"/>
      <c r="AZ346" s="80"/>
      <c r="BA346" s="80"/>
      <c r="BB346" s="80"/>
      <c r="BC346" s="80"/>
      <c r="BD346" s="80"/>
      <c r="BE346" s="80"/>
      <c r="BF346" s="80"/>
      <c r="BG346" s="80"/>
      <c r="BH346" s="80"/>
      <c r="BI346" s="80"/>
      <c r="BJ346" s="80"/>
      <c r="BK346" s="80"/>
      <c r="BL346" s="80"/>
      <c r="BM346" s="80"/>
      <c r="BN346" s="80"/>
      <c r="BO346" s="80"/>
      <c r="BP346" s="80"/>
      <c r="BQ346" s="80"/>
      <c r="BR346" s="80"/>
      <c r="BS346" s="80"/>
      <c r="BT346" s="80"/>
      <c r="BU346" s="80"/>
    </row>
    <row r="347" spans="15:73"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  <c r="AN347" s="80"/>
      <c r="AO347" s="80"/>
      <c r="AP347" s="80"/>
      <c r="AQ347" s="80"/>
      <c r="AR347" s="80"/>
      <c r="AS347" s="80"/>
      <c r="AT347" s="80"/>
      <c r="AU347" s="80"/>
      <c r="AV347" s="80"/>
      <c r="AW347" s="80"/>
      <c r="AX347" s="80"/>
      <c r="AY347" s="80"/>
      <c r="AZ347" s="80"/>
      <c r="BA347" s="80"/>
      <c r="BB347" s="80"/>
      <c r="BC347" s="80"/>
      <c r="BD347" s="80"/>
      <c r="BE347" s="80"/>
      <c r="BF347" s="80"/>
      <c r="BG347" s="80"/>
      <c r="BH347" s="80"/>
      <c r="BI347" s="80"/>
      <c r="BJ347" s="80"/>
      <c r="BK347" s="80"/>
      <c r="BL347" s="80"/>
      <c r="BM347" s="80"/>
      <c r="BN347" s="80"/>
      <c r="BO347" s="80"/>
      <c r="BP347" s="80"/>
      <c r="BQ347" s="80"/>
      <c r="BR347" s="80"/>
      <c r="BS347" s="80"/>
      <c r="BT347" s="80"/>
      <c r="BU347" s="80"/>
    </row>
    <row r="348" spans="15:73"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  <c r="AN348" s="80"/>
      <c r="AO348" s="80"/>
      <c r="AP348" s="80"/>
      <c r="AQ348" s="80"/>
      <c r="AR348" s="80"/>
      <c r="AS348" s="80"/>
      <c r="AT348" s="80"/>
      <c r="AU348" s="80"/>
      <c r="AV348" s="80"/>
      <c r="AW348" s="80"/>
      <c r="AX348" s="80"/>
      <c r="AY348" s="80"/>
      <c r="AZ348" s="80"/>
      <c r="BA348" s="80"/>
      <c r="BB348" s="80"/>
      <c r="BC348" s="80"/>
      <c r="BD348" s="80"/>
      <c r="BE348" s="80"/>
      <c r="BF348" s="80"/>
      <c r="BG348" s="80"/>
      <c r="BH348" s="80"/>
      <c r="BI348" s="80"/>
      <c r="BJ348" s="80"/>
      <c r="BK348" s="80"/>
      <c r="BL348" s="80"/>
      <c r="BM348" s="80"/>
      <c r="BN348" s="80"/>
      <c r="BO348" s="80"/>
      <c r="BP348" s="80"/>
      <c r="BQ348" s="80"/>
      <c r="BR348" s="80"/>
      <c r="BS348" s="80"/>
      <c r="BT348" s="80"/>
      <c r="BU348" s="80"/>
    </row>
    <row r="349" spans="15:73"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  <c r="AN349" s="80"/>
      <c r="AO349" s="80"/>
      <c r="AP349" s="80"/>
      <c r="AQ349" s="80"/>
      <c r="AR349" s="80"/>
      <c r="AS349" s="80"/>
      <c r="AT349" s="80"/>
      <c r="AU349" s="80"/>
      <c r="AV349" s="80"/>
      <c r="AW349" s="80"/>
      <c r="AX349" s="80"/>
      <c r="AY349" s="80"/>
      <c r="AZ349" s="80"/>
      <c r="BA349" s="80"/>
      <c r="BB349" s="80"/>
      <c r="BC349" s="80"/>
      <c r="BD349" s="80"/>
      <c r="BE349" s="80"/>
      <c r="BF349" s="80"/>
      <c r="BG349" s="80"/>
      <c r="BH349" s="80"/>
      <c r="BI349" s="80"/>
      <c r="BJ349" s="80"/>
      <c r="BK349" s="80"/>
      <c r="BL349" s="80"/>
      <c r="BM349" s="80"/>
      <c r="BN349" s="80"/>
      <c r="BO349" s="80"/>
      <c r="BP349" s="80"/>
      <c r="BQ349" s="80"/>
      <c r="BR349" s="80"/>
      <c r="BS349" s="80"/>
      <c r="BT349" s="80"/>
      <c r="BU349" s="80"/>
    </row>
    <row r="350" spans="15:73"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  <c r="AN350" s="80"/>
      <c r="AO350" s="80"/>
      <c r="AP350" s="80"/>
      <c r="AQ350" s="80"/>
      <c r="AR350" s="80"/>
      <c r="AS350" s="80"/>
      <c r="AT350" s="80"/>
      <c r="AU350" s="80"/>
      <c r="AV350" s="80"/>
      <c r="AW350" s="80"/>
      <c r="AX350" s="80"/>
      <c r="AY350" s="80"/>
      <c r="AZ350" s="80"/>
      <c r="BA350" s="80"/>
      <c r="BB350" s="80"/>
      <c r="BC350" s="80"/>
      <c r="BD350" s="80"/>
      <c r="BE350" s="80"/>
      <c r="BF350" s="80"/>
      <c r="BG350" s="80"/>
      <c r="BH350" s="80"/>
      <c r="BI350" s="80"/>
      <c r="BJ350" s="80"/>
      <c r="BK350" s="80"/>
      <c r="BL350" s="80"/>
      <c r="BM350" s="80"/>
      <c r="BN350" s="80"/>
      <c r="BO350" s="80"/>
      <c r="BP350" s="80"/>
      <c r="BQ350" s="80"/>
      <c r="BR350" s="80"/>
      <c r="BS350" s="80"/>
      <c r="BT350" s="80"/>
      <c r="BU350" s="80"/>
    </row>
    <row r="351" spans="15:73"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  <c r="AN351" s="80"/>
      <c r="AO351" s="80"/>
      <c r="AP351" s="80"/>
      <c r="AQ351" s="80"/>
      <c r="AR351" s="80"/>
      <c r="AS351" s="80"/>
      <c r="AT351" s="80"/>
      <c r="AU351" s="80"/>
      <c r="AV351" s="80"/>
      <c r="AW351" s="80"/>
      <c r="AX351" s="80"/>
      <c r="AY351" s="80"/>
      <c r="AZ351" s="80"/>
      <c r="BA351" s="80"/>
      <c r="BB351" s="80"/>
      <c r="BC351" s="80"/>
      <c r="BD351" s="80"/>
      <c r="BE351" s="80"/>
      <c r="BF351" s="80"/>
      <c r="BG351" s="80"/>
      <c r="BH351" s="80"/>
      <c r="BI351" s="80"/>
      <c r="BJ351" s="80"/>
      <c r="BK351" s="80"/>
      <c r="BL351" s="80"/>
      <c r="BM351" s="80"/>
      <c r="BN351" s="80"/>
      <c r="BO351" s="80"/>
      <c r="BP351" s="80"/>
      <c r="BQ351" s="80"/>
      <c r="BR351" s="80"/>
      <c r="BS351" s="80"/>
      <c r="BT351" s="80"/>
      <c r="BU351" s="80"/>
    </row>
    <row r="352" spans="15:73"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  <c r="AN352" s="80"/>
      <c r="AO352" s="80"/>
      <c r="AP352" s="80"/>
      <c r="AQ352" s="80"/>
      <c r="AR352" s="80"/>
      <c r="AS352" s="80"/>
      <c r="AT352" s="80"/>
      <c r="AU352" s="80"/>
      <c r="AV352" s="80"/>
      <c r="AW352" s="80"/>
      <c r="AX352" s="80"/>
      <c r="AY352" s="80"/>
      <c r="AZ352" s="80"/>
      <c r="BA352" s="80"/>
      <c r="BB352" s="80"/>
      <c r="BC352" s="80"/>
      <c r="BD352" s="80"/>
      <c r="BE352" s="80"/>
      <c r="BF352" s="80"/>
      <c r="BG352" s="80"/>
      <c r="BH352" s="80"/>
      <c r="BI352" s="80"/>
      <c r="BJ352" s="80"/>
      <c r="BK352" s="80"/>
      <c r="BL352" s="80"/>
      <c r="BM352" s="80"/>
      <c r="BN352" s="80"/>
      <c r="BO352" s="80"/>
      <c r="BP352" s="80"/>
      <c r="BQ352" s="80"/>
      <c r="BR352" s="80"/>
      <c r="BS352" s="80"/>
      <c r="BT352" s="80"/>
      <c r="BU352" s="80"/>
    </row>
    <row r="353" spans="15:73"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  <c r="AN353" s="80"/>
      <c r="AO353" s="80"/>
      <c r="AP353" s="80"/>
      <c r="AQ353" s="80"/>
      <c r="AR353" s="80"/>
      <c r="AS353" s="80"/>
      <c r="AT353" s="80"/>
      <c r="AU353" s="80"/>
      <c r="AV353" s="80"/>
      <c r="AW353" s="80"/>
      <c r="AX353" s="80"/>
      <c r="AY353" s="80"/>
      <c r="AZ353" s="80"/>
      <c r="BA353" s="80"/>
      <c r="BB353" s="80"/>
      <c r="BC353" s="80"/>
      <c r="BD353" s="80"/>
      <c r="BE353" s="80"/>
      <c r="BF353" s="80"/>
      <c r="BG353" s="80"/>
      <c r="BH353" s="80"/>
      <c r="BI353" s="80"/>
      <c r="BJ353" s="80"/>
      <c r="BK353" s="80"/>
      <c r="BL353" s="80"/>
      <c r="BM353" s="80"/>
      <c r="BN353" s="80"/>
      <c r="BO353" s="80"/>
      <c r="BP353" s="80"/>
      <c r="BQ353" s="80"/>
      <c r="BR353" s="80"/>
      <c r="BS353" s="80"/>
      <c r="BT353" s="80"/>
      <c r="BU353" s="80"/>
    </row>
    <row r="354" spans="15:73"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  <c r="AN354" s="80"/>
      <c r="AO354" s="80"/>
      <c r="AP354" s="80"/>
      <c r="AQ354" s="80"/>
      <c r="AR354" s="80"/>
      <c r="AS354" s="80"/>
      <c r="AT354" s="80"/>
      <c r="AU354" s="80"/>
      <c r="AV354" s="80"/>
      <c r="AW354" s="80"/>
      <c r="AX354" s="80"/>
      <c r="AY354" s="80"/>
      <c r="AZ354" s="80"/>
      <c r="BA354" s="80"/>
      <c r="BB354" s="80"/>
      <c r="BC354" s="80"/>
      <c r="BD354" s="80"/>
      <c r="BE354" s="80"/>
      <c r="BF354" s="80"/>
      <c r="BG354" s="80"/>
      <c r="BH354" s="80"/>
      <c r="BI354" s="80"/>
      <c r="BJ354" s="80"/>
      <c r="BK354" s="80"/>
      <c r="BL354" s="80"/>
      <c r="BM354" s="80"/>
      <c r="BN354" s="80"/>
      <c r="BO354" s="80"/>
      <c r="BP354" s="80"/>
      <c r="BQ354" s="80"/>
      <c r="BR354" s="80"/>
      <c r="BS354" s="80"/>
      <c r="BT354" s="80"/>
      <c r="BU354" s="80"/>
    </row>
    <row r="355" spans="15:73"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  <c r="BM355" s="80"/>
      <c r="BN355" s="80"/>
      <c r="BO355" s="80"/>
      <c r="BP355" s="80"/>
      <c r="BQ355" s="80"/>
      <c r="BR355" s="80"/>
      <c r="BS355" s="80"/>
      <c r="BT355" s="80"/>
      <c r="BU355" s="80"/>
    </row>
    <row r="356" spans="15:73"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  <c r="BM356" s="80"/>
      <c r="BN356" s="80"/>
      <c r="BO356" s="80"/>
      <c r="BP356" s="80"/>
      <c r="BQ356" s="80"/>
      <c r="BR356" s="80"/>
      <c r="BS356" s="80"/>
      <c r="BT356" s="80"/>
      <c r="BU356" s="80"/>
    </row>
    <row r="357" spans="15:73"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  <c r="AN357" s="80"/>
      <c r="AO357" s="80"/>
      <c r="AP357" s="80"/>
      <c r="AQ357" s="80"/>
      <c r="AR357" s="80"/>
      <c r="AS357" s="80"/>
      <c r="AT357" s="80"/>
      <c r="AU357" s="80"/>
      <c r="AV357" s="80"/>
      <c r="AW357" s="80"/>
      <c r="AX357" s="80"/>
      <c r="AY357" s="80"/>
      <c r="AZ357" s="80"/>
      <c r="BA357" s="80"/>
      <c r="BB357" s="80"/>
      <c r="BC357" s="80"/>
      <c r="BD357" s="80"/>
      <c r="BE357" s="80"/>
      <c r="BF357" s="80"/>
      <c r="BG357" s="80"/>
      <c r="BH357" s="80"/>
      <c r="BI357" s="80"/>
      <c r="BJ357" s="80"/>
      <c r="BK357" s="80"/>
      <c r="BL357" s="80"/>
      <c r="BM357" s="80"/>
      <c r="BN357" s="80"/>
      <c r="BO357" s="80"/>
      <c r="BP357" s="80"/>
      <c r="BQ357" s="80"/>
      <c r="BR357" s="80"/>
      <c r="BS357" s="80"/>
      <c r="BT357" s="80"/>
      <c r="BU357" s="80"/>
    </row>
    <row r="358" spans="15:73"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  <c r="AN358" s="80"/>
      <c r="AO358" s="80"/>
      <c r="AP358" s="80"/>
      <c r="AQ358" s="80"/>
      <c r="AR358" s="80"/>
      <c r="AS358" s="80"/>
      <c r="AT358" s="80"/>
      <c r="AU358" s="80"/>
      <c r="AV358" s="80"/>
      <c r="AW358" s="80"/>
      <c r="AX358" s="80"/>
      <c r="AY358" s="80"/>
      <c r="AZ358" s="80"/>
      <c r="BA358" s="80"/>
      <c r="BB358" s="80"/>
      <c r="BC358" s="80"/>
      <c r="BD358" s="80"/>
      <c r="BE358" s="80"/>
      <c r="BF358" s="80"/>
      <c r="BG358" s="80"/>
      <c r="BH358" s="80"/>
      <c r="BI358" s="80"/>
      <c r="BJ358" s="80"/>
      <c r="BK358" s="80"/>
      <c r="BL358" s="80"/>
      <c r="BM358" s="80"/>
      <c r="BN358" s="80"/>
      <c r="BO358" s="80"/>
      <c r="BP358" s="80"/>
      <c r="BQ358" s="80"/>
      <c r="BR358" s="80"/>
      <c r="BS358" s="80"/>
      <c r="BT358" s="80"/>
      <c r="BU358" s="80"/>
    </row>
    <row r="359" spans="15:73"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  <c r="AN359" s="80"/>
      <c r="AO359" s="80"/>
      <c r="AP359" s="80"/>
      <c r="AQ359" s="80"/>
      <c r="AR359" s="80"/>
      <c r="AS359" s="80"/>
      <c r="AT359" s="80"/>
      <c r="AU359" s="80"/>
      <c r="AV359" s="80"/>
      <c r="AW359" s="80"/>
      <c r="AX359" s="80"/>
      <c r="AY359" s="80"/>
      <c r="AZ359" s="80"/>
      <c r="BA359" s="80"/>
      <c r="BB359" s="80"/>
      <c r="BC359" s="80"/>
      <c r="BD359" s="80"/>
      <c r="BE359" s="80"/>
      <c r="BF359" s="80"/>
      <c r="BG359" s="80"/>
      <c r="BH359" s="80"/>
      <c r="BI359" s="80"/>
      <c r="BJ359" s="80"/>
      <c r="BK359" s="80"/>
      <c r="BL359" s="80"/>
      <c r="BM359" s="80"/>
      <c r="BN359" s="80"/>
      <c r="BO359" s="80"/>
      <c r="BP359" s="80"/>
      <c r="BQ359" s="80"/>
      <c r="BR359" s="80"/>
      <c r="BS359" s="80"/>
      <c r="BT359" s="80"/>
      <c r="BU359" s="80"/>
    </row>
    <row r="360" spans="15:73"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  <c r="AN360" s="80"/>
      <c r="AO360" s="80"/>
      <c r="AP360" s="80"/>
      <c r="AQ360" s="80"/>
      <c r="AR360" s="80"/>
      <c r="AS360" s="80"/>
      <c r="AT360" s="80"/>
      <c r="AU360" s="80"/>
      <c r="AV360" s="80"/>
      <c r="AW360" s="80"/>
      <c r="AX360" s="80"/>
      <c r="AY360" s="80"/>
      <c r="AZ360" s="80"/>
      <c r="BA360" s="80"/>
      <c r="BB360" s="80"/>
      <c r="BC360" s="80"/>
      <c r="BD360" s="80"/>
      <c r="BE360" s="80"/>
      <c r="BF360" s="80"/>
      <c r="BG360" s="80"/>
      <c r="BH360" s="80"/>
      <c r="BI360" s="80"/>
      <c r="BJ360" s="80"/>
      <c r="BK360" s="80"/>
      <c r="BL360" s="80"/>
      <c r="BM360" s="80"/>
      <c r="BN360" s="80"/>
      <c r="BO360" s="80"/>
      <c r="BP360" s="80"/>
      <c r="BQ360" s="80"/>
      <c r="BR360" s="80"/>
      <c r="BS360" s="80"/>
      <c r="BT360" s="80"/>
      <c r="BU360" s="80"/>
    </row>
    <row r="361" spans="15:73"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  <c r="AN361" s="80"/>
      <c r="AO361" s="80"/>
      <c r="AP361" s="80"/>
      <c r="AQ361" s="80"/>
      <c r="AR361" s="80"/>
      <c r="AS361" s="80"/>
      <c r="AT361" s="80"/>
      <c r="AU361" s="80"/>
      <c r="AV361" s="80"/>
      <c r="AW361" s="80"/>
      <c r="AX361" s="80"/>
      <c r="AY361" s="80"/>
      <c r="AZ361" s="80"/>
      <c r="BA361" s="80"/>
      <c r="BB361" s="80"/>
      <c r="BC361" s="80"/>
      <c r="BD361" s="80"/>
      <c r="BE361" s="80"/>
      <c r="BF361" s="80"/>
      <c r="BG361" s="80"/>
      <c r="BH361" s="80"/>
      <c r="BI361" s="80"/>
      <c r="BJ361" s="80"/>
      <c r="BK361" s="80"/>
      <c r="BL361" s="80"/>
      <c r="BM361" s="80"/>
      <c r="BN361" s="80"/>
      <c r="BO361" s="80"/>
      <c r="BP361" s="80"/>
      <c r="BQ361" s="80"/>
      <c r="BR361" s="80"/>
      <c r="BS361" s="80"/>
      <c r="BT361" s="80"/>
      <c r="BU361" s="80"/>
    </row>
    <row r="362" spans="15:73"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  <c r="AN362" s="80"/>
      <c r="AO362" s="80"/>
      <c r="AP362" s="80"/>
      <c r="AQ362" s="80"/>
      <c r="AR362" s="80"/>
      <c r="AS362" s="80"/>
      <c r="AT362" s="80"/>
      <c r="AU362" s="80"/>
      <c r="AV362" s="80"/>
      <c r="AW362" s="80"/>
      <c r="AX362" s="80"/>
      <c r="AY362" s="80"/>
      <c r="AZ362" s="80"/>
      <c r="BA362" s="80"/>
      <c r="BB362" s="80"/>
      <c r="BC362" s="80"/>
      <c r="BD362" s="80"/>
      <c r="BE362" s="80"/>
      <c r="BF362" s="80"/>
      <c r="BG362" s="80"/>
      <c r="BH362" s="80"/>
      <c r="BI362" s="80"/>
      <c r="BJ362" s="80"/>
      <c r="BK362" s="80"/>
      <c r="BL362" s="80"/>
      <c r="BM362" s="80"/>
      <c r="BN362" s="80"/>
      <c r="BO362" s="80"/>
      <c r="BP362" s="80"/>
      <c r="BQ362" s="80"/>
      <c r="BR362" s="80"/>
      <c r="BS362" s="80"/>
      <c r="BT362" s="80"/>
      <c r="BU362" s="80"/>
    </row>
    <row r="363" spans="15:73"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  <c r="AN363" s="80"/>
      <c r="AO363" s="80"/>
      <c r="AP363" s="80"/>
      <c r="AQ363" s="80"/>
      <c r="AR363" s="80"/>
      <c r="AS363" s="80"/>
      <c r="AT363" s="80"/>
      <c r="AU363" s="80"/>
      <c r="AV363" s="80"/>
      <c r="AW363" s="80"/>
      <c r="AX363" s="80"/>
      <c r="AY363" s="80"/>
      <c r="AZ363" s="80"/>
      <c r="BA363" s="80"/>
      <c r="BB363" s="80"/>
      <c r="BC363" s="80"/>
      <c r="BD363" s="80"/>
      <c r="BE363" s="80"/>
      <c r="BF363" s="80"/>
      <c r="BG363" s="80"/>
      <c r="BH363" s="80"/>
      <c r="BI363" s="80"/>
      <c r="BJ363" s="80"/>
      <c r="BK363" s="80"/>
      <c r="BL363" s="80"/>
      <c r="BM363" s="80"/>
      <c r="BN363" s="80"/>
      <c r="BO363" s="80"/>
      <c r="BP363" s="80"/>
      <c r="BQ363" s="80"/>
      <c r="BR363" s="80"/>
      <c r="BS363" s="80"/>
      <c r="BT363" s="80"/>
      <c r="BU363" s="80"/>
    </row>
    <row r="364" spans="15:73"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  <c r="AN364" s="80"/>
      <c r="AO364" s="80"/>
      <c r="AP364" s="80"/>
      <c r="AQ364" s="80"/>
      <c r="AR364" s="80"/>
      <c r="AS364" s="80"/>
      <c r="AT364" s="80"/>
      <c r="AU364" s="80"/>
      <c r="AV364" s="80"/>
      <c r="AW364" s="80"/>
      <c r="AX364" s="80"/>
      <c r="AY364" s="80"/>
      <c r="AZ364" s="80"/>
      <c r="BA364" s="80"/>
      <c r="BB364" s="80"/>
      <c r="BC364" s="80"/>
      <c r="BD364" s="80"/>
      <c r="BE364" s="80"/>
      <c r="BF364" s="80"/>
      <c r="BG364" s="80"/>
      <c r="BH364" s="80"/>
      <c r="BI364" s="80"/>
      <c r="BJ364" s="80"/>
      <c r="BK364" s="80"/>
      <c r="BL364" s="80"/>
      <c r="BM364" s="80"/>
      <c r="BN364" s="80"/>
      <c r="BO364" s="80"/>
      <c r="BP364" s="80"/>
      <c r="BQ364" s="80"/>
      <c r="BR364" s="80"/>
      <c r="BS364" s="80"/>
      <c r="BT364" s="80"/>
      <c r="BU364" s="80"/>
    </row>
    <row r="365" spans="15:73"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  <c r="AN365" s="80"/>
      <c r="AO365" s="80"/>
      <c r="AP365" s="80"/>
      <c r="AQ365" s="80"/>
      <c r="AR365" s="80"/>
      <c r="AS365" s="80"/>
      <c r="AT365" s="80"/>
      <c r="AU365" s="80"/>
      <c r="AV365" s="80"/>
      <c r="AW365" s="80"/>
      <c r="AX365" s="80"/>
      <c r="AY365" s="80"/>
      <c r="AZ365" s="80"/>
      <c r="BA365" s="80"/>
      <c r="BB365" s="80"/>
      <c r="BC365" s="80"/>
      <c r="BD365" s="80"/>
      <c r="BE365" s="80"/>
      <c r="BF365" s="80"/>
      <c r="BG365" s="80"/>
      <c r="BH365" s="80"/>
      <c r="BI365" s="80"/>
      <c r="BJ365" s="80"/>
      <c r="BK365" s="80"/>
      <c r="BL365" s="80"/>
      <c r="BM365" s="80"/>
      <c r="BN365" s="80"/>
      <c r="BO365" s="80"/>
      <c r="BP365" s="80"/>
      <c r="BQ365" s="80"/>
      <c r="BR365" s="80"/>
      <c r="BS365" s="80"/>
      <c r="BT365" s="80"/>
      <c r="BU365" s="80"/>
    </row>
    <row r="366" spans="15:73"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  <c r="AN366" s="80"/>
      <c r="AO366" s="80"/>
      <c r="AP366" s="80"/>
      <c r="AQ366" s="80"/>
      <c r="AR366" s="80"/>
      <c r="AS366" s="80"/>
      <c r="AT366" s="80"/>
      <c r="AU366" s="80"/>
      <c r="AV366" s="80"/>
      <c r="AW366" s="80"/>
      <c r="AX366" s="80"/>
      <c r="AY366" s="80"/>
      <c r="AZ366" s="80"/>
      <c r="BA366" s="80"/>
      <c r="BB366" s="80"/>
      <c r="BC366" s="80"/>
      <c r="BD366" s="80"/>
      <c r="BE366" s="80"/>
      <c r="BF366" s="80"/>
      <c r="BG366" s="80"/>
      <c r="BH366" s="80"/>
      <c r="BI366" s="80"/>
      <c r="BJ366" s="80"/>
      <c r="BK366" s="80"/>
      <c r="BL366" s="80"/>
      <c r="BM366" s="80"/>
      <c r="BN366" s="80"/>
      <c r="BO366" s="80"/>
      <c r="BP366" s="80"/>
      <c r="BQ366" s="80"/>
      <c r="BR366" s="80"/>
      <c r="BS366" s="80"/>
      <c r="BT366" s="80"/>
      <c r="BU366" s="80"/>
    </row>
    <row r="367" spans="15:73"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  <c r="BL367" s="80"/>
      <c r="BM367" s="80"/>
      <c r="BN367" s="80"/>
      <c r="BO367" s="80"/>
      <c r="BP367" s="80"/>
      <c r="BQ367" s="80"/>
      <c r="BR367" s="80"/>
      <c r="BS367" s="80"/>
      <c r="BT367" s="80"/>
      <c r="BU367" s="80"/>
    </row>
    <row r="368" spans="15:73"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  <c r="AN368" s="80"/>
      <c r="AO368" s="80"/>
      <c r="AP368" s="80"/>
      <c r="AQ368" s="80"/>
      <c r="AR368" s="80"/>
      <c r="AS368" s="80"/>
      <c r="AT368" s="80"/>
      <c r="AU368" s="80"/>
      <c r="AV368" s="80"/>
      <c r="AW368" s="80"/>
      <c r="AX368" s="80"/>
      <c r="AY368" s="80"/>
      <c r="AZ368" s="80"/>
      <c r="BA368" s="80"/>
      <c r="BB368" s="80"/>
      <c r="BC368" s="80"/>
      <c r="BD368" s="80"/>
      <c r="BE368" s="80"/>
      <c r="BF368" s="80"/>
      <c r="BG368" s="80"/>
      <c r="BH368" s="80"/>
      <c r="BI368" s="80"/>
      <c r="BJ368" s="80"/>
      <c r="BK368" s="80"/>
      <c r="BL368" s="80"/>
      <c r="BM368" s="80"/>
      <c r="BN368" s="80"/>
      <c r="BO368" s="80"/>
      <c r="BP368" s="80"/>
      <c r="BQ368" s="80"/>
      <c r="BR368" s="80"/>
      <c r="BS368" s="80"/>
      <c r="BT368" s="80"/>
      <c r="BU368" s="80"/>
    </row>
    <row r="369" spans="15:73"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  <c r="AN369" s="80"/>
      <c r="AO369" s="80"/>
      <c r="AP369" s="80"/>
      <c r="AQ369" s="80"/>
      <c r="AR369" s="80"/>
      <c r="AS369" s="80"/>
      <c r="AT369" s="80"/>
      <c r="AU369" s="80"/>
      <c r="AV369" s="80"/>
      <c r="AW369" s="80"/>
      <c r="AX369" s="80"/>
      <c r="AY369" s="80"/>
      <c r="AZ369" s="80"/>
      <c r="BA369" s="80"/>
      <c r="BB369" s="80"/>
      <c r="BC369" s="80"/>
      <c r="BD369" s="80"/>
      <c r="BE369" s="80"/>
      <c r="BF369" s="80"/>
      <c r="BG369" s="80"/>
      <c r="BH369" s="80"/>
      <c r="BI369" s="80"/>
      <c r="BJ369" s="80"/>
      <c r="BK369" s="80"/>
      <c r="BL369" s="80"/>
      <c r="BM369" s="80"/>
      <c r="BN369" s="80"/>
      <c r="BO369" s="80"/>
      <c r="BP369" s="80"/>
      <c r="BQ369" s="80"/>
      <c r="BR369" s="80"/>
      <c r="BS369" s="80"/>
      <c r="BT369" s="80"/>
      <c r="BU369" s="80"/>
    </row>
    <row r="370" spans="15:73"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  <c r="AN370" s="80"/>
      <c r="AO370" s="80"/>
      <c r="AP370" s="80"/>
      <c r="AQ370" s="80"/>
      <c r="AR370" s="80"/>
      <c r="AS370" s="80"/>
      <c r="AT370" s="80"/>
      <c r="AU370" s="80"/>
      <c r="AV370" s="80"/>
      <c r="AW370" s="80"/>
      <c r="AX370" s="80"/>
      <c r="AY370" s="80"/>
      <c r="AZ370" s="80"/>
      <c r="BA370" s="80"/>
      <c r="BB370" s="80"/>
      <c r="BC370" s="80"/>
      <c r="BD370" s="80"/>
      <c r="BE370" s="80"/>
      <c r="BF370" s="80"/>
      <c r="BG370" s="80"/>
      <c r="BH370" s="80"/>
      <c r="BI370" s="80"/>
      <c r="BJ370" s="80"/>
      <c r="BK370" s="80"/>
      <c r="BL370" s="80"/>
      <c r="BM370" s="80"/>
      <c r="BN370" s="80"/>
      <c r="BO370" s="80"/>
      <c r="BP370" s="80"/>
      <c r="BQ370" s="80"/>
      <c r="BR370" s="80"/>
      <c r="BS370" s="80"/>
      <c r="BT370" s="80"/>
      <c r="BU370" s="80"/>
    </row>
    <row r="371" spans="15:73"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  <c r="AN371" s="80"/>
      <c r="AO371" s="80"/>
      <c r="AP371" s="80"/>
      <c r="AQ371" s="80"/>
      <c r="AR371" s="80"/>
      <c r="AS371" s="80"/>
      <c r="AT371" s="80"/>
      <c r="AU371" s="80"/>
      <c r="AV371" s="80"/>
      <c r="AW371" s="80"/>
      <c r="AX371" s="80"/>
      <c r="AY371" s="80"/>
      <c r="AZ371" s="80"/>
      <c r="BA371" s="80"/>
      <c r="BB371" s="80"/>
      <c r="BC371" s="80"/>
      <c r="BD371" s="80"/>
      <c r="BE371" s="80"/>
      <c r="BF371" s="80"/>
      <c r="BG371" s="80"/>
      <c r="BH371" s="80"/>
      <c r="BI371" s="80"/>
      <c r="BJ371" s="80"/>
      <c r="BK371" s="80"/>
      <c r="BL371" s="80"/>
      <c r="BM371" s="80"/>
      <c r="BN371" s="80"/>
      <c r="BO371" s="80"/>
      <c r="BP371" s="80"/>
      <c r="BQ371" s="80"/>
      <c r="BR371" s="80"/>
      <c r="BS371" s="80"/>
      <c r="BT371" s="80"/>
      <c r="BU371" s="80"/>
    </row>
    <row r="372" spans="15:73"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  <c r="AN372" s="80"/>
      <c r="AO372" s="80"/>
      <c r="AP372" s="80"/>
      <c r="AQ372" s="80"/>
      <c r="AR372" s="80"/>
      <c r="AS372" s="80"/>
      <c r="AT372" s="80"/>
      <c r="AU372" s="80"/>
      <c r="AV372" s="80"/>
      <c r="AW372" s="80"/>
      <c r="AX372" s="80"/>
      <c r="AY372" s="80"/>
      <c r="AZ372" s="80"/>
      <c r="BA372" s="80"/>
      <c r="BB372" s="80"/>
      <c r="BC372" s="80"/>
      <c r="BD372" s="80"/>
      <c r="BE372" s="80"/>
      <c r="BF372" s="80"/>
      <c r="BG372" s="80"/>
      <c r="BH372" s="80"/>
      <c r="BI372" s="80"/>
      <c r="BJ372" s="80"/>
      <c r="BK372" s="80"/>
      <c r="BL372" s="80"/>
      <c r="BM372" s="80"/>
      <c r="BN372" s="80"/>
      <c r="BO372" s="80"/>
      <c r="BP372" s="80"/>
      <c r="BQ372" s="80"/>
      <c r="BR372" s="80"/>
      <c r="BS372" s="80"/>
      <c r="BT372" s="80"/>
      <c r="BU372" s="80"/>
    </row>
    <row r="373" spans="15:73"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  <c r="AN373" s="80"/>
      <c r="AO373" s="80"/>
      <c r="AP373" s="80"/>
      <c r="AQ373" s="80"/>
      <c r="AR373" s="80"/>
      <c r="AS373" s="80"/>
      <c r="AT373" s="80"/>
      <c r="AU373" s="80"/>
      <c r="AV373" s="80"/>
      <c r="AW373" s="80"/>
      <c r="AX373" s="80"/>
      <c r="AY373" s="80"/>
      <c r="AZ373" s="80"/>
      <c r="BA373" s="80"/>
      <c r="BB373" s="80"/>
      <c r="BC373" s="80"/>
      <c r="BD373" s="80"/>
      <c r="BE373" s="80"/>
      <c r="BF373" s="80"/>
      <c r="BG373" s="80"/>
      <c r="BH373" s="80"/>
      <c r="BI373" s="80"/>
      <c r="BJ373" s="80"/>
      <c r="BK373" s="80"/>
      <c r="BL373" s="80"/>
      <c r="BM373" s="80"/>
      <c r="BN373" s="80"/>
      <c r="BO373" s="80"/>
      <c r="BP373" s="80"/>
      <c r="BQ373" s="80"/>
      <c r="BR373" s="80"/>
      <c r="BS373" s="80"/>
      <c r="BT373" s="80"/>
      <c r="BU373" s="80"/>
    </row>
    <row r="374" spans="15:73"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  <c r="AN374" s="80"/>
      <c r="AO374" s="80"/>
      <c r="AP374" s="80"/>
      <c r="AQ374" s="80"/>
      <c r="AR374" s="80"/>
      <c r="AS374" s="80"/>
      <c r="AT374" s="80"/>
      <c r="AU374" s="80"/>
      <c r="AV374" s="80"/>
      <c r="AW374" s="80"/>
      <c r="AX374" s="80"/>
      <c r="AY374" s="80"/>
      <c r="AZ374" s="80"/>
      <c r="BA374" s="80"/>
      <c r="BB374" s="80"/>
      <c r="BC374" s="80"/>
      <c r="BD374" s="80"/>
      <c r="BE374" s="80"/>
      <c r="BF374" s="80"/>
      <c r="BG374" s="80"/>
      <c r="BH374" s="80"/>
      <c r="BI374" s="80"/>
      <c r="BJ374" s="80"/>
      <c r="BK374" s="80"/>
      <c r="BL374" s="80"/>
      <c r="BM374" s="80"/>
      <c r="BN374" s="80"/>
      <c r="BO374" s="80"/>
      <c r="BP374" s="80"/>
      <c r="BQ374" s="80"/>
      <c r="BR374" s="80"/>
      <c r="BS374" s="80"/>
      <c r="BT374" s="80"/>
      <c r="BU374" s="80"/>
    </row>
    <row r="375" spans="15:73"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  <c r="AN375" s="80"/>
      <c r="AO375" s="80"/>
      <c r="AP375" s="80"/>
      <c r="AQ375" s="80"/>
      <c r="AR375" s="80"/>
      <c r="AS375" s="80"/>
      <c r="AT375" s="80"/>
      <c r="AU375" s="80"/>
      <c r="AV375" s="80"/>
      <c r="AW375" s="80"/>
      <c r="AX375" s="80"/>
      <c r="AY375" s="80"/>
      <c r="AZ375" s="80"/>
      <c r="BA375" s="80"/>
      <c r="BB375" s="80"/>
      <c r="BC375" s="80"/>
      <c r="BD375" s="80"/>
      <c r="BE375" s="80"/>
      <c r="BF375" s="80"/>
      <c r="BG375" s="80"/>
      <c r="BH375" s="80"/>
      <c r="BI375" s="80"/>
      <c r="BJ375" s="80"/>
      <c r="BK375" s="80"/>
      <c r="BL375" s="80"/>
      <c r="BM375" s="80"/>
      <c r="BN375" s="80"/>
      <c r="BO375" s="80"/>
      <c r="BP375" s="80"/>
      <c r="BQ375" s="80"/>
      <c r="BR375" s="80"/>
      <c r="BS375" s="80"/>
      <c r="BT375" s="80"/>
      <c r="BU375" s="80"/>
    </row>
    <row r="376" spans="15:73"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  <c r="AN376" s="80"/>
      <c r="AO376" s="80"/>
      <c r="AP376" s="80"/>
      <c r="AQ376" s="80"/>
      <c r="AR376" s="80"/>
      <c r="AS376" s="80"/>
      <c r="AT376" s="80"/>
      <c r="AU376" s="80"/>
      <c r="AV376" s="80"/>
      <c r="AW376" s="80"/>
      <c r="AX376" s="80"/>
      <c r="AY376" s="80"/>
      <c r="AZ376" s="80"/>
      <c r="BA376" s="80"/>
      <c r="BB376" s="80"/>
      <c r="BC376" s="80"/>
      <c r="BD376" s="80"/>
      <c r="BE376" s="80"/>
      <c r="BF376" s="80"/>
      <c r="BG376" s="80"/>
      <c r="BH376" s="80"/>
      <c r="BI376" s="80"/>
      <c r="BJ376" s="80"/>
      <c r="BK376" s="80"/>
      <c r="BL376" s="80"/>
      <c r="BM376" s="80"/>
      <c r="BN376" s="80"/>
      <c r="BO376" s="80"/>
      <c r="BP376" s="80"/>
      <c r="BQ376" s="80"/>
      <c r="BR376" s="80"/>
      <c r="BS376" s="80"/>
      <c r="BT376" s="80"/>
      <c r="BU376" s="80"/>
    </row>
    <row r="377" spans="15:73"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  <c r="AN377" s="80"/>
      <c r="AO377" s="80"/>
      <c r="AP377" s="80"/>
      <c r="AQ377" s="80"/>
      <c r="AR377" s="80"/>
      <c r="AS377" s="80"/>
      <c r="AT377" s="80"/>
      <c r="AU377" s="80"/>
      <c r="AV377" s="80"/>
      <c r="AW377" s="80"/>
      <c r="AX377" s="80"/>
      <c r="AY377" s="80"/>
      <c r="AZ377" s="80"/>
      <c r="BA377" s="80"/>
      <c r="BB377" s="80"/>
      <c r="BC377" s="80"/>
      <c r="BD377" s="80"/>
      <c r="BE377" s="80"/>
      <c r="BF377" s="80"/>
      <c r="BG377" s="80"/>
      <c r="BH377" s="80"/>
      <c r="BI377" s="80"/>
      <c r="BJ377" s="80"/>
      <c r="BK377" s="80"/>
      <c r="BL377" s="80"/>
      <c r="BM377" s="80"/>
      <c r="BN377" s="80"/>
      <c r="BO377" s="80"/>
      <c r="BP377" s="80"/>
      <c r="BQ377" s="80"/>
      <c r="BR377" s="80"/>
      <c r="BS377" s="80"/>
      <c r="BT377" s="80"/>
      <c r="BU377" s="80"/>
    </row>
    <row r="378" spans="15:73"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  <c r="AN378" s="80"/>
      <c r="AO378" s="80"/>
      <c r="AP378" s="80"/>
      <c r="AQ378" s="80"/>
      <c r="AR378" s="80"/>
      <c r="AS378" s="80"/>
      <c r="AT378" s="80"/>
      <c r="AU378" s="80"/>
      <c r="AV378" s="80"/>
      <c r="AW378" s="80"/>
      <c r="AX378" s="80"/>
      <c r="AY378" s="80"/>
      <c r="AZ378" s="80"/>
      <c r="BA378" s="80"/>
      <c r="BB378" s="80"/>
      <c r="BC378" s="80"/>
      <c r="BD378" s="80"/>
      <c r="BE378" s="80"/>
      <c r="BF378" s="80"/>
      <c r="BG378" s="80"/>
      <c r="BH378" s="80"/>
      <c r="BI378" s="80"/>
      <c r="BJ378" s="80"/>
      <c r="BK378" s="80"/>
      <c r="BL378" s="80"/>
      <c r="BM378" s="80"/>
      <c r="BN378" s="80"/>
      <c r="BO378" s="80"/>
      <c r="BP378" s="80"/>
      <c r="BQ378" s="80"/>
      <c r="BR378" s="80"/>
      <c r="BS378" s="80"/>
      <c r="BT378" s="80"/>
      <c r="BU378" s="80"/>
    </row>
    <row r="379" spans="15:73"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  <c r="AN379" s="80"/>
      <c r="AO379" s="80"/>
      <c r="AP379" s="80"/>
      <c r="AQ379" s="80"/>
      <c r="AR379" s="80"/>
      <c r="AS379" s="80"/>
      <c r="AT379" s="80"/>
      <c r="AU379" s="80"/>
      <c r="AV379" s="80"/>
      <c r="AW379" s="80"/>
      <c r="AX379" s="80"/>
      <c r="AY379" s="80"/>
      <c r="AZ379" s="80"/>
      <c r="BA379" s="80"/>
      <c r="BB379" s="80"/>
      <c r="BC379" s="80"/>
      <c r="BD379" s="80"/>
      <c r="BE379" s="80"/>
      <c r="BF379" s="80"/>
      <c r="BG379" s="80"/>
      <c r="BH379" s="80"/>
      <c r="BI379" s="80"/>
      <c r="BJ379" s="80"/>
      <c r="BK379" s="80"/>
      <c r="BL379" s="80"/>
      <c r="BM379" s="80"/>
      <c r="BN379" s="80"/>
      <c r="BO379" s="80"/>
      <c r="BP379" s="80"/>
      <c r="BQ379" s="80"/>
      <c r="BR379" s="80"/>
      <c r="BS379" s="80"/>
      <c r="BT379" s="80"/>
      <c r="BU379" s="80"/>
    </row>
    <row r="380" spans="15:73"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  <c r="AN380" s="80"/>
      <c r="AO380" s="80"/>
      <c r="AP380" s="80"/>
      <c r="AQ380" s="80"/>
      <c r="AR380" s="80"/>
      <c r="AS380" s="80"/>
      <c r="AT380" s="80"/>
      <c r="AU380" s="80"/>
      <c r="AV380" s="80"/>
      <c r="AW380" s="80"/>
      <c r="AX380" s="80"/>
      <c r="AY380" s="80"/>
      <c r="AZ380" s="80"/>
      <c r="BA380" s="80"/>
      <c r="BB380" s="80"/>
      <c r="BC380" s="80"/>
      <c r="BD380" s="80"/>
      <c r="BE380" s="80"/>
      <c r="BF380" s="80"/>
      <c r="BG380" s="80"/>
      <c r="BH380" s="80"/>
      <c r="BI380" s="80"/>
      <c r="BJ380" s="80"/>
      <c r="BK380" s="80"/>
      <c r="BL380" s="80"/>
      <c r="BM380" s="80"/>
      <c r="BN380" s="80"/>
      <c r="BO380" s="80"/>
      <c r="BP380" s="80"/>
      <c r="BQ380" s="80"/>
      <c r="BR380" s="80"/>
      <c r="BS380" s="80"/>
      <c r="BT380" s="80"/>
      <c r="BU380" s="80"/>
    </row>
    <row r="381" spans="15:73"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  <c r="BG381" s="80"/>
      <c r="BH381" s="80"/>
      <c r="BI381" s="80"/>
      <c r="BJ381" s="80"/>
      <c r="BK381" s="80"/>
      <c r="BL381" s="80"/>
      <c r="BM381" s="80"/>
      <c r="BN381" s="80"/>
      <c r="BO381" s="80"/>
      <c r="BP381" s="80"/>
      <c r="BQ381" s="80"/>
      <c r="BR381" s="80"/>
      <c r="BS381" s="80"/>
      <c r="BT381" s="80"/>
      <c r="BU381" s="80"/>
    </row>
    <row r="382" spans="15:73"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  <c r="AN382" s="80"/>
      <c r="AO382" s="80"/>
      <c r="AP382" s="80"/>
      <c r="AQ382" s="80"/>
      <c r="AR382" s="80"/>
      <c r="AS382" s="80"/>
      <c r="AT382" s="80"/>
      <c r="AU382" s="80"/>
      <c r="AV382" s="80"/>
      <c r="AW382" s="80"/>
      <c r="AX382" s="80"/>
      <c r="AY382" s="80"/>
      <c r="AZ382" s="80"/>
      <c r="BA382" s="80"/>
      <c r="BB382" s="80"/>
      <c r="BC382" s="80"/>
      <c r="BD382" s="80"/>
      <c r="BE382" s="80"/>
      <c r="BF382" s="80"/>
      <c r="BG382" s="80"/>
      <c r="BH382" s="80"/>
      <c r="BI382" s="80"/>
      <c r="BJ382" s="80"/>
      <c r="BK382" s="80"/>
      <c r="BL382" s="80"/>
      <c r="BM382" s="80"/>
      <c r="BN382" s="80"/>
      <c r="BO382" s="80"/>
      <c r="BP382" s="80"/>
      <c r="BQ382" s="80"/>
      <c r="BR382" s="80"/>
      <c r="BS382" s="80"/>
      <c r="BT382" s="80"/>
      <c r="BU382" s="80"/>
    </row>
    <row r="383" spans="15:73"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  <c r="AN383" s="80"/>
      <c r="AO383" s="80"/>
      <c r="AP383" s="80"/>
      <c r="AQ383" s="80"/>
      <c r="AR383" s="80"/>
      <c r="AS383" s="80"/>
      <c r="AT383" s="80"/>
      <c r="AU383" s="80"/>
      <c r="AV383" s="80"/>
      <c r="AW383" s="80"/>
      <c r="AX383" s="80"/>
      <c r="AY383" s="80"/>
      <c r="AZ383" s="80"/>
      <c r="BA383" s="80"/>
      <c r="BB383" s="80"/>
      <c r="BC383" s="80"/>
      <c r="BD383" s="80"/>
      <c r="BE383" s="80"/>
      <c r="BF383" s="80"/>
      <c r="BG383" s="80"/>
      <c r="BH383" s="80"/>
      <c r="BI383" s="80"/>
      <c r="BJ383" s="80"/>
      <c r="BK383" s="80"/>
      <c r="BL383" s="80"/>
      <c r="BM383" s="80"/>
      <c r="BN383" s="80"/>
      <c r="BO383" s="80"/>
      <c r="BP383" s="80"/>
      <c r="BQ383" s="80"/>
      <c r="BR383" s="80"/>
      <c r="BS383" s="80"/>
      <c r="BT383" s="80"/>
      <c r="BU383" s="80"/>
    </row>
    <row r="384" spans="15:73"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  <c r="AN384" s="80"/>
      <c r="AO384" s="80"/>
      <c r="AP384" s="80"/>
      <c r="AQ384" s="80"/>
      <c r="AR384" s="80"/>
      <c r="AS384" s="80"/>
      <c r="AT384" s="80"/>
      <c r="AU384" s="80"/>
      <c r="AV384" s="80"/>
      <c r="AW384" s="80"/>
      <c r="AX384" s="80"/>
      <c r="AY384" s="80"/>
      <c r="AZ384" s="80"/>
      <c r="BA384" s="80"/>
      <c r="BB384" s="80"/>
      <c r="BC384" s="80"/>
      <c r="BD384" s="80"/>
      <c r="BE384" s="80"/>
      <c r="BF384" s="80"/>
      <c r="BG384" s="80"/>
      <c r="BH384" s="80"/>
      <c r="BI384" s="80"/>
      <c r="BJ384" s="80"/>
      <c r="BK384" s="80"/>
      <c r="BL384" s="80"/>
      <c r="BM384" s="80"/>
      <c r="BN384" s="80"/>
      <c r="BO384" s="80"/>
      <c r="BP384" s="80"/>
      <c r="BQ384" s="80"/>
      <c r="BR384" s="80"/>
      <c r="BS384" s="80"/>
      <c r="BT384" s="80"/>
      <c r="BU384" s="80"/>
    </row>
    <row r="385" spans="15:73"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  <c r="AN385" s="80"/>
      <c r="AO385" s="80"/>
      <c r="AP385" s="80"/>
      <c r="AQ385" s="80"/>
      <c r="AR385" s="80"/>
      <c r="AS385" s="80"/>
      <c r="AT385" s="80"/>
      <c r="AU385" s="80"/>
      <c r="AV385" s="80"/>
      <c r="AW385" s="80"/>
      <c r="AX385" s="80"/>
      <c r="AY385" s="80"/>
      <c r="AZ385" s="80"/>
      <c r="BA385" s="80"/>
      <c r="BB385" s="80"/>
      <c r="BC385" s="80"/>
      <c r="BD385" s="80"/>
      <c r="BE385" s="80"/>
      <c r="BF385" s="80"/>
      <c r="BG385" s="80"/>
      <c r="BH385" s="80"/>
      <c r="BI385" s="80"/>
      <c r="BJ385" s="80"/>
      <c r="BK385" s="80"/>
      <c r="BL385" s="80"/>
      <c r="BM385" s="80"/>
      <c r="BN385" s="80"/>
      <c r="BO385" s="80"/>
      <c r="BP385" s="80"/>
      <c r="BQ385" s="80"/>
      <c r="BR385" s="80"/>
      <c r="BS385" s="80"/>
      <c r="BT385" s="80"/>
      <c r="BU385" s="80"/>
    </row>
    <row r="386" spans="15:73"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  <c r="AN386" s="80"/>
      <c r="AO386" s="80"/>
      <c r="AP386" s="80"/>
      <c r="AQ386" s="80"/>
      <c r="AR386" s="80"/>
      <c r="AS386" s="80"/>
      <c r="AT386" s="80"/>
      <c r="AU386" s="80"/>
      <c r="AV386" s="80"/>
      <c r="AW386" s="80"/>
      <c r="AX386" s="80"/>
      <c r="AY386" s="80"/>
      <c r="AZ386" s="80"/>
      <c r="BA386" s="80"/>
      <c r="BB386" s="80"/>
      <c r="BC386" s="80"/>
      <c r="BD386" s="80"/>
      <c r="BE386" s="80"/>
      <c r="BF386" s="80"/>
      <c r="BG386" s="80"/>
      <c r="BH386" s="80"/>
      <c r="BI386" s="80"/>
      <c r="BJ386" s="80"/>
      <c r="BK386" s="80"/>
      <c r="BL386" s="80"/>
      <c r="BM386" s="80"/>
      <c r="BN386" s="80"/>
      <c r="BO386" s="80"/>
      <c r="BP386" s="80"/>
      <c r="BQ386" s="80"/>
      <c r="BR386" s="80"/>
      <c r="BS386" s="80"/>
      <c r="BT386" s="80"/>
      <c r="BU386" s="80"/>
    </row>
    <row r="387" spans="15:73"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  <c r="AN387" s="80"/>
      <c r="AO387" s="80"/>
      <c r="AP387" s="80"/>
      <c r="AQ387" s="80"/>
      <c r="AR387" s="80"/>
      <c r="AS387" s="80"/>
      <c r="AT387" s="80"/>
      <c r="AU387" s="80"/>
      <c r="AV387" s="80"/>
      <c r="AW387" s="80"/>
      <c r="AX387" s="80"/>
      <c r="AY387" s="80"/>
      <c r="AZ387" s="80"/>
      <c r="BA387" s="80"/>
      <c r="BB387" s="80"/>
      <c r="BC387" s="80"/>
      <c r="BD387" s="80"/>
      <c r="BE387" s="80"/>
      <c r="BF387" s="80"/>
      <c r="BG387" s="80"/>
      <c r="BH387" s="80"/>
      <c r="BI387" s="80"/>
      <c r="BJ387" s="80"/>
      <c r="BK387" s="80"/>
      <c r="BL387" s="80"/>
      <c r="BM387" s="80"/>
      <c r="BN387" s="80"/>
      <c r="BO387" s="80"/>
      <c r="BP387" s="80"/>
      <c r="BQ387" s="80"/>
      <c r="BR387" s="80"/>
      <c r="BS387" s="80"/>
      <c r="BT387" s="80"/>
      <c r="BU387" s="80"/>
    </row>
    <row r="388" spans="15:73"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  <c r="AN388" s="80"/>
      <c r="AO388" s="80"/>
      <c r="AP388" s="80"/>
      <c r="AQ388" s="80"/>
      <c r="AR388" s="80"/>
      <c r="AS388" s="80"/>
      <c r="AT388" s="80"/>
      <c r="AU388" s="80"/>
      <c r="AV388" s="80"/>
      <c r="AW388" s="80"/>
      <c r="AX388" s="80"/>
      <c r="AY388" s="80"/>
      <c r="AZ388" s="80"/>
      <c r="BA388" s="80"/>
      <c r="BB388" s="80"/>
      <c r="BC388" s="80"/>
      <c r="BD388" s="80"/>
      <c r="BE388" s="80"/>
      <c r="BF388" s="80"/>
      <c r="BG388" s="80"/>
      <c r="BH388" s="80"/>
      <c r="BI388" s="80"/>
      <c r="BJ388" s="80"/>
      <c r="BK388" s="80"/>
      <c r="BL388" s="80"/>
      <c r="BM388" s="80"/>
      <c r="BN388" s="80"/>
      <c r="BO388" s="80"/>
      <c r="BP388" s="80"/>
      <c r="BQ388" s="80"/>
      <c r="BR388" s="80"/>
      <c r="BS388" s="80"/>
      <c r="BT388" s="80"/>
      <c r="BU388" s="80"/>
    </row>
    <row r="389" spans="15:73"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  <c r="AN389" s="80"/>
      <c r="AO389" s="80"/>
      <c r="AP389" s="80"/>
      <c r="AQ389" s="80"/>
      <c r="AR389" s="80"/>
      <c r="AS389" s="80"/>
      <c r="AT389" s="80"/>
      <c r="AU389" s="80"/>
      <c r="AV389" s="80"/>
      <c r="AW389" s="80"/>
      <c r="AX389" s="80"/>
      <c r="AY389" s="80"/>
      <c r="AZ389" s="80"/>
      <c r="BA389" s="80"/>
      <c r="BB389" s="80"/>
      <c r="BC389" s="80"/>
      <c r="BD389" s="80"/>
      <c r="BE389" s="80"/>
      <c r="BF389" s="80"/>
      <c r="BG389" s="80"/>
      <c r="BH389" s="80"/>
      <c r="BI389" s="80"/>
      <c r="BJ389" s="80"/>
      <c r="BK389" s="80"/>
      <c r="BL389" s="80"/>
      <c r="BM389" s="80"/>
      <c r="BN389" s="80"/>
      <c r="BO389" s="80"/>
      <c r="BP389" s="80"/>
      <c r="BQ389" s="80"/>
      <c r="BR389" s="80"/>
      <c r="BS389" s="80"/>
      <c r="BT389" s="80"/>
      <c r="BU389" s="80"/>
    </row>
    <row r="390" spans="15:73"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  <c r="AN390" s="80"/>
      <c r="AO390" s="80"/>
      <c r="AP390" s="80"/>
      <c r="AQ390" s="80"/>
      <c r="AR390" s="80"/>
      <c r="AS390" s="80"/>
      <c r="AT390" s="80"/>
      <c r="AU390" s="80"/>
      <c r="AV390" s="80"/>
      <c r="AW390" s="80"/>
      <c r="AX390" s="80"/>
      <c r="AY390" s="80"/>
      <c r="AZ390" s="80"/>
      <c r="BA390" s="80"/>
      <c r="BB390" s="80"/>
      <c r="BC390" s="80"/>
      <c r="BD390" s="80"/>
      <c r="BE390" s="80"/>
      <c r="BF390" s="80"/>
      <c r="BG390" s="80"/>
      <c r="BH390" s="80"/>
      <c r="BI390" s="80"/>
      <c r="BJ390" s="80"/>
      <c r="BK390" s="80"/>
      <c r="BL390" s="80"/>
      <c r="BM390" s="80"/>
      <c r="BN390" s="80"/>
      <c r="BO390" s="80"/>
      <c r="BP390" s="80"/>
      <c r="BQ390" s="80"/>
      <c r="BR390" s="80"/>
      <c r="BS390" s="80"/>
      <c r="BT390" s="80"/>
      <c r="BU390" s="80"/>
    </row>
    <row r="391" spans="15:73"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80"/>
      <c r="AY391" s="80"/>
      <c r="AZ391" s="80"/>
      <c r="BA391" s="80"/>
      <c r="BB391" s="80"/>
      <c r="BC391" s="80"/>
      <c r="BD391" s="80"/>
      <c r="BE391" s="80"/>
      <c r="BF391" s="80"/>
      <c r="BG391" s="80"/>
      <c r="BH391" s="80"/>
      <c r="BI391" s="80"/>
      <c r="BJ391" s="80"/>
      <c r="BK391" s="80"/>
      <c r="BL391" s="80"/>
      <c r="BM391" s="80"/>
      <c r="BN391" s="80"/>
      <c r="BO391" s="80"/>
      <c r="BP391" s="80"/>
      <c r="BQ391" s="80"/>
      <c r="BR391" s="80"/>
      <c r="BS391" s="80"/>
      <c r="BT391" s="80"/>
      <c r="BU391" s="80"/>
    </row>
    <row r="392" spans="15:73"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  <c r="AN392" s="80"/>
      <c r="AO392" s="80"/>
      <c r="AP392" s="80"/>
      <c r="AQ392" s="80"/>
      <c r="AR392" s="80"/>
      <c r="AS392" s="80"/>
      <c r="AT392" s="80"/>
      <c r="AU392" s="80"/>
      <c r="AV392" s="80"/>
      <c r="AW392" s="80"/>
      <c r="AX392" s="80"/>
      <c r="AY392" s="80"/>
      <c r="AZ392" s="80"/>
      <c r="BA392" s="80"/>
      <c r="BB392" s="80"/>
      <c r="BC392" s="80"/>
      <c r="BD392" s="80"/>
      <c r="BE392" s="80"/>
      <c r="BF392" s="80"/>
      <c r="BG392" s="80"/>
      <c r="BH392" s="80"/>
      <c r="BI392" s="80"/>
      <c r="BJ392" s="80"/>
      <c r="BK392" s="80"/>
      <c r="BL392" s="80"/>
      <c r="BM392" s="80"/>
      <c r="BN392" s="80"/>
      <c r="BO392" s="80"/>
      <c r="BP392" s="80"/>
      <c r="BQ392" s="80"/>
      <c r="BR392" s="80"/>
      <c r="BS392" s="80"/>
      <c r="BT392" s="80"/>
      <c r="BU392" s="80"/>
    </row>
    <row r="393" spans="15:73"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  <c r="AN393" s="80"/>
      <c r="AO393" s="80"/>
      <c r="AP393" s="80"/>
      <c r="AQ393" s="80"/>
      <c r="AR393" s="80"/>
      <c r="AS393" s="80"/>
      <c r="AT393" s="80"/>
      <c r="AU393" s="80"/>
      <c r="AV393" s="80"/>
      <c r="AW393" s="80"/>
      <c r="AX393" s="80"/>
      <c r="AY393" s="80"/>
      <c r="AZ393" s="80"/>
      <c r="BA393" s="80"/>
      <c r="BB393" s="80"/>
      <c r="BC393" s="80"/>
      <c r="BD393" s="80"/>
      <c r="BE393" s="80"/>
      <c r="BF393" s="80"/>
      <c r="BG393" s="80"/>
      <c r="BH393" s="80"/>
      <c r="BI393" s="80"/>
      <c r="BJ393" s="80"/>
      <c r="BK393" s="80"/>
      <c r="BL393" s="80"/>
      <c r="BM393" s="80"/>
      <c r="BN393" s="80"/>
      <c r="BO393" s="80"/>
      <c r="BP393" s="80"/>
      <c r="BQ393" s="80"/>
      <c r="BR393" s="80"/>
      <c r="BS393" s="80"/>
      <c r="BT393" s="80"/>
      <c r="BU393" s="80"/>
    </row>
    <row r="394" spans="15:73"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  <c r="AN394" s="80"/>
      <c r="AO394" s="80"/>
      <c r="AP394" s="80"/>
      <c r="AQ394" s="80"/>
      <c r="AR394" s="80"/>
      <c r="AS394" s="80"/>
      <c r="AT394" s="80"/>
      <c r="AU394" s="80"/>
      <c r="AV394" s="80"/>
      <c r="AW394" s="80"/>
      <c r="AX394" s="80"/>
      <c r="AY394" s="80"/>
      <c r="AZ394" s="80"/>
      <c r="BA394" s="80"/>
      <c r="BB394" s="80"/>
      <c r="BC394" s="80"/>
      <c r="BD394" s="80"/>
      <c r="BE394" s="80"/>
      <c r="BF394" s="80"/>
      <c r="BG394" s="80"/>
      <c r="BH394" s="80"/>
      <c r="BI394" s="80"/>
      <c r="BJ394" s="80"/>
      <c r="BK394" s="80"/>
      <c r="BL394" s="80"/>
      <c r="BM394" s="80"/>
      <c r="BN394" s="80"/>
      <c r="BO394" s="80"/>
      <c r="BP394" s="80"/>
      <c r="BQ394" s="80"/>
      <c r="BR394" s="80"/>
      <c r="BS394" s="80"/>
      <c r="BT394" s="80"/>
      <c r="BU394" s="80"/>
    </row>
    <row r="395" spans="15:73"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  <c r="AN395" s="80"/>
      <c r="AO395" s="80"/>
      <c r="AP395" s="80"/>
      <c r="AQ395" s="80"/>
      <c r="AR395" s="80"/>
      <c r="AS395" s="80"/>
      <c r="AT395" s="80"/>
      <c r="AU395" s="80"/>
      <c r="AV395" s="80"/>
      <c r="AW395" s="80"/>
      <c r="AX395" s="80"/>
      <c r="AY395" s="80"/>
      <c r="AZ395" s="80"/>
      <c r="BA395" s="80"/>
      <c r="BB395" s="80"/>
      <c r="BC395" s="80"/>
      <c r="BD395" s="80"/>
      <c r="BE395" s="80"/>
      <c r="BF395" s="80"/>
      <c r="BG395" s="80"/>
      <c r="BH395" s="80"/>
      <c r="BI395" s="80"/>
      <c r="BJ395" s="80"/>
      <c r="BK395" s="80"/>
      <c r="BL395" s="80"/>
      <c r="BM395" s="80"/>
      <c r="BN395" s="80"/>
      <c r="BO395" s="80"/>
      <c r="BP395" s="80"/>
      <c r="BQ395" s="80"/>
      <c r="BR395" s="80"/>
      <c r="BS395" s="80"/>
      <c r="BT395" s="80"/>
      <c r="BU395" s="80"/>
    </row>
    <row r="396" spans="15:73"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  <c r="AN396" s="80"/>
      <c r="AO396" s="80"/>
      <c r="AP396" s="80"/>
      <c r="AQ396" s="80"/>
      <c r="AR396" s="80"/>
      <c r="AS396" s="80"/>
      <c r="AT396" s="80"/>
      <c r="AU396" s="80"/>
      <c r="AV396" s="80"/>
      <c r="AW396" s="80"/>
      <c r="AX396" s="80"/>
      <c r="AY396" s="80"/>
      <c r="AZ396" s="80"/>
      <c r="BA396" s="80"/>
      <c r="BB396" s="80"/>
      <c r="BC396" s="80"/>
      <c r="BD396" s="80"/>
      <c r="BE396" s="80"/>
      <c r="BF396" s="80"/>
      <c r="BG396" s="80"/>
      <c r="BH396" s="80"/>
      <c r="BI396" s="80"/>
      <c r="BJ396" s="80"/>
      <c r="BK396" s="80"/>
      <c r="BL396" s="80"/>
      <c r="BM396" s="80"/>
      <c r="BN396" s="80"/>
      <c r="BO396" s="80"/>
      <c r="BP396" s="80"/>
      <c r="BQ396" s="80"/>
      <c r="BR396" s="80"/>
      <c r="BS396" s="80"/>
      <c r="BT396" s="80"/>
      <c r="BU396" s="80"/>
    </row>
    <row r="397" spans="15:73"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  <c r="AN397" s="80"/>
      <c r="AO397" s="80"/>
      <c r="AP397" s="80"/>
      <c r="AQ397" s="80"/>
      <c r="AR397" s="80"/>
      <c r="AS397" s="80"/>
      <c r="AT397" s="80"/>
      <c r="AU397" s="80"/>
      <c r="AV397" s="80"/>
      <c r="AW397" s="80"/>
      <c r="AX397" s="80"/>
      <c r="AY397" s="80"/>
      <c r="AZ397" s="80"/>
      <c r="BA397" s="80"/>
      <c r="BB397" s="80"/>
      <c r="BC397" s="80"/>
      <c r="BD397" s="80"/>
      <c r="BE397" s="80"/>
      <c r="BF397" s="80"/>
      <c r="BG397" s="80"/>
      <c r="BH397" s="80"/>
      <c r="BI397" s="80"/>
      <c r="BJ397" s="80"/>
      <c r="BK397" s="80"/>
      <c r="BL397" s="80"/>
      <c r="BM397" s="80"/>
      <c r="BN397" s="80"/>
      <c r="BO397" s="80"/>
      <c r="BP397" s="80"/>
      <c r="BQ397" s="80"/>
      <c r="BR397" s="80"/>
      <c r="BS397" s="80"/>
      <c r="BT397" s="80"/>
      <c r="BU397" s="80"/>
    </row>
    <row r="398" spans="15:73"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  <c r="AN398" s="80"/>
      <c r="AO398" s="80"/>
      <c r="AP398" s="80"/>
      <c r="AQ398" s="80"/>
      <c r="AR398" s="80"/>
      <c r="AS398" s="80"/>
      <c r="AT398" s="80"/>
      <c r="AU398" s="80"/>
      <c r="AV398" s="80"/>
      <c r="AW398" s="80"/>
      <c r="AX398" s="80"/>
      <c r="AY398" s="80"/>
      <c r="AZ398" s="80"/>
      <c r="BA398" s="80"/>
      <c r="BB398" s="80"/>
      <c r="BC398" s="80"/>
      <c r="BD398" s="80"/>
      <c r="BE398" s="80"/>
      <c r="BF398" s="80"/>
      <c r="BG398" s="80"/>
      <c r="BH398" s="80"/>
      <c r="BI398" s="80"/>
      <c r="BJ398" s="80"/>
      <c r="BK398" s="80"/>
      <c r="BL398" s="80"/>
      <c r="BM398" s="80"/>
      <c r="BN398" s="80"/>
      <c r="BO398" s="80"/>
      <c r="BP398" s="80"/>
      <c r="BQ398" s="80"/>
      <c r="BR398" s="80"/>
      <c r="BS398" s="80"/>
      <c r="BT398" s="80"/>
      <c r="BU398" s="80"/>
    </row>
    <row r="399" spans="15:73"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80"/>
      <c r="AY399" s="80"/>
      <c r="AZ399" s="80"/>
      <c r="BA399" s="80"/>
      <c r="BB399" s="80"/>
      <c r="BC399" s="80"/>
      <c r="BD399" s="80"/>
      <c r="BE399" s="80"/>
      <c r="BF399" s="80"/>
      <c r="BG399" s="80"/>
      <c r="BH399" s="80"/>
      <c r="BI399" s="80"/>
      <c r="BJ399" s="80"/>
      <c r="BK399" s="80"/>
      <c r="BL399" s="80"/>
      <c r="BM399" s="80"/>
      <c r="BN399" s="80"/>
      <c r="BO399" s="80"/>
      <c r="BP399" s="80"/>
      <c r="BQ399" s="80"/>
      <c r="BR399" s="80"/>
      <c r="BS399" s="80"/>
      <c r="BT399" s="80"/>
      <c r="BU399" s="80"/>
    </row>
    <row r="400" spans="15:73"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  <c r="AN400" s="80"/>
      <c r="AO400" s="80"/>
      <c r="AP400" s="80"/>
      <c r="AQ400" s="80"/>
      <c r="AR400" s="80"/>
      <c r="AS400" s="80"/>
      <c r="AT400" s="80"/>
      <c r="AU400" s="80"/>
      <c r="AV400" s="80"/>
      <c r="AW400" s="80"/>
      <c r="AX400" s="80"/>
      <c r="AY400" s="80"/>
      <c r="AZ400" s="80"/>
      <c r="BA400" s="80"/>
      <c r="BB400" s="80"/>
      <c r="BC400" s="80"/>
      <c r="BD400" s="80"/>
      <c r="BE400" s="80"/>
      <c r="BF400" s="80"/>
      <c r="BG400" s="80"/>
      <c r="BH400" s="80"/>
      <c r="BI400" s="80"/>
      <c r="BJ400" s="80"/>
      <c r="BK400" s="80"/>
      <c r="BL400" s="80"/>
      <c r="BM400" s="80"/>
      <c r="BN400" s="80"/>
      <c r="BO400" s="80"/>
      <c r="BP400" s="80"/>
      <c r="BQ400" s="80"/>
      <c r="BR400" s="80"/>
      <c r="BS400" s="80"/>
      <c r="BT400" s="80"/>
      <c r="BU400" s="80"/>
    </row>
    <row r="401" spans="15:73"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  <c r="AN401" s="80"/>
      <c r="AO401" s="80"/>
      <c r="AP401" s="80"/>
      <c r="AQ401" s="80"/>
      <c r="AR401" s="80"/>
      <c r="AS401" s="80"/>
      <c r="AT401" s="80"/>
      <c r="AU401" s="80"/>
      <c r="AV401" s="80"/>
      <c r="AW401" s="80"/>
      <c r="AX401" s="80"/>
      <c r="AY401" s="80"/>
      <c r="AZ401" s="80"/>
      <c r="BA401" s="80"/>
      <c r="BB401" s="80"/>
      <c r="BC401" s="80"/>
      <c r="BD401" s="80"/>
      <c r="BE401" s="80"/>
      <c r="BF401" s="80"/>
      <c r="BG401" s="80"/>
      <c r="BH401" s="80"/>
      <c r="BI401" s="80"/>
      <c r="BJ401" s="80"/>
      <c r="BK401" s="80"/>
      <c r="BL401" s="80"/>
      <c r="BM401" s="80"/>
      <c r="BN401" s="80"/>
      <c r="BO401" s="80"/>
      <c r="BP401" s="80"/>
      <c r="BQ401" s="80"/>
      <c r="BR401" s="80"/>
      <c r="BS401" s="80"/>
      <c r="BT401" s="80"/>
      <c r="BU401" s="80"/>
    </row>
    <row r="402" spans="15:73"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  <c r="AN402" s="80"/>
      <c r="AO402" s="80"/>
      <c r="AP402" s="80"/>
      <c r="AQ402" s="80"/>
      <c r="AR402" s="80"/>
      <c r="AS402" s="80"/>
      <c r="AT402" s="80"/>
      <c r="AU402" s="80"/>
      <c r="AV402" s="80"/>
      <c r="AW402" s="80"/>
      <c r="AX402" s="80"/>
      <c r="AY402" s="80"/>
      <c r="AZ402" s="80"/>
      <c r="BA402" s="80"/>
      <c r="BB402" s="80"/>
      <c r="BC402" s="80"/>
      <c r="BD402" s="80"/>
      <c r="BE402" s="80"/>
      <c r="BF402" s="80"/>
      <c r="BG402" s="80"/>
      <c r="BH402" s="80"/>
      <c r="BI402" s="80"/>
      <c r="BJ402" s="80"/>
      <c r="BK402" s="80"/>
      <c r="BL402" s="80"/>
      <c r="BM402" s="80"/>
      <c r="BN402" s="80"/>
      <c r="BO402" s="80"/>
      <c r="BP402" s="80"/>
      <c r="BQ402" s="80"/>
      <c r="BR402" s="80"/>
      <c r="BS402" s="80"/>
      <c r="BT402" s="80"/>
      <c r="BU402" s="80"/>
    </row>
    <row r="403" spans="15:73"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80"/>
      <c r="AY403" s="80"/>
      <c r="AZ403" s="80"/>
      <c r="BA403" s="80"/>
      <c r="BB403" s="80"/>
      <c r="BC403" s="80"/>
      <c r="BD403" s="80"/>
      <c r="BE403" s="80"/>
      <c r="BF403" s="80"/>
      <c r="BG403" s="80"/>
      <c r="BH403" s="80"/>
      <c r="BI403" s="80"/>
      <c r="BJ403" s="80"/>
      <c r="BK403" s="80"/>
      <c r="BL403" s="80"/>
      <c r="BM403" s="80"/>
      <c r="BN403" s="80"/>
      <c r="BO403" s="80"/>
      <c r="BP403" s="80"/>
      <c r="BQ403" s="80"/>
      <c r="BR403" s="80"/>
      <c r="BS403" s="80"/>
      <c r="BT403" s="80"/>
      <c r="BU403" s="80"/>
    </row>
    <row r="404" spans="15:73"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  <c r="AN404" s="80"/>
      <c r="AO404" s="80"/>
      <c r="AP404" s="80"/>
      <c r="AQ404" s="80"/>
      <c r="AR404" s="80"/>
      <c r="AS404" s="80"/>
      <c r="AT404" s="80"/>
      <c r="AU404" s="80"/>
      <c r="AV404" s="80"/>
      <c r="AW404" s="80"/>
      <c r="AX404" s="80"/>
      <c r="AY404" s="80"/>
      <c r="AZ404" s="80"/>
      <c r="BA404" s="80"/>
      <c r="BB404" s="80"/>
      <c r="BC404" s="80"/>
      <c r="BD404" s="80"/>
      <c r="BE404" s="80"/>
      <c r="BF404" s="80"/>
      <c r="BG404" s="80"/>
      <c r="BH404" s="80"/>
      <c r="BI404" s="80"/>
      <c r="BJ404" s="80"/>
      <c r="BK404" s="80"/>
      <c r="BL404" s="80"/>
      <c r="BM404" s="80"/>
      <c r="BN404" s="80"/>
      <c r="BO404" s="80"/>
      <c r="BP404" s="80"/>
      <c r="BQ404" s="80"/>
      <c r="BR404" s="80"/>
      <c r="BS404" s="80"/>
      <c r="BT404" s="80"/>
      <c r="BU404" s="80"/>
    </row>
    <row r="405" spans="15:73"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  <c r="AN405" s="80"/>
      <c r="AO405" s="80"/>
      <c r="AP405" s="80"/>
      <c r="AQ405" s="80"/>
      <c r="AR405" s="80"/>
      <c r="AS405" s="80"/>
      <c r="AT405" s="80"/>
      <c r="AU405" s="80"/>
      <c r="AV405" s="80"/>
      <c r="AW405" s="80"/>
      <c r="AX405" s="80"/>
      <c r="AY405" s="80"/>
      <c r="AZ405" s="80"/>
      <c r="BA405" s="80"/>
      <c r="BB405" s="80"/>
      <c r="BC405" s="80"/>
      <c r="BD405" s="80"/>
      <c r="BE405" s="80"/>
      <c r="BF405" s="80"/>
      <c r="BG405" s="80"/>
      <c r="BH405" s="80"/>
      <c r="BI405" s="80"/>
      <c r="BJ405" s="80"/>
      <c r="BK405" s="80"/>
      <c r="BL405" s="80"/>
      <c r="BM405" s="80"/>
      <c r="BN405" s="80"/>
      <c r="BO405" s="80"/>
      <c r="BP405" s="80"/>
      <c r="BQ405" s="80"/>
      <c r="BR405" s="80"/>
      <c r="BS405" s="80"/>
      <c r="BT405" s="80"/>
      <c r="BU405" s="80"/>
    </row>
    <row r="406" spans="15:73"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  <c r="AN406" s="80"/>
      <c r="AO406" s="80"/>
      <c r="AP406" s="80"/>
      <c r="AQ406" s="80"/>
      <c r="AR406" s="80"/>
      <c r="AS406" s="80"/>
      <c r="AT406" s="80"/>
      <c r="AU406" s="80"/>
      <c r="AV406" s="80"/>
      <c r="AW406" s="80"/>
      <c r="AX406" s="80"/>
      <c r="AY406" s="80"/>
      <c r="AZ406" s="80"/>
      <c r="BA406" s="80"/>
      <c r="BB406" s="80"/>
      <c r="BC406" s="80"/>
      <c r="BD406" s="80"/>
      <c r="BE406" s="80"/>
      <c r="BF406" s="80"/>
      <c r="BG406" s="80"/>
      <c r="BH406" s="80"/>
      <c r="BI406" s="80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</row>
    <row r="407" spans="15:73"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  <c r="AN407" s="80"/>
      <c r="AO407" s="80"/>
      <c r="AP407" s="80"/>
      <c r="AQ407" s="80"/>
      <c r="AR407" s="80"/>
      <c r="AS407" s="80"/>
      <c r="AT407" s="80"/>
      <c r="AU407" s="80"/>
      <c r="AV407" s="80"/>
      <c r="AW407" s="80"/>
      <c r="AX407" s="80"/>
      <c r="AY407" s="80"/>
      <c r="AZ407" s="80"/>
      <c r="BA407" s="80"/>
      <c r="BB407" s="80"/>
      <c r="BC407" s="80"/>
      <c r="BD407" s="80"/>
      <c r="BE407" s="80"/>
      <c r="BF407" s="80"/>
      <c r="BG407" s="80"/>
      <c r="BH407" s="80"/>
      <c r="BI407" s="80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</row>
    <row r="408" spans="15:73"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80"/>
      <c r="AY408" s="80"/>
      <c r="AZ408" s="80"/>
      <c r="BA408" s="80"/>
      <c r="BB408" s="80"/>
      <c r="BC408" s="80"/>
      <c r="BD408" s="80"/>
      <c r="BE408" s="80"/>
      <c r="BF408" s="80"/>
      <c r="BG408" s="80"/>
      <c r="BH408" s="80"/>
      <c r="BI408" s="80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</row>
    <row r="409" spans="15:73"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  <c r="AN409" s="80"/>
      <c r="AO409" s="80"/>
      <c r="AP409" s="80"/>
      <c r="AQ409" s="80"/>
      <c r="AR409" s="80"/>
      <c r="AS409" s="80"/>
      <c r="AT409" s="80"/>
      <c r="AU409" s="80"/>
      <c r="AV409" s="80"/>
      <c r="AW409" s="80"/>
      <c r="AX409" s="80"/>
      <c r="AY409" s="80"/>
      <c r="AZ409" s="80"/>
      <c r="BA409" s="80"/>
      <c r="BB409" s="80"/>
      <c r="BC409" s="80"/>
      <c r="BD409" s="80"/>
      <c r="BE409" s="80"/>
      <c r="BF409" s="80"/>
      <c r="BG409" s="80"/>
      <c r="BH409" s="80"/>
      <c r="BI409" s="80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</row>
    <row r="410" spans="15:73"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  <c r="AN410" s="80"/>
      <c r="AO410" s="80"/>
      <c r="AP410" s="80"/>
      <c r="AQ410" s="80"/>
      <c r="AR410" s="80"/>
      <c r="AS410" s="80"/>
      <c r="AT410" s="80"/>
      <c r="AU410" s="80"/>
      <c r="AV410" s="80"/>
      <c r="AW410" s="80"/>
      <c r="AX410" s="80"/>
      <c r="AY410" s="80"/>
      <c r="AZ410" s="80"/>
      <c r="BA410" s="80"/>
      <c r="BB410" s="80"/>
      <c r="BC410" s="80"/>
      <c r="BD410" s="80"/>
      <c r="BE410" s="80"/>
      <c r="BF410" s="80"/>
      <c r="BG410" s="80"/>
      <c r="BH410" s="80"/>
      <c r="BI410" s="80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</row>
    <row r="411" spans="15:73"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  <c r="AN411" s="80"/>
      <c r="AO411" s="80"/>
      <c r="AP411" s="80"/>
      <c r="AQ411" s="80"/>
      <c r="AR411" s="80"/>
      <c r="AS411" s="80"/>
      <c r="AT411" s="80"/>
      <c r="AU411" s="80"/>
      <c r="AV411" s="80"/>
      <c r="AW411" s="80"/>
      <c r="AX411" s="80"/>
      <c r="AY411" s="80"/>
      <c r="AZ411" s="80"/>
      <c r="BA411" s="80"/>
      <c r="BB411" s="80"/>
      <c r="BC411" s="80"/>
      <c r="BD411" s="80"/>
      <c r="BE411" s="80"/>
      <c r="BF411" s="80"/>
      <c r="BG411" s="80"/>
      <c r="BH411" s="80"/>
      <c r="BI411" s="80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</row>
    <row r="412" spans="15:73"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</row>
    <row r="413" spans="15:73"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</row>
    <row r="414" spans="15:73"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</row>
    <row r="415" spans="15:73"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</row>
    <row r="416" spans="15:73"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</row>
    <row r="417" spans="15:73"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</row>
    <row r="418" spans="15:73"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</row>
    <row r="419" spans="15:73"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</row>
    <row r="420" spans="15:73"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</row>
    <row r="421" spans="15:73"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  <c r="BM421" s="80"/>
      <c r="BN421" s="80"/>
      <c r="BO421" s="80"/>
      <c r="BP421" s="80"/>
      <c r="BQ421" s="80"/>
      <c r="BR421" s="80"/>
      <c r="BS421" s="80"/>
      <c r="BT421" s="80"/>
      <c r="BU421" s="80"/>
    </row>
    <row r="422" spans="15:73"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  <c r="BM422" s="80"/>
      <c r="BN422" s="80"/>
      <c r="BO422" s="80"/>
      <c r="BP422" s="80"/>
      <c r="BQ422" s="80"/>
      <c r="BR422" s="80"/>
      <c r="BS422" s="80"/>
      <c r="BT422" s="80"/>
      <c r="BU422" s="80"/>
    </row>
    <row r="423" spans="15:73"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  <c r="BM423" s="80"/>
      <c r="BN423" s="80"/>
      <c r="BO423" s="80"/>
      <c r="BP423" s="80"/>
      <c r="BQ423" s="80"/>
      <c r="BR423" s="80"/>
      <c r="BS423" s="80"/>
      <c r="BT423" s="80"/>
      <c r="BU423" s="80"/>
    </row>
    <row r="424" spans="15:73"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  <c r="BM424" s="80"/>
      <c r="BN424" s="80"/>
      <c r="BO424" s="80"/>
      <c r="BP424" s="80"/>
      <c r="BQ424" s="80"/>
      <c r="BR424" s="80"/>
      <c r="BS424" s="80"/>
      <c r="BT424" s="80"/>
      <c r="BU424" s="80"/>
    </row>
    <row r="425" spans="15:73"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  <c r="BM425" s="80"/>
      <c r="BN425" s="80"/>
      <c r="BO425" s="80"/>
      <c r="BP425" s="80"/>
      <c r="BQ425" s="80"/>
      <c r="BR425" s="80"/>
      <c r="BS425" s="80"/>
      <c r="BT425" s="80"/>
      <c r="BU425" s="80"/>
    </row>
    <row r="426" spans="15:73"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80"/>
      <c r="AY426" s="80"/>
      <c r="AZ426" s="80"/>
      <c r="BA426" s="80"/>
      <c r="BB426" s="80"/>
      <c r="BC426" s="80"/>
      <c r="BD426" s="80"/>
      <c r="BE426" s="80"/>
      <c r="BF426" s="80"/>
      <c r="BG426" s="80"/>
      <c r="BH426" s="80"/>
      <c r="BI426" s="80"/>
      <c r="BJ426" s="80"/>
      <c r="BK426" s="80"/>
      <c r="BL426" s="80"/>
      <c r="BM426" s="80"/>
      <c r="BN426" s="80"/>
      <c r="BO426" s="80"/>
      <c r="BP426" s="80"/>
      <c r="BQ426" s="80"/>
      <c r="BR426" s="80"/>
      <c r="BS426" s="80"/>
      <c r="BT426" s="80"/>
      <c r="BU426" s="80"/>
    </row>
    <row r="427" spans="15:73"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  <c r="AN427" s="80"/>
      <c r="AO427" s="80"/>
      <c r="AP427" s="80"/>
      <c r="AQ427" s="80"/>
      <c r="AR427" s="80"/>
      <c r="AS427" s="80"/>
      <c r="AT427" s="80"/>
      <c r="AU427" s="80"/>
      <c r="AV427" s="80"/>
      <c r="AW427" s="80"/>
      <c r="AX427" s="80"/>
      <c r="AY427" s="80"/>
      <c r="AZ427" s="80"/>
      <c r="BA427" s="80"/>
      <c r="BB427" s="80"/>
      <c r="BC427" s="80"/>
      <c r="BD427" s="80"/>
      <c r="BE427" s="80"/>
      <c r="BF427" s="80"/>
      <c r="BG427" s="80"/>
      <c r="BH427" s="80"/>
      <c r="BI427" s="80"/>
      <c r="BJ427" s="80"/>
      <c r="BK427" s="80"/>
      <c r="BL427" s="80"/>
      <c r="BM427" s="80"/>
      <c r="BN427" s="80"/>
      <c r="BO427" s="80"/>
      <c r="BP427" s="80"/>
      <c r="BQ427" s="80"/>
      <c r="BR427" s="80"/>
      <c r="BS427" s="80"/>
      <c r="BT427" s="80"/>
      <c r="BU427" s="80"/>
    </row>
    <row r="428" spans="15:73"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  <c r="AN428" s="80"/>
      <c r="AO428" s="80"/>
      <c r="AP428" s="80"/>
      <c r="AQ428" s="80"/>
      <c r="AR428" s="80"/>
      <c r="AS428" s="80"/>
      <c r="AT428" s="80"/>
      <c r="AU428" s="80"/>
      <c r="AV428" s="80"/>
      <c r="AW428" s="80"/>
      <c r="AX428" s="80"/>
      <c r="AY428" s="80"/>
      <c r="AZ428" s="80"/>
      <c r="BA428" s="80"/>
      <c r="BB428" s="80"/>
      <c r="BC428" s="80"/>
      <c r="BD428" s="80"/>
      <c r="BE428" s="80"/>
      <c r="BF428" s="80"/>
      <c r="BG428" s="80"/>
      <c r="BH428" s="80"/>
      <c r="BI428" s="80"/>
      <c r="BJ428" s="80"/>
      <c r="BK428" s="80"/>
      <c r="BL428" s="80"/>
      <c r="BM428" s="80"/>
      <c r="BN428" s="80"/>
      <c r="BO428" s="80"/>
      <c r="BP428" s="80"/>
      <c r="BQ428" s="80"/>
      <c r="BR428" s="80"/>
      <c r="BS428" s="80"/>
      <c r="BT428" s="80"/>
      <c r="BU428" s="80"/>
    </row>
    <row r="429" spans="15:73"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  <c r="AN429" s="80"/>
      <c r="AO429" s="80"/>
      <c r="AP429" s="80"/>
      <c r="AQ429" s="80"/>
      <c r="AR429" s="80"/>
      <c r="AS429" s="80"/>
      <c r="AT429" s="80"/>
      <c r="AU429" s="80"/>
      <c r="AV429" s="80"/>
      <c r="AW429" s="80"/>
      <c r="AX429" s="80"/>
      <c r="AY429" s="80"/>
      <c r="AZ429" s="80"/>
      <c r="BA429" s="80"/>
      <c r="BB429" s="80"/>
      <c r="BC429" s="80"/>
      <c r="BD429" s="80"/>
      <c r="BE429" s="80"/>
      <c r="BF429" s="80"/>
      <c r="BG429" s="80"/>
      <c r="BH429" s="80"/>
      <c r="BI429" s="80"/>
      <c r="BJ429" s="80"/>
      <c r="BK429" s="80"/>
      <c r="BL429" s="80"/>
      <c r="BM429" s="80"/>
      <c r="BN429" s="80"/>
      <c r="BO429" s="80"/>
      <c r="BP429" s="80"/>
      <c r="BQ429" s="80"/>
      <c r="BR429" s="80"/>
      <c r="BS429" s="80"/>
      <c r="BT429" s="80"/>
      <c r="BU429" s="80"/>
    </row>
    <row r="430" spans="15:73"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  <c r="BM430" s="80"/>
      <c r="BN430" s="80"/>
      <c r="BO430" s="80"/>
      <c r="BP430" s="80"/>
      <c r="BQ430" s="80"/>
      <c r="BR430" s="80"/>
      <c r="BS430" s="80"/>
      <c r="BT430" s="80"/>
      <c r="BU430" s="80"/>
    </row>
    <row r="431" spans="15:73"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  <c r="AA431" s="80"/>
      <c r="AB431" s="80"/>
      <c r="AC431" s="80"/>
      <c r="AD431" s="80"/>
      <c r="AE431" s="80"/>
      <c r="AF431" s="80"/>
      <c r="AG431" s="80"/>
      <c r="AH431" s="80"/>
      <c r="AI431" s="80"/>
      <c r="AJ431" s="80"/>
      <c r="AK431" s="80"/>
      <c r="AL431" s="80"/>
      <c r="AM431" s="80"/>
      <c r="AN431" s="80"/>
      <c r="AO431" s="80"/>
      <c r="AP431" s="80"/>
      <c r="AQ431" s="80"/>
      <c r="AR431" s="80"/>
      <c r="AS431" s="80"/>
      <c r="AT431" s="80"/>
      <c r="AU431" s="80"/>
      <c r="AV431" s="80"/>
      <c r="AW431" s="80"/>
      <c r="AX431" s="80"/>
      <c r="AY431" s="80"/>
      <c r="AZ431" s="80"/>
      <c r="BA431" s="80"/>
      <c r="BB431" s="80"/>
      <c r="BC431" s="80"/>
      <c r="BD431" s="80"/>
      <c r="BE431" s="80"/>
      <c r="BF431" s="80"/>
      <c r="BG431" s="80"/>
      <c r="BH431" s="80"/>
      <c r="BI431" s="80"/>
      <c r="BJ431" s="80"/>
      <c r="BK431" s="80"/>
      <c r="BL431" s="80"/>
      <c r="BM431" s="80"/>
      <c r="BN431" s="80"/>
      <c r="BO431" s="80"/>
      <c r="BP431" s="80"/>
      <c r="BQ431" s="80"/>
      <c r="BR431" s="80"/>
      <c r="BS431" s="80"/>
      <c r="BT431" s="80"/>
      <c r="BU431" s="80"/>
    </row>
    <row r="432" spans="15:73"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  <c r="AA432" s="80"/>
      <c r="AB432" s="80"/>
      <c r="AC432" s="80"/>
      <c r="AD432" s="80"/>
      <c r="AE432" s="80"/>
      <c r="AF432" s="80"/>
      <c r="AG432" s="80"/>
      <c r="AH432" s="80"/>
      <c r="AI432" s="80"/>
      <c r="AJ432" s="80"/>
      <c r="AK432" s="80"/>
      <c r="AL432" s="80"/>
      <c r="AM432" s="80"/>
      <c r="AN432" s="80"/>
      <c r="AO432" s="80"/>
      <c r="AP432" s="80"/>
      <c r="AQ432" s="80"/>
      <c r="AR432" s="80"/>
      <c r="AS432" s="80"/>
      <c r="AT432" s="80"/>
      <c r="AU432" s="80"/>
      <c r="AV432" s="80"/>
      <c r="AW432" s="80"/>
      <c r="AX432" s="80"/>
      <c r="AY432" s="80"/>
      <c r="AZ432" s="80"/>
      <c r="BA432" s="80"/>
      <c r="BB432" s="80"/>
      <c r="BC432" s="80"/>
      <c r="BD432" s="80"/>
      <c r="BE432" s="80"/>
      <c r="BF432" s="80"/>
      <c r="BG432" s="80"/>
      <c r="BH432" s="80"/>
      <c r="BI432" s="80"/>
      <c r="BJ432" s="80"/>
      <c r="BK432" s="80"/>
      <c r="BL432" s="80"/>
      <c r="BM432" s="80"/>
      <c r="BN432" s="80"/>
      <c r="BO432" s="80"/>
      <c r="BP432" s="80"/>
      <c r="BQ432" s="80"/>
      <c r="BR432" s="80"/>
      <c r="BS432" s="80"/>
      <c r="BT432" s="80"/>
      <c r="BU432" s="80"/>
    </row>
    <row r="433" spans="15:73"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  <c r="AA433" s="80"/>
      <c r="AB433" s="80"/>
      <c r="AC433" s="80"/>
      <c r="AD433" s="80"/>
      <c r="AE433" s="80"/>
      <c r="AF433" s="80"/>
      <c r="AG433" s="80"/>
      <c r="AH433" s="80"/>
      <c r="AI433" s="80"/>
      <c r="AJ433" s="80"/>
      <c r="AK433" s="80"/>
      <c r="AL433" s="80"/>
      <c r="AM433" s="80"/>
      <c r="AN433" s="80"/>
      <c r="AO433" s="80"/>
      <c r="AP433" s="80"/>
      <c r="AQ433" s="80"/>
      <c r="AR433" s="80"/>
      <c r="AS433" s="80"/>
      <c r="AT433" s="80"/>
      <c r="AU433" s="80"/>
      <c r="AV433" s="80"/>
      <c r="AW433" s="80"/>
      <c r="AX433" s="80"/>
      <c r="AY433" s="80"/>
      <c r="AZ433" s="80"/>
      <c r="BA433" s="80"/>
      <c r="BB433" s="80"/>
      <c r="BC433" s="80"/>
      <c r="BD433" s="80"/>
      <c r="BE433" s="80"/>
      <c r="BF433" s="80"/>
      <c r="BG433" s="80"/>
      <c r="BH433" s="80"/>
      <c r="BI433" s="80"/>
      <c r="BJ433" s="80"/>
      <c r="BK433" s="80"/>
      <c r="BL433" s="80"/>
      <c r="BM433" s="80"/>
      <c r="BN433" s="80"/>
      <c r="BO433" s="80"/>
      <c r="BP433" s="80"/>
      <c r="BQ433" s="80"/>
      <c r="BR433" s="80"/>
      <c r="BS433" s="80"/>
      <c r="BT433" s="80"/>
      <c r="BU433" s="80"/>
    </row>
    <row r="434" spans="15:73"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  <c r="AA434" s="80"/>
      <c r="AB434" s="80"/>
      <c r="AC434" s="80"/>
      <c r="AD434" s="80"/>
      <c r="AE434" s="80"/>
      <c r="AF434" s="80"/>
      <c r="AG434" s="80"/>
      <c r="AH434" s="80"/>
      <c r="AI434" s="80"/>
      <c r="AJ434" s="80"/>
      <c r="AK434" s="80"/>
      <c r="AL434" s="80"/>
      <c r="AM434" s="80"/>
      <c r="AN434" s="80"/>
      <c r="AO434" s="80"/>
      <c r="AP434" s="80"/>
      <c r="AQ434" s="80"/>
      <c r="AR434" s="80"/>
      <c r="AS434" s="80"/>
      <c r="AT434" s="80"/>
      <c r="AU434" s="80"/>
      <c r="AV434" s="80"/>
      <c r="AW434" s="80"/>
      <c r="AX434" s="80"/>
      <c r="AY434" s="80"/>
      <c r="AZ434" s="80"/>
      <c r="BA434" s="80"/>
      <c r="BB434" s="80"/>
      <c r="BC434" s="80"/>
      <c r="BD434" s="80"/>
      <c r="BE434" s="80"/>
      <c r="BF434" s="80"/>
      <c r="BG434" s="80"/>
      <c r="BH434" s="80"/>
      <c r="BI434" s="80"/>
      <c r="BJ434" s="80"/>
      <c r="BK434" s="80"/>
      <c r="BL434" s="80"/>
      <c r="BM434" s="80"/>
      <c r="BN434" s="80"/>
      <c r="BO434" s="80"/>
      <c r="BP434" s="80"/>
      <c r="BQ434" s="80"/>
      <c r="BR434" s="80"/>
      <c r="BS434" s="80"/>
      <c r="BT434" s="80"/>
      <c r="BU434" s="80"/>
    </row>
    <row r="435" spans="15:73"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  <c r="AA435" s="80"/>
      <c r="AB435" s="80"/>
      <c r="AC435" s="80"/>
      <c r="AD435" s="80"/>
      <c r="AE435" s="80"/>
      <c r="AF435" s="80"/>
      <c r="AG435" s="80"/>
      <c r="AH435" s="80"/>
      <c r="AI435" s="80"/>
      <c r="AJ435" s="80"/>
      <c r="AK435" s="80"/>
      <c r="AL435" s="80"/>
      <c r="AM435" s="80"/>
      <c r="AN435" s="80"/>
      <c r="AO435" s="80"/>
      <c r="AP435" s="80"/>
      <c r="AQ435" s="80"/>
      <c r="AR435" s="80"/>
      <c r="AS435" s="80"/>
      <c r="AT435" s="80"/>
      <c r="AU435" s="80"/>
      <c r="AV435" s="80"/>
      <c r="AW435" s="80"/>
      <c r="AX435" s="80"/>
      <c r="AY435" s="80"/>
      <c r="AZ435" s="80"/>
      <c r="BA435" s="80"/>
      <c r="BB435" s="80"/>
      <c r="BC435" s="80"/>
      <c r="BD435" s="80"/>
      <c r="BE435" s="80"/>
      <c r="BF435" s="80"/>
      <c r="BG435" s="80"/>
      <c r="BH435" s="80"/>
      <c r="BI435" s="80"/>
      <c r="BJ435" s="80"/>
      <c r="BK435" s="80"/>
      <c r="BL435" s="80"/>
      <c r="BM435" s="80"/>
      <c r="BN435" s="80"/>
      <c r="BO435" s="80"/>
      <c r="BP435" s="80"/>
      <c r="BQ435" s="80"/>
      <c r="BR435" s="80"/>
      <c r="BS435" s="80"/>
      <c r="BT435" s="80"/>
      <c r="BU435" s="80"/>
    </row>
    <row r="436" spans="15:73"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  <c r="AA436" s="80"/>
      <c r="AB436" s="80"/>
      <c r="AC436" s="80"/>
      <c r="AD436" s="80"/>
      <c r="AE436" s="80"/>
      <c r="AF436" s="80"/>
      <c r="AG436" s="80"/>
      <c r="AH436" s="80"/>
      <c r="AI436" s="80"/>
      <c r="AJ436" s="80"/>
      <c r="AK436" s="80"/>
      <c r="AL436" s="80"/>
      <c r="AM436" s="80"/>
      <c r="AN436" s="80"/>
      <c r="AO436" s="80"/>
      <c r="AP436" s="80"/>
      <c r="AQ436" s="80"/>
      <c r="AR436" s="80"/>
      <c r="AS436" s="80"/>
      <c r="AT436" s="80"/>
      <c r="AU436" s="80"/>
      <c r="AV436" s="80"/>
      <c r="AW436" s="80"/>
      <c r="AX436" s="80"/>
      <c r="AY436" s="80"/>
      <c r="AZ436" s="80"/>
      <c r="BA436" s="80"/>
      <c r="BB436" s="80"/>
      <c r="BC436" s="80"/>
      <c r="BD436" s="80"/>
      <c r="BE436" s="80"/>
      <c r="BF436" s="80"/>
      <c r="BG436" s="80"/>
      <c r="BH436" s="80"/>
      <c r="BI436" s="80"/>
      <c r="BJ436" s="80"/>
      <c r="BK436" s="80"/>
      <c r="BL436" s="80"/>
      <c r="BM436" s="80"/>
      <c r="BN436" s="80"/>
      <c r="BO436" s="80"/>
      <c r="BP436" s="80"/>
      <c r="BQ436" s="80"/>
      <c r="BR436" s="80"/>
      <c r="BS436" s="80"/>
      <c r="BT436" s="80"/>
      <c r="BU436" s="80"/>
    </row>
    <row r="437" spans="15:73"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  <c r="AA437" s="80"/>
      <c r="AB437" s="80"/>
      <c r="AC437" s="80"/>
      <c r="AD437" s="80"/>
      <c r="AE437" s="80"/>
      <c r="AF437" s="80"/>
      <c r="AG437" s="80"/>
      <c r="AH437" s="80"/>
      <c r="AI437" s="80"/>
      <c r="AJ437" s="80"/>
      <c r="AK437" s="80"/>
      <c r="AL437" s="80"/>
      <c r="AM437" s="80"/>
      <c r="AN437" s="80"/>
      <c r="AO437" s="80"/>
      <c r="AP437" s="80"/>
      <c r="AQ437" s="80"/>
      <c r="AR437" s="80"/>
      <c r="AS437" s="80"/>
      <c r="AT437" s="80"/>
      <c r="AU437" s="80"/>
      <c r="AV437" s="80"/>
      <c r="AW437" s="80"/>
      <c r="AX437" s="80"/>
      <c r="AY437" s="80"/>
      <c r="AZ437" s="80"/>
      <c r="BA437" s="80"/>
      <c r="BB437" s="80"/>
      <c r="BC437" s="80"/>
      <c r="BD437" s="80"/>
      <c r="BE437" s="80"/>
      <c r="BF437" s="80"/>
      <c r="BG437" s="80"/>
      <c r="BH437" s="80"/>
      <c r="BI437" s="80"/>
      <c r="BJ437" s="80"/>
      <c r="BK437" s="80"/>
      <c r="BL437" s="80"/>
      <c r="BM437" s="80"/>
      <c r="BN437" s="80"/>
      <c r="BO437" s="80"/>
      <c r="BP437" s="80"/>
      <c r="BQ437" s="80"/>
      <c r="BR437" s="80"/>
      <c r="BS437" s="80"/>
      <c r="BT437" s="80"/>
      <c r="BU437" s="80"/>
    </row>
    <row r="438" spans="15:73"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  <c r="AA438" s="80"/>
      <c r="AB438" s="80"/>
      <c r="AC438" s="80"/>
      <c r="AD438" s="80"/>
      <c r="AE438" s="80"/>
      <c r="AF438" s="80"/>
      <c r="AG438" s="80"/>
      <c r="AH438" s="80"/>
      <c r="AI438" s="80"/>
      <c r="AJ438" s="80"/>
      <c r="AK438" s="80"/>
      <c r="AL438" s="80"/>
      <c r="AM438" s="80"/>
      <c r="AN438" s="80"/>
      <c r="AO438" s="80"/>
      <c r="AP438" s="80"/>
      <c r="AQ438" s="80"/>
      <c r="AR438" s="80"/>
      <c r="AS438" s="80"/>
      <c r="AT438" s="80"/>
      <c r="AU438" s="80"/>
      <c r="AV438" s="80"/>
      <c r="AW438" s="80"/>
      <c r="AX438" s="80"/>
      <c r="AY438" s="80"/>
      <c r="AZ438" s="80"/>
      <c r="BA438" s="80"/>
      <c r="BB438" s="80"/>
      <c r="BC438" s="80"/>
      <c r="BD438" s="80"/>
      <c r="BE438" s="80"/>
      <c r="BF438" s="80"/>
      <c r="BG438" s="80"/>
      <c r="BH438" s="80"/>
      <c r="BI438" s="80"/>
      <c r="BJ438" s="80"/>
      <c r="BK438" s="80"/>
      <c r="BL438" s="80"/>
      <c r="BM438" s="80"/>
      <c r="BN438" s="80"/>
      <c r="BO438" s="80"/>
      <c r="BP438" s="80"/>
      <c r="BQ438" s="80"/>
      <c r="BR438" s="80"/>
      <c r="BS438" s="80"/>
      <c r="BT438" s="80"/>
      <c r="BU438" s="80"/>
    </row>
    <row r="439" spans="15:73"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  <c r="AA439" s="80"/>
      <c r="AB439" s="80"/>
      <c r="AC439" s="80"/>
      <c r="AD439" s="80"/>
      <c r="AE439" s="80"/>
      <c r="AF439" s="80"/>
      <c r="AG439" s="80"/>
      <c r="AH439" s="80"/>
      <c r="AI439" s="80"/>
      <c r="AJ439" s="80"/>
      <c r="AK439" s="80"/>
      <c r="AL439" s="80"/>
      <c r="AM439" s="80"/>
      <c r="AN439" s="80"/>
      <c r="AO439" s="80"/>
      <c r="AP439" s="80"/>
      <c r="AQ439" s="80"/>
      <c r="AR439" s="80"/>
      <c r="AS439" s="80"/>
      <c r="AT439" s="80"/>
      <c r="AU439" s="80"/>
      <c r="AV439" s="80"/>
      <c r="AW439" s="80"/>
      <c r="AX439" s="80"/>
      <c r="AY439" s="80"/>
      <c r="AZ439" s="80"/>
      <c r="BA439" s="80"/>
      <c r="BB439" s="80"/>
      <c r="BC439" s="80"/>
      <c r="BD439" s="80"/>
      <c r="BE439" s="80"/>
      <c r="BF439" s="80"/>
      <c r="BG439" s="80"/>
      <c r="BH439" s="80"/>
      <c r="BI439" s="80"/>
      <c r="BJ439" s="80"/>
      <c r="BK439" s="80"/>
      <c r="BL439" s="80"/>
      <c r="BM439" s="80"/>
      <c r="BN439" s="80"/>
      <c r="BO439" s="80"/>
      <c r="BP439" s="80"/>
      <c r="BQ439" s="80"/>
      <c r="BR439" s="80"/>
      <c r="BS439" s="80"/>
      <c r="BT439" s="80"/>
      <c r="BU439" s="80"/>
    </row>
    <row r="440" spans="15:73"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  <c r="AA440" s="80"/>
      <c r="AB440" s="80"/>
      <c r="AC440" s="80"/>
      <c r="AD440" s="80"/>
      <c r="AE440" s="80"/>
      <c r="AF440" s="80"/>
      <c r="AG440" s="80"/>
      <c r="AH440" s="80"/>
      <c r="AI440" s="80"/>
      <c r="AJ440" s="80"/>
      <c r="AK440" s="80"/>
      <c r="AL440" s="80"/>
      <c r="AM440" s="80"/>
      <c r="AN440" s="80"/>
      <c r="AO440" s="80"/>
      <c r="AP440" s="80"/>
      <c r="AQ440" s="80"/>
      <c r="AR440" s="80"/>
      <c r="AS440" s="80"/>
      <c r="AT440" s="80"/>
      <c r="AU440" s="80"/>
      <c r="AV440" s="80"/>
      <c r="AW440" s="80"/>
      <c r="AX440" s="80"/>
      <c r="AY440" s="80"/>
      <c r="AZ440" s="80"/>
      <c r="BA440" s="80"/>
      <c r="BB440" s="80"/>
      <c r="BC440" s="80"/>
      <c r="BD440" s="80"/>
      <c r="BE440" s="80"/>
      <c r="BF440" s="80"/>
      <c r="BG440" s="80"/>
      <c r="BH440" s="80"/>
      <c r="BI440" s="80"/>
      <c r="BJ440" s="80"/>
      <c r="BK440" s="80"/>
      <c r="BL440" s="80"/>
      <c r="BM440" s="80"/>
      <c r="BN440" s="80"/>
      <c r="BO440" s="80"/>
      <c r="BP440" s="80"/>
      <c r="BQ440" s="80"/>
      <c r="BR440" s="80"/>
      <c r="BS440" s="80"/>
      <c r="BT440" s="80"/>
      <c r="BU440" s="80"/>
    </row>
    <row r="441" spans="15:73"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  <c r="AA441" s="80"/>
      <c r="AB441" s="80"/>
      <c r="AC441" s="80"/>
      <c r="AD441" s="80"/>
      <c r="AE441" s="80"/>
      <c r="AF441" s="80"/>
      <c r="AG441" s="80"/>
      <c r="AH441" s="80"/>
      <c r="AI441" s="80"/>
      <c r="AJ441" s="80"/>
      <c r="AK441" s="80"/>
      <c r="AL441" s="80"/>
      <c r="AM441" s="80"/>
      <c r="AN441" s="80"/>
      <c r="AO441" s="80"/>
      <c r="AP441" s="80"/>
      <c r="AQ441" s="80"/>
      <c r="AR441" s="80"/>
      <c r="AS441" s="80"/>
      <c r="AT441" s="80"/>
      <c r="AU441" s="80"/>
      <c r="AV441" s="80"/>
      <c r="AW441" s="80"/>
      <c r="AX441" s="80"/>
      <c r="AY441" s="80"/>
      <c r="AZ441" s="80"/>
      <c r="BA441" s="80"/>
      <c r="BB441" s="80"/>
      <c r="BC441" s="80"/>
      <c r="BD441" s="80"/>
      <c r="BE441" s="80"/>
      <c r="BF441" s="80"/>
      <c r="BG441" s="80"/>
      <c r="BH441" s="80"/>
      <c r="BI441" s="80"/>
      <c r="BJ441" s="80"/>
      <c r="BK441" s="80"/>
      <c r="BL441" s="80"/>
      <c r="BM441" s="80"/>
      <c r="BN441" s="80"/>
      <c r="BO441" s="80"/>
      <c r="BP441" s="80"/>
      <c r="BQ441" s="80"/>
      <c r="BR441" s="80"/>
      <c r="BS441" s="80"/>
      <c r="BT441" s="80"/>
      <c r="BU441" s="80"/>
    </row>
    <row r="442" spans="15:73"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  <c r="AA442" s="80"/>
      <c r="AB442" s="80"/>
      <c r="AC442" s="80"/>
      <c r="AD442" s="80"/>
      <c r="AE442" s="80"/>
      <c r="AF442" s="80"/>
      <c r="AG442" s="80"/>
      <c r="AH442" s="80"/>
      <c r="AI442" s="80"/>
      <c r="AJ442" s="80"/>
      <c r="AK442" s="80"/>
      <c r="AL442" s="80"/>
      <c r="AM442" s="80"/>
      <c r="AN442" s="80"/>
      <c r="AO442" s="80"/>
      <c r="AP442" s="80"/>
      <c r="AQ442" s="80"/>
      <c r="AR442" s="80"/>
      <c r="AS442" s="80"/>
      <c r="AT442" s="80"/>
      <c r="AU442" s="80"/>
      <c r="AV442" s="80"/>
      <c r="AW442" s="80"/>
      <c r="AX442" s="80"/>
      <c r="AY442" s="80"/>
      <c r="AZ442" s="80"/>
      <c r="BA442" s="80"/>
      <c r="BB442" s="80"/>
      <c r="BC442" s="80"/>
      <c r="BD442" s="80"/>
      <c r="BE442" s="80"/>
      <c r="BF442" s="80"/>
      <c r="BG442" s="80"/>
      <c r="BH442" s="80"/>
      <c r="BI442" s="80"/>
      <c r="BJ442" s="80"/>
      <c r="BK442" s="80"/>
      <c r="BL442" s="80"/>
      <c r="BM442" s="80"/>
      <c r="BN442" s="80"/>
      <c r="BO442" s="80"/>
      <c r="BP442" s="80"/>
      <c r="BQ442" s="80"/>
      <c r="BR442" s="80"/>
      <c r="BS442" s="80"/>
      <c r="BT442" s="80"/>
      <c r="BU442" s="80"/>
    </row>
    <row r="443" spans="15:73"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  <c r="AA443" s="80"/>
      <c r="AB443" s="80"/>
      <c r="AC443" s="80"/>
      <c r="AD443" s="80"/>
      <c r="AE443" s="80"/>
      <c r="AF443" s="80"/>
      <c r="AG443" s="80"/>
      <c r="AH443" s="80"/>
      <c r="AI443" s="80"/>
      <c r="AJ443" s="80"/>
      <c r="AK443" s="80"/>
      <c r="AL443" s="80"/>
      <c r="AM443" s="80"/>
      <c r="AN443" s="80"/>
      <c r="AO443" s="80"/>
      <c r="AP443" s="80"/>
      <c r="AQ443" s="80"/>
      <c r="AR443" s="80"/>
      <c r="AS443" s="80"/>
      <c r="AT443" s="80"/>
      <c r="AU443" s="80"/>
      <c r="AV443" s="80"/>
      <c r="AW443" s="80"/>
      <c r="AX443" s="80"/>
      <c r="AY443" s="80"/>
      <c r="AZ443" s="80"/>
      <c r="BA443" s="80"/>
      <c r="BB443" s="80"/>
      <c r="BC443" s="80"/>
      <c r="BD443" s="80"/>
      <c r="BE443" s="80"/>
      <c r="BF443" s="80"/>
      <c r="BG443" s="80"/>
      <c r="BH443" s="80"/>
      <c r="BI443" s="80"/>
      <c r="BJ443" s="80"/>
      <c r="BK443" s="80"/>
      <c r="BL443" s="80"/>
      <c r="BM443" s="80"/>
      <c r="BN443" s="80"/>
      <c r="BO443" s="80"/>
      <c r="BP443" s="80"/>
      <c r="BQ443" s="80"/>
      <c r="BR443" s="80"/>
      <c r="BS443" s="80"/>
      <c r="BT443" s="80"/>
      <c r="BU443" s="80"/>
    </row>
    <row r="444" spans="15:73"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  <c r="AA444" s="80"/>
      <c r="AB444" s="80"/>
      <c r="AC444" s="80"/>
      <c r="AD444" s="80"/>
      <c r="AE444" s="80"/>
      <c r="AF444" s="80"/>
      <c r="AG444" s="80"/>
      <c r="AH444" s="80"/>
      <c r="AI444" s="80"/>
      <c r="AJ444" s="80"/>
      <c r="AK444" s="80"/>
      <c r="AL444" s="80"/>
      <c r="AM444" s="80"/>
      <c r="AN444" s="80"/>
      <c r="AO444" s="80"/>
      <c r="AP444" s="80"/>
      <c r="AQ444" s="80"/>
      <c r="AR444" s="80"/>
      <c r="AS444" s="80"/>
      <c r="AT444" s="80"/>
      <c r="AU444" s="80"/>
      <c r="AV444" s="80"/>
      <c r="AW444" s="80"/>
      <c r="AX444" s="80"/>
      <c r="AY444" s="80"/>
      <c r="AZ444" s="80"/>
      <c r="BA444" s="80"/>
      <c r="BB444" s="80"/>
      <c r="BC444" s="80"/>
      <c r="BD444" s="80"/>
      <c r="BE444" s="80"/>
      <c r="BF444" s="80"/>
      <c r="BG444" s="80"/>
      <c r="BH444" s="80"/>
      <c r="BI444" s="80"/>
      <c r="BJ444" s="80"/>
      <c r="BK444" s="80"/>
      <c r="BL444" s="80"/>
      <c r="BM444" s="80"/>
      <c r="BN444" s="80"/>
      <c r="BO444" s="80"/>
      <c r="BP444" s="80"/>
      <c r="BQ444" s="80"/>
      <c r="BR444" s="80"/>
      <c r="BS444" s="80"/>
      <c r="BT444" s="80"/>
      <c r="BU444" s="80"/>
    </row>
    <row r="445" spans="15:73"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  <c r="AA445" s="80"/>
      <c r="AB445" s="80"/>
      <c r="AC445" s="80"/>
      <c r="AD445" s="80"/>
      <c r="AE445" s="80"/>
      <c r="AF445" s="80"/>
      <c r="AG445" s="80"/>
      <c r="AH445" s="80"/>
      <c r="AI445" s="80"/>
      <c r="AJ445" s="80"/>
      <c r="AK445" s="80"/>
      <c r="AL445" s="80"/>
      <c r="AM445" s="80"/>
      <c r="AN445" s="80"/>
      <c r="AO445" s="80"/>
      <c r="AP445" s="80"/>
      <c r="AQ445" s="80"/>
      <c r="AR445" s="80"/>
      <c r="AS445" s="80"/>
      <c r="AT445" s="80"/>
      <c r="AU445" s="80"/>
      <c r="AV445" s="80"/>
      <c r="AW445" s="80"/>
      <c r="AX445" s="80"/>
      <c r="AY445" s="80"/>
      <c r="AZ445" s="80"/>
      <c r="BA445" s="80"/>
      <c r="BB445" s="80"/>
      <c r="BC445" s="80"/>
      <c r="BD445" s="80"/>
      <c r="BE445" s="80"/>
      <c r="BF445" s="80"/>
      <c r="BG445" s="80"/>
      <c r="BH445" s="80"/>
      <c r="BI445" s="80"/>
      <c r="BJ445" s="80"/>
      <c r="BK445" s="80"/>
      <c r="BL445" s="80"/>
      <c r="BM445" s="80"/>
      <c r="BN445" s="80"/>
      <c r="BO445" s="80"/>
      <c r="BP445" s="80"/>
      <c r="BQ445" s="80"/>
      <c r="BR445" s="80"/>
      <c r="BS445" s="80"/>
      <c r="BT445" s="80"/>
      <c r="BU445" s="80"/>
    </row>
    <row r="446" spans="15:73"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  <c r="AA446" s="80"/>
      <c r="AB446" s="80"/>
      <c r="AC446" s="80"/>
      <c r="AD446" s="80"/>
      <c r="AE446" s="80"/>
      <c r="AF446" s="80"/>
      <c r="AG446" s="80"/>
      <c r="AH446" s="80"/>
      <c r="AI446" s="80"/>
      <c r="AJ446" s="80"/>
      <c r="AK446" s="80"/>
      <c r="AL446" s="80"/>
      <c r="AM446" s="80"/>
      <c r="AN446" s="80"/>
      <c r="AO446" s="80"/>
      <c r="AP446" s="80"/>
      <c r="AQ446" s="80"/>
      <c r="AR446" s="80"/>
      <c r="AS446" s="80"/>
      <c r="AT446" s="80"/>
      <c r="AU446" s="80"/>
      <c r="AV446" s="80"/>
      <c r="AW446" s="80"/>
      <c r="AX446" s="80"/>
      <c r="AY446" s="80"/>
      <c r="AZ446" s="80"/>
      <c r="BA446" s="80"/>
      <c r="BB446" s="80"/>
      <c r="BC446" s="80"/>
      <c r="BD446" s="80"/>
      <c r="BE446" s="80"/>
      <c r="BF446" s="80"/>
      <c r="BG446" s="80"/>
      <c r="BH446" s="80"/>
      <c r="BI446" s="80"/>
      <c r="BJ446" s="80"/>
      <c r="BK446" s="80"/>
      <c r="BL446" s="80"/>
      <c r="BM446" s="80"/>
      <c r="BN446" s="80"/>
      <c r="BO446" s="80"/>
      <c r="BP446" s="80"/>
      <c r="BQ446" s="80"/>
      <c r="BR446" s="80"/>
      <c r="BS446" s="80"/>
      <c r="BT446" s="80"/>
      <c r="BU446" s="80"/>
    </row>
    <row r="447" spans="15:73"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  <c r="AA447" s="80"/>
      <c r="AB447" s="80"/>
      <c r="AC447" s="80"/>
      <c r="AD447" s="80"/>
      <c r="AE447" s="80"/>
      <c r="AF447" s="80"/>
      <c r="AG447" s="80"/>
      <c r="AH447" s="80"/>
      <c r="AI447" s="80"/>
      <c r="AJ447" s="80"/>
      <c r="AK447" s="80"/>
      <c r="AL447" s="80"/>
      <c r="AM447" s="80"/>
      <c r="AN447" s="80"/>
      <c r="AO447" s="80"/>
      <c r="AP447" s="80"/>
      <c r="AQ447" s="80"/>
      <c r="AR447" s="80"/>
      <c r="AS447" s="80"/>
      <c r="AT447" s="80"/>
      <c r="AU447" s="80"/>
      <c r="AV447" s="80"/>
      <c r="AW447" s="80"/>
      <c r="AX447" s="80"/>
      <c r="AY447" s="80"/>
      <c r="AZ447" s="80"/>
      <c r="BA447" s="80"/>
      <c r="BB447" s="80"/>
      <c r="BC447" s="80"/>
      <c r="BD447" s="80"/>
      <c r="BE447" s="80"/>
      <c r="BF447" s="80"/>
      <c r="BG447" s="80"/>
      <c r="BH447" s="80"/>
      <c r="BI447" s="80"/>
      <c r="BJ447" s="80"/>
      <c r="BK447" s="80"/>
      <c r="BL447" s="80"/>
      <c r="BM447" s="80"/>
      <c r="BN447" s="80"/>
      <c r="BO447" s="80"/>
      <c r="BP447" s="80"/>
      <c r="BQ447" s="80"/>
      <c r="BR447" s="80"/>
      <c r="BS447" s="80"/>
      <c r="BT447" s="80"/>
      <c r="BU447" s="80"/>
    </row>
    <row r="448" spans="15:73"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  <c r="AA448" s="80"/>
      <c r="AB448" s="80"/>
      <c r="AC448" s="80"/>
      <c r="AD448" s="80"/>
      <c r="AE448" s="80"/>
      <c r="AF448" s="80"/>
      <c r="AG448" s="80"/>
      <c r="AH448" s="80"/>
      <c r="AI448" s="80"/>
      <c r="AJ448" s="80"/>
      <c r="AK448" s="80"/>
      <c r="AL448" s="80"/>
      <c r="AM448" s="80"/>
      <c r="AN448" s="80"/>
      <c r="AO448" s="80"/>
      <c r="AP448" s="80"/>
      <c r="AQ448" s="80"/>
      <c r="AR448" s="80"/>
      <c r="AS448" s="80"/>
      <c r="AT448" s="80"/>
      <c r="AU448" s="80"/>
      <c r="AV448" s="80"/>
      <c r="AW448" s="80"/>
      <c r="AX448" s="80"/>
      <c r="AY448" s="80"/>
      <c r="AZ448" s="80"/>
      <c r="BA448" s="80"/>
      <c r="BB448" s="80"/>
      <c r="BC448" s="80"/>
      <c r="BD448" s="80"/>
      <c r="BE448" s="80"/>
      <c r="BF448" s="80"/>
      <c r="BG448" s="80"/>
      <c r="BH448" s="80"/>
      <c r="BI448" s="80"/>
      <c r="BJ448" s="80"/>
      <c r="BK448" s="80"/>
      <c r="BL448" s="80"/>
      <c r="BM448" s="80"/>
      <c r="BN448" s="80"/>
      <c r="BO448" s="80"/>
      <c r="BP448" s="80"/>
      <c r="BQ448" s="80"/>
      <c r="BR448" s="80"/>
      <c r="BS448" s="80"/>
      <c r="BT448" s="80"/>
      <c r="BU448" s="80"/>
    </row>
    <row r="449" spans="15:73"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  <c r="AA449" s="80"/>
      <c r="AB449" s="80"/>
      <c r="AC449" s="80"/>
      <c r="AD449" s="80"/>
      <c r="AE449" s="80"/>
      <c r="AF449" s="80"/>
      <c r="AG449" s="80"/>
      <c r="AH449" s="80"/>
      <c r="AI449" s="80"/>
      <c r="AJ449" s="80"/>
      <c r="AK449" s="80"/>
      <c r="AL449" s="80"/>
      <c r="AM449" s="80"/>
      <c r="AN449" s="80"/>
      <c r="AO449" s="80"/>
      <c r="AP449" s="80"/>
      <c r="AQ449" s="80"/>
      <c r="AR449" s="80"/>
      <c r="AS449" s="80"/>
      <c r="AT449" s="80"/>
      <c r="AU449" s="80"/>
      <c r="AV449" s="80"/>
      <c r="AW449" s="80"/>
      <c r="AX449" s="80"/>
      <c r="AY449" s="80"/>
      <c r="AZ449" s="80"/>
      <c r="BA449" s="80"/>
      <c r="BB449" s="80"/>
      <c r="BC449" s="80"/>
      <c r="BD449" s="80"/>
      <c r="BE449" s="80"/>
      <c r="BF449" s="80"/>
      <c r="BG449" s="80"/>
      <c r="BH449" s="80"/>
      <c r="BI449" s="80"/>
      <c r="BJ449" s="80"/>
      <c r="BK449" s="80"/>
      <c r="BL449" s="80"/>
      <c r="BM449" s="80"/>
      <c r="BN449" s="80"/>
      <c r="BO449" s="80"/>
      <c r="BP449" s="80"/>
      <c r="BQ449" s="80"/>
      <c r="BR449" s="80"/>
      <c r="BS449" s="80"/>
      <c r="BT449" s="80"/>
      <c r="BU449" s="80"/>
    </row>
    <row r="450" spans="15:73"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  <c r="AA450" s="80"/>
      <c r="AB450" s="80"/>
      <c r="AC450" s="80"/>
      <c r="AD450" s="80"/>
      <c r="AE450" s="80"/>
      <c r="AF450" s="80"/>
      <c r="AG450" s="80"/>
      <c r="AH450" s="80"/>
      <c r="AI450" s="80"/>
      <c r="AJ450" s="80"/>
      <c r="AK450" s="80"/>
      <c r="AL450" s="80"/>
      <c r="AM450" s="80"/>
      <c r="AN450" s="80"/>
      <c r="AO450" s="80"/>
      <c r="AP450" s="80"/>
      <c r="AQ450" s="80"/>
      <c r="AR450" s="80"/>
      <c r="AS450" s="80"/>
      <c r="AT450" s="80"/>
      <c r="AU450" s="80"/>
      <c r="AV450" s="80"/>
      <c r="AW450" s="80"/>
      <c r="AX450" s="80"/>
      <c r="AY450" s="80"/>
      <c r="AZ450" s="80"/>
      <c r="BA450" s="80"/>
      <c r="BB450" s="80"/>
      <c r="BC450" s="80"/>
      <c r="BD450" s="80"/>
      <c r="BE450" s="80"/>
      <c r="BF450" s="80"/>
      <c r="BG450" s="80"/>
      <c r="BH450" s="80"/>
      <c r="BI450" s="80"/>
      <c r="BJ450" s="80"/>
      <c r="BK450" s="80"/>
      <c r="BL450" s="80"/>
      <c r="BM450" s="80"/>
      <c r="BN450" s="80"/>
      <c r="BO450" s="80"/>
      <c r="BP450" s="80"/>
      <c r="BQ450" s="80"/>
      <c r="BR450" s="80"/>
      <c r="BS450" s="80"/>
      <c r="BT450" s="80"/>
      <c r="BU450" s="80"/>
    </row>
    <row r="451" spans="15:73"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  <c r="AA451" s="80"/>
      <c r="AB451" s="80"/>
      <c r="AC451" s="80"/>
      <c r="AD451" s="80"/>
      <c r="AE451" s="80"/>
      <c r="AF451" s="80"/>
      <c r="AG451" s="80"/>
      <c r="AH451" s="80"/>
      <c r="AI451" s="80"/>
      <c r="AJ451" s="80"/>
      <c r="AK451" s="80"/>
      <c r="AL451" s="80"/>
      <c r="AM451" s="80"/>
      <c r="AN451" s="80"/>
      <c r="AO451" s="80"/>
      <c r="AP451" s="80"/>
      <c r="AQ451" s="80"/>
      <c r="AR451" s="80"/>
      <c r="AS451" s="80"/>
      <c r="AT451" s="80"/>
      <c r="AU451" s="80"/>
      <c r="AV451" s="80"/>
      <c r="AW451" s="80"/>
      <c r="AX451" s="80"/>
      <c r="AY451" s="80"/>
      <c r="AZ451" s="80"/>
      <c r="BA451" s="80"/>
      <c r="BB451" s="80"/>
      <c r="BC451" s="80"/>
      <c r="BD451" s="80"/>
      <c r="BE451" s="80"/>
      <c r="BF451" s="80"/>
      <c r="BG451" s="80"/>
      <c r="BH451" s="80"/>
      <c r="BI451" s="80"/>
      <c r="BJ451" s="80"/>
      <c r="BK451" s="80"/>
      <c r="BL451" s="80"/>
      <c r="BM451" s="80"/>
      <c r="BN451" s="80"/>
      <c r="BO451" s="80"/>
      <c r="BP451" s="80"/>
      <c r="BQ451" s="80"/>
      <c r="BR451" s="80"/>
      <c r="BS451" s="80"/>
      <c r="BT451" s="80"/>
      <c r="BU451" s="80"/>
    </row>
    <row r="452" spans="15:73"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  <c r="AA452" s="80"/>
      <c r="AB452" s="80"/>
      <c r="AC452" s="80"/>
      <c r="AD452" s="80"/>
      <c r="AE452" s="80"/>
      <c r="AF452" s="80"/>
      <c r="AG452" s="80"/>
      <c r="AH452" s="80"/>
      <c r="AI452" s="80"/>
      <c r="AJ452" s="80"/>
      <c r="AK452" s="80"/>
      <c r="AL452" s="80"/>
      <c r="AM452" s="80"/>
      <c r="AN452" s="80"/>
      <c r="AO452" s="80"/>
      <c r="AP452" s="80"/>
      <c r="AQ452" s="80"/>
      <c r="AR452" s="80"/>
      <c r="AS452" s="80"/>
      <c r="AT452" s="80"/>
      <c r="AU452" s="80"/>
      <c r="AV452" s="80"/>
      <c r="AW452" s="80"/>
      <c r="AX452" s="80"/>
      <c r="AY452" s="80"/>
      <c r="AZ452" s="80"/>
      <c r="BA452" s="80"/>
      <c r="BB452" s="80"/>
      <c r="BC452" s="80"/>
      <c r="BD452" s="80"/>
      <c r="BE452" s="80"/>
      <c r="BF452" s="80"/>
      <c r="BG452" s="80"/>
      <c r="BH452" s="80"/>
      <c r="BI452" s="80"/>
      <c r="BJ452" s="80"/>
      <c r="BK452" s="80"/>
      <c r="BL452" s="80"/>
      <c r="BM452" s="80"/>
      <c r="BN452" s="80"/>
      <c r="BO452" s="80"/>
      <c r="BP452" s="80"/>
      <c r="BQ452" s="80"/>
      <c r="BR452" s="80"/>
      <c r="BS452" s="80"/>
      <c r="BT452" s="80"/>
      <c r="BU452" s="80"/>
    </row>
    <row r="453" spans="15:73"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  <c r="AA453" s="80"/>
      <c r="AB453" s="80"/>
      <c r="AC453" s="80"/>
      <c r="AD453" s="80"/>
      <c r="AE453" s="80"/>
      <c r="AF453" s="80"/>
      <c r="AG453" s="80"/>
      <c r="AH453" s="80"/>
      <c r="AI453" s="80"/>
      <c r="AJ453" s="80"/>
      <c r="AK453" s="80"/>
      <c r="AL453" s="80"/>
      <c r="AM453" s="80"/>
      <c r="AN453" s="80"/>
      <c r="AO453" s="80"/>
      <c r="AP453" s="80"/>
      <c r="AQ453" s="80"/>
      <c r="AR453" s="80"/>
      <c r="AS453" s="80"/>
      <c r="AT453" s="80"/>
      <c r="AU453" s="80"/>
      <c r="AV453" s="80"/>
      <c r="AW453" s="80"/>
      <c r="AX453" s="80"/>
      <c r="AY453" s="80"/>
      <c r="AZ453" s="80"/>
      <c r="BA453" s="80"/>
      <c r="BB453" s="80"/>
      <c r="BC453" s="80"/>
      <c r="BD453" s="80"/>
      <c r="BE453" s="80"/>
      <c r="BF453" s="80"/>
      <c r="BG453" s="80"/>
      <c r="BH453" s="80"/>
      <c r="BI453" s="80"/>
      <c r="BJ453" s="80"/>
      <c r="BK453" s="80"/>
      <c r="BL453" s="80"/>
      <c r="BM453" s="80"/>
      <c r="BN453" s="80"/>
      <c r="BO453" s="80"/>
      <c r="BP453" s="80"/>
      <c r="BQ453" s="80"/>
      <c r="BR453" s="80"/>
      <c r="BS453" s="80"/>
      <c r="BT453" s="80"/>
      <c r="BU453" s="80"/>
    </row>
    <row r="454" spans="15:73"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  <c r="AA454" s="80"/>
      <c r="AB454" s="80"/>
      <c r="AC454" s="80"/>
      <c r="AD454" s="80"/>
      <c r="AE454" s="80"/>
      <c r="AF454" s="80"/>
      <c r="AG454" s="80"/>
      <c r="AH454" s="80"/>
      <c r="AI454" s="80"/>
      <c r="AJ454" s="80"/>
      <c r="AK454" s="80"/>
      <c r="AL454" s="80"/>
      <c r="AM454" s="80"/>
      <c r="AN454" s="80"/>
      <c r="AO454" s="80"/>
      <c r="AP454" s="80"/>
      <c r="AQ454" s="80"/>
      <c r="AR454" s="80"/>
      <c r="AS454" s="80"/>
      <c r="AT454" s="80"/>
      <c r="AU454" s="80"/>
      <c r="AV454" s="80"/>
      <c r="AW454" s="80"/>
      <c r="AX454" s="80"/>
      <c r="AY454" s="80"/>
      <c r="AZ454" s="80"/>
      <c r="BA454" s="80"/>
      <c r="BB454" s="80"/>
      <c r="BC454" s="80"/>
      <c r="BD454" s="80"/>
      <c r="BE454" s="80"/>
      <c r="BF454" s="80"/>
      <c r="BG454" s="80"/>
      <c r="BH454" s="80"/>
      <c r="BI454" s="80"/>
      <c r="BJ454" s="80"/>
      <c r="BK454" s="80"/>
      <c r="BL454" s="80"/>
      <c r="BM454" s="80"/>
      <c r="BN454" s="80"/>
      <c r="BO454" s="80"/>
      <c r="BP454" s="80"/>
      <c r="BQ454" s="80"/>
      <c r="BR454" s="80"/>
      <c r="BS454" s="80"/>
      <c r="BT454" s="80"/>
      <c r="BU454" s="80"/>
    </row>
    <row r="455" spans="15:73"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  <c r="AA455" s="80"/>
      <c r="AB455" s="80"/>
      <c r="AC455" s="80"/>
      <c r="AD455" s="80"/>
      <c r="AE455" s="80"/>
      <c r="AF455" s="80"/>
      <c r="AG455" s="80"/>
      <c r="AH455" s="80"/>
      <c r="AI455" s="80"/>
      <c r="AJ455" s="80"/>
      <c r="AK455" s="80"/>
      <c r="AL455" s="80"/>
      <c r="AM455" s="80"/>
      <c r="AN455" s="80"/>
      <c r="AO455" s="80"/>
      <c r="AP455" s="80"/>
      <c r="AQ455" s="80"/>
      <c r="AR455" s="80"/>
      <c r="AS455" s="80"/>
      <c r="AT455" s="80"/>
      <c r="AU455" s="80"/>
      <c r="AV455" s="80"/>
      <c r="AW455" s="80"/>
      <c r="AX455" s="80"/>
      <c r="AY455" s="80"/>
      <c r="AZ455" s="80"/>
      <c r="BA455" s="80"/>
      <c r="BB455" s="80"/>
      <c r="BC455" s="80"/>
      <c r="BD455" s="80"/>
      <c r="BE455" s="80"/>
      <c r="BF455" s="80"/>
      <c r="BG455" s="80"/>
      <c r="BH455" s="80"/>
      <c r="BI455" s="80"/>
      <c r="BJ455" s="80"/>
      <c r="BK455" s="80"/>
      <c r="BL455" s="80"/>
      <c r="BM455" s="80"/>
      <c r="BN455" s="80"/>
      <c r="BO455" s="80"/>
      <c r="BP455" s="80"/>
      <c r="BQ455" s="80"/>
      <c r="BR455" s="80"/>
      <c r="BS455" s="80"/>
      <c r="BT455" s="80"/>
      <c r="BU455" s="80"/>
    </row>
    <row r="456" spans="15:73"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  <c r="AA456" s="80"/>
      <c r="AB456" s="80"/>
      <c r="AC456" s="80"/>
      <c r="AD456" s="80"/>
      <c r="AE456" s="80"/>
      <c r="AF456" s="80"/>
      <c r="AG456" s="80"/>
      <c r="AH456" s="80"/>
      <c r="AI456" s="80"/>
      <c r="AJ456" s="80"/>
      <c r="AK456" s="80"/>
      <c r="AL456" s="80"/>
      <c r="AM456" s="80"/>
      <c r="AN456" s="80"/>
      <c r="AO456" s="80"/>
      <c r="AP456" s="80"/>
      <c r="AQ456" s="80"/>
      <c r="AR456" s="80"/>
      <c r="AS456" s="80"/>
      <c r="AT456" s="80"/>
      <c r="AU456" s="80"/>
      <c r="AV456" s="80"/>
      <c r="AW456" s="80"/>
      <c r="AX456" s="80"/>
      <c r="AY456" s="80"/>
      <c r="AZ456" s="80"/>
      <c r="BA456" s="80"/>
      <c r="BB456" s="80"/>
      <c r="BC456" s="80"/>
      <c r="BD456" s="80"/>
      <c r="BE456" s="80"/>
      <c r="BF456" s="80"/>
      <c r="BG456" s="80"/>
      <c r="BH456" s="80"/>
      <c r="BI456" s="80"/>
      <c r="BJ456" s="80"/>
      <c r="BK456" s="80"/>
      <c r="BL456" s="80"/>
      <c r="BM456" s="80"/>
      <c r="BN456" s="80"/>
      <c r="BO456" s="80"/>
      <c r="BP456" s="80"/>
      <c r="BQ456" s="80"/>
      <c r="BR456" s="80"/>
      <c r="BS456" s="80"/>
      <c r="BT456" s="80"/>
      <c r="BU456" s="80"/>
    </row>
    <row r="457" spans="15:73"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  <c r="AA457" s="80"/>
      <c r="AB457" s="80"/>
      <c r="AC457" s="80"/>
      <c r="AD457" s="80"/>
      <c r="AE457" s="80"/>
      <c r="AF457" s="80"/>
      <c r="AG457" s="80"/>
      <c r="AH457" s="80"/>
      <c r="AI457" s="80"/>
      <c r="AJ457" s="80"/>
      <c r="AK457" s="80"/>
      <c r="AL457" s="80"/>
      <c r="AM457" s="80"/>
      <c r="AN457" s="80"/>
      <c r="AO457" s="80"/>
      <c r="AP457" s="80"/>
      <c r="AQ457" s="80"/>
      <c r="AR457" s="80"/>
      <c r="AS457" s="80"/>
      <c r="AT457" s="80"/>
      <c r="AU457" s="80"/>
      <c r="AV457" s="80"/>
      <c r="AW457" s="80"/>
      <c r="AX457" s="80"/>
      <c r="AY457" s="80"/>
      <c r="AZ457" s="80"/>
      <c r="BA457" s="80"/>
      <c r="BB457" s="80"/>
      <c r="BC457" s="80"/>
      <c r="BD457" s="80"/>
      <c r="BE457" s="80"/>
      <c r="BF457" s="80"/>
      <c r="BG457" s="80"/>
      <c r="BH457" s="80"/>
      <c r="BI457" s="80"/>
      <c r="BJ457" s="80"/>
      <c r="BK457" s="80"/>
      <c r="BL457" s="80"/>
      <c r="BM457" s="80"/>
      <c r="BN457" s="80"/>
      <c r="BO457" s="80"/>
      <c r="BP457" s="80"/>
      <c r="BQ457" s="80"/>
      <c r="BR457" s="80"/>
      <c r="BS457" s="80"/>
      <c r="BT457" s="80"/>
      <c r="BU457" s="80"/>
    </row>
    <row r="458" spans="15:73"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  <c r="AA458" s="80"/>
      <c r="AB458" s="80"/>
      <c r="AC458" s="80"/>
      <c r="AD458" s="80"/>
      <c r="AE458" s="80"/>
      <c r="AF458" s="80"/>
      <c r="AG458" s="80"/>
      <c r="AH458" s="80"/>
      <c r="AI458" s="80"/>
      <c r="AJ458" s="80"/>
      <c r="AK458" s="80"/>
      <c r="AL458" s="80"/>
      <c r="AM458" s="80"/>
      <c r="AN458" s="80"/>
      <c r="AO458" s="80"/>
      <c r="AP458" s="80"/>
      <c r="AQ458" s="80"/>
      <c r="AR458" s="80"/>
      <c r="AS458" s="80"/>
      <c r="AT458" s="80"/>
      <c r="AU458" s="80"/>
      <c r="AV458" s="80"/>
      <c r="AW458" s="80"/>
      <c r="AX458" s="80"/>
      <c r="AY458" s="80"/>
      <c r="AZ458" s="80"/>
      <c r="BA458" s="80"/>
      <c r="BB458" s="80"/>
      <c r="BC458" s="80"/>
      <c r="BD458" s="80"/>
      <c r="BE458" s="80"/>
      <c r="BF458" s="80"/>
      <c r="BG458" s="80"/>
      <c r="BH458" s="80"/>
      <c r="BI458" s="80"/>
      <c r="BJ458" s="80"/>
      <c r="BK458" s="80"/>
      <c r="BL458" s="80"/>
      <c r="BM458" s="80"/>
      <c r="BN458" s="80"/>
      <c r="BO458" s="80"/>
      <c r="BP458" s="80"/>
      <c r="BQ458" s="80"/>
      <c r="BR458" s="80"/>
      <c r="BS458" s="80"/>
      <c r="BT458" s="80"/>
      <c r="BU458" s="80"/>
    </row>
    <row r="459" spans="15:73"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  <c r="AA459" s="80"/>
      <c r="AB459" s="80"/>
      <c r="AC459" s="80"/>
      <c r="AD459" s="80"/>
      <c r="AE459" s="80"/>
      <c r="AF459" s="80"/>
      <c r="AG459" s="80"/>
      <c r="AH459" s="80"/>
      <c r="AI459" s="80"/>
      <c r="AJ459" s="80"/>
      <c r="AK459" s="80"/>
      <c r="AL459" s="80"/>
      <c r="AM459" s="80"/>
      <c r="AN459" s="80"/>
      <c r="AO459" s="80"/>
      <c r="AP459" s="80"/>
      <c r="AQ459" s="80"/>
      <c r="AR459" s="80"/>
      <c r="AS459" s="80"/>
      <c r="AT459" s="80"/>
      <c r="AU459" s="80"/>
      <c r="AV459" s="80"/>
      <c r="AW459" s="80"/>
      <c r="AX459" s="80"/>
      <c r="AY459" s="80"/>
      <c r="AZ459" s="80"/>
      <c r="BA459" s="80"/>
      <c r="BB459" s="80"/>
      <c r="BC459" s="80"/>
      <c r="BD459" s="80"/>
      <c r="BE459" s="80"/>
      <c r="BF459" s="80"/>
      <c r="BG459" s="80"/>
      <c r="BH459" s="80"/>
      <c r="BI459" s="80"/>
      <c r="BJ459" s="80"/>
      <c r="BK459" s="80"/>
      <c r="BL459" s="80"/>
      <c r="BM459" s="80"/>
      <c r="BN459" s="80"/>
      <c r="BO459" s="80"/>
      <c r="BP459" s="80"/>
      <c r="BQ459" s="80"/>
      <c r="BR459" s="80"/>
      <c r="BS459" s="80"/>
      <c r="BT459" s="80"/>
      <c r="BU459" s="80"/>
    </row>
    <row r="460" spans="15:73"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  <c r="AA460" s="80"/>
      <c r="AB460" s="80"/>
      <c r="AC460" s="80"/>
      <c r="AD460" s="80"/>
      <c r="AE460" s="80"/>
      <c r="AF460" s="80"/>
      <c r="AG460" s="80"/>
      <c r="AH460" s="80"/>
      <c r="AI460" s="80"/>
      <c r="AJ460" s="80"/>
      <c r="AK460" s="80"/>
      <c r="AL460" s="80"/>
      <c r="AM460" s="80"/>
      <c r="AN460" s="80"/>
      <c r="AO460" s="80"/>
      <c r="AP460" s="80"/>
      <c r="AQ460" s="80"/>
      <c r="AR460" s="80"/>
      <c r="AS460" s="80"/>
      <c r="AT460" s="80"/>
      <c r="AU460" s="80"/>
      <c r="AV460" s="80"/>
      <c r="AW460" s="80"/>
      <c r="AX460" s="80"/>
      <c r="AY460" s="80"/>
      <c r="AZ460" s="80"/>
      <c r="BA460" s="80"/>
      <c r="BB460" s="80"/>
      <c r="BC460" s="80"/>
      <c r="BD460" s="80"/>
      <c r="BE460" s="80"/>
      <c r="BF460" s="80"/>
      <c r="BG460" s="80"/>
      <c r="BH460" s="80"/>
      <c r="BI460" s="80"/>
      <c r="BJ460" s="80"/>
      <c r="BK460" s="80"/>
      <c r="BL460" s="80"/>
      <c r="BM460" s="80"/>
      <c r="BN460" s="80"/>
      <c r="BO460" s="80"/>
      <c r="BP460" s="80"/>
      <c r="BQ460" s="80"/>
      <c r="BR460" s="80"/>
      <c r="BS460" s="80"/>
      <c r="BT460" s="80"/>
      <c r="BU460" s="80"/>
    </row>
    <row r="461" spans="15:73"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  <c r="AA461" s="80"/>
      <c r="AB461" s="80"/>
      <c r="AC461" s="80"/>
      <c r="AD461" s="80"/>
      <c r="AE461" s="80"/>
      <c r="AF461" s="80"/>
      <c r="AG461" s="80"/>
      <c r="AH461" s="80"/>
      <c r="AI461" s="80"/>
      <c r="AJ461" s="80"/>
      <c r="AK461" s="80"/>
      <c r="AL461" s="80"/>
      <c r="AM461" s="80"/>
      <c r="AN461" s="80"/>
      <c r="AO461" s="80"/>
      <c r="AP461" s="80"/>
      <c r="AQ461" s="80"/>
      <c r="AR461" s="80"/>
      <c r="AS461" s="80"/>
      <c r="AT461" s="80"/>
      <c r="AU461" s="80"/>
      <c r="AV461" s="80"/>
      <c r="AW461" s="80"/>
      <c r="AX461" s="80"/>
      <c r="AY461" s="80"/>
      <c r="AZ461" s="80"/>
      <c r="BA461" s="80"/>
      <c r="BB461" s="80"/>
      <c r="BC461" s="80"/>
      <c r="BD461" s="80"/>
      <c r="BE461" s="80"/>
      <c r="BF461" s="80"/>
      <c r="BG461" s="80"/>
      <c r="BH461" s="80"/>
      <c r="BI461" s="80"/>
      <c r="BJ461" s="80"/>
      <c r="BK461" s="80"/>
      <c r="BL461" s="80"/>
      <c r="BM461" s="80"/>
      <c r="BN461" s="80"/>
      <c r="BO461" s="80"/>
      <c r="BP461" s="80"/>
      <c r="BQ461" s="80"/>
      <c r="BR461" s="80"/>
      <c r="BS461" s="80"/>
      <c r="BT461" s="80"/>
      <c r="BU461" s="80"/>
    </row>
    <row r="462" spans="15:73"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  <c r="AA462" s="80"/>
      <c r="AB462" s="80"/>
      <c r="AC462" s="80"/>
      <c r="AD462" s="80"/>
      <c r="AE462" s="80"/>
      <c r="AF462" s="80"/>
      <c r="AG462" s="80"/>
      <c r="AH462" s="80"/>
      <c r="AI462" s="80"/>
      <c r="AJ462" s="80"/>
      <c r="AK462" s="80"/>
      <c r="AL462" s="80"/>
      <c r="AM462" s="80"/>
      <c r="AN462" s="80"/>
      <c r="AO462" s="80"/>
      <c r="AP462" s="80"/>
      <c r="AQ462" s="80"/>
      <c r="AR462" s="80"/>
      <c r="AS462" s="80"/>
      <c r="AT462" s="80"/>
      <c r="AU462" s="80"/>
      <c r="AV462" s="80"/>
      <c r="AW462" s="80"/>
      <c r="AX462" s="80"/>
      <c r="AY462" s="80"/>
      <c r="AZ462" s="80"/>
      <c r="BA462" s="80"/>
      <c r="BB462" s="80"/>
      <c r="BC462" s="80"/>
      <c r="BD462" s="80"/>
      <c r="BE462" s="80"/>
      <c r="BF462" s="80"/>
      <c r="BG462" s="80"/>
      <c r="BH462" s="80"/>
      <c r="BI462" s="80"/>
      <c r="BJ462" s="80"/>
      <c r="BK462" s="80"/>
      <c r="BL462" s="80"/>
      <c r="BM462" s="80"/>
      <c r="BN462" s="80"/>
      <c r="BO462" s="80"/>
      <c r="BP462" s="80"/>
      <c r="BQ462" s="80"/>
      <c r="BR462" s="80"/>
      <c r="BS462" s="80"/>
      <c r="BT462" s="80"/>
      <c r="BU462" s="80"/>
    </row>
    <row r="463" spans="15:73"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  <c r="AA463" s="80"/>
      <c r="AB463" s="80"/>
      <c r="AC463" s="80"/>
      <c r="AD463" s="80"/>
      <c r="AE463" s="80"/>
      <c r="AF463" s="80"/>
      <c r="AG463" s="80"/>
      <c r="AH463" s="80"/>
      <c r="AI463" s="80"/>
      <c r="AJ463" s="80"/>
      <c r="AK463" s="80"/>
      <c r="AL463" s="80"/>
      <c r="AM463" s="80"/>
      <c r="AN463" s="80"/>
      <c r="AO463" s="80"/>
      <c r="AP463" s="80"/>
      <c r="AQ463" s="80"/>
      <c r="AR463" s="80"/>
      <c r="AS463" s="80"/>
      <c r="AT463" s="80"/>
      <c r="AU463" s="80"/>
      <c r="AV463" s="80"/>
      <c r="AW463" s="80"/>
      <c r="AX463" s="80"/>
      <c r="AY463" s="80"/>
      <c r="AZ463" s="80"/>
      <c r="BA463" s="80"/>
      <c r="BB463" s="80"/>
      <c r="BC463" s="80"/>
      <c r="BD463" s="80"/>
      <c r="BE463" s="80"/>
      <c r="BF463" s="80"/>
      <c r="BG463" s="80"/>
      <c r="BH463" s="80"/>
      <c r="BI463" s="80"/>
      <c r="BJ463" s="80"/>
      <c r="BK463" s="80"/>
      <c r="BL463" s="80"/>
      <c r="BM463" s="80"/>
      <c r="BN463" s="80"/>
      <c r="BO463" s="80"/>
      <c r="BP463" s="80"/>
      <c r="BQ463" s="80"/>
      <c r="BR463" s="80"/>
      <c r="BS463" s="80"/>
      <c r="BT463" s="80"/>
      <c r="BU463" s="80"/>
    </row>
    <row r="464" spans="15:73"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  <c r="AA464" s="80"/>
      <c r="AB464" s="80"/>
      <c r="AC464" s="80"/>
      <c r="AD464" s="80"/>
      <c r="AE464" s="80"/>
      <c r="AF464" s="80"/>
      <c r="AG464" s="80"/>
      <c r="AH464" s="80"/>
      <c r="AI464" s="80"/>
      <c r="AJ464" s="80"/>
      <c r="AK464" s="80"/>
      <c r="AL464" s="80"/>
      <c r="AM464" s="80"/>
      <c r="AN464" s="80"/>
      <c r="AO464" s="80"/>
      <c r="AP464" s="80"/>
      <c r="AQ464" s="80"/>
      <c r="AR464" s="80"/>
      <c r="AS464" s="80"/>
      <c r="AT464" s="80"/>
      <c r="AU464" s="80"/>
      <c r="AV464" s="80"/>
      <c r="AW464" s="80"/>
      <c r="AX464" s="80"/>
      <c r="AY464" s="80"/>
      <c r="AZ464" s="80"/>
      <c r="BA464" s="80"/>
      <c r="BB464" s="80"/>
      <c r="BC464" s="80"/>
      <c r="BD464" s="80"/>
      <c r="BE464" s="80"/>
      <c r="BF464" s="80"/>
      <c r="BG464" s="80"/>
      <c r="BH464" s="80"/>
      <c r="BI464" s="80"/>
      <c r="BJ464" s="80"/>
      <c r="BK464" s="80"/>
      <c r="BL464" s="80"/>
      <c r="BM464" s="80"/>
      <c r="BN464" s="80"/>
      <c r="BO464" s="80"/>
      <c r="BP464" s="80"/>
      <c r="BQ464" s="80"/>
      <c r="BR464" s="80"/>
      <c r="BS464" s="80"/>
      <c r="BT464" s="80"/>
      <c r="BU464" s="80"/>
    </row>
    <row r="465" spans="15:73"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  <c r="AA465" s="80"/>
      <c r="AB465" s="80"/>
      <c r="AC465" s="80"/>
      <c r="AD465" s="80"/>
      <c r="AE465" s="80"/>
      <c r="AF465" s="80"/>
      <c r="AG465" s="80"/>
      <c r="AH465" s="80"/>
      <c r="AI465" s="80"/>
      <c r="AJ465" s="80"/>
      <c r="AK465" s="80"/>
      <c r="AL465" s="80"/>
      <c r="AM465" s="80"/>
      <c r="AN465" s="80"/>
      <c r="AO465" s="80"/>
      <c r="AP465" s="80"/>
      <c r="AQ465" s="80"/>
      <c r="AR465" s="80"/>
      <c r="AS465" s="80"/>
      <c r="AT465" s="80"/>
      <c r="AU465" s="80"/>
      <c r="AV465" s="80"/>
      <c r="AW465" s="80"/>
      <c r="AX465" s="80"/>
      <c r="AY465" s="80"/>
      <c r="AZ465" s="80"/>
      <c r="BA465" s="80"/>
      <c r="BB465" s="80"/>
      <c r="BC465" s="80"/>
      <c r="BD465" s="80"/>
      <c r="BE465" s="80"/>
      <c r="BF465" s="80"/>
      <c r="BG465" s="80"/>
      <c r="BH465" s="80"/>
      <c r="BI465" s="80"/>
      <c r="BJ465" s="80"/>
      <c r="BK465" s="80"/>
      <c r="BL465" s="80"/>
      <c r="BM465" s="80"/>
      <c r="BN465" s="80"/>
      <c r="BO465" s="80"/>
      <c r="BP465" s="80"/>
      <c r="BQ465" s="80"/>
      <c r="BR465" s="80"/>
      <c r="BS465" s="80"/>
      <c r="BT465" s="80"/>
      <c r="BU465" s="80"/>
    </row>
    <row r="466" spans="15:73"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  <c r="AA466" s="80"/>
      <c r="AB466" s="80"/>
      <c r="AC466" s="80"/>
      <c r="AD466" s="80"/>
      <c r="AE466" s="80"/>
      <c r="AF466" s="80"/>
      <c r="AG466" s="80"/>
      <c r="AH466" s="80"/>
      <c r="AI466" s="80"/>
      <c r="AJ466" s="80"/>
      <c r="AK466" s="80"/>
      <c r="AL466" s="80"/>
      <c r="AM466" s="80"/>
      <c r="AN466" s="80"/>
      <c r="AO466" s="80"/>
      <c r="AP466" s="80"/>
      <c r="AQ466" s="80"/>
      <c r="AR466" s="80"/>
      <c r="AS466" s="80"/>
      <c r="AT466" s="80"/>
      <c r="AU466" s="80"/>
      <c r="AV466" s="80"/>
      <c r="AW466" s="80"/>
      <c r="AX466" s="80"/>
      <c r="AY466" s="80"/>
      <c r="AZ466" s="80"/>
      <c r="BA466" s="80"/>
      <c r="BB466" s="80"/>
      <c r="BC466" s="80"/>
      <c r="BD466" s="80"/>
      <c r="BE466" s="80"/>
      <c r="BF466" s="80"/>
      <c r="BG466" s="80"/>
      <c r="BH466" s="80"/>
      <c r="BI466" s="80"/>
      <c r="BJ466" s="80"/>
      <c r="BK466" s="80"/>
      <c r="BL466" s="80"/>
      <c r="BM466" s="80"/>
      <c r="BN466" s="80"/>
      <c r="BO466" s="80"/>
      <c r="BP466" s="80"/>
      <c r="BQ466" s="80"/>
      <c r="BR466" s="80"/>
      <c r="BS466" s="80"/>
      <c r="BT466" s="80"/>
      <c r="BU466" s="80"/>
    </row>
    <row r="467" spans="15:73"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  <c r="AA467" s="80"/>
      <c r="AB467" s="80"/>
      <c r="AC467" s="80"/>
      <c r="AD467" s="80"/>
      <c r="AE467" s="80"/>
      <c r="AF467" s="80"/>
      <c r="AG467" s="80"/>
      <c r="AH467" s="80"/>
      <c r="AI467" s="80"/>
      <c r="AJ467" s="80"/>
      <c r="AK467" s="80"/>
      <c r="AL467" s="80"/>
      <c r="AM467" s="80"/>
      <c r="AN467" s="80"/>
      <c r="AO467" s="80"/>
      <c r="AP467" s="80"/>
      <c r="AQ467" s="80"/>
      <c r="AR467" s="80"/>
      <c r="AS467" s="80"/>
      <c r="AT467" s="80"/>
      <c r="AU467" s="80"/>
      <c r="AV467" s="80"/>
      <c r="AW467" s="80"/>
      <c r="AX467" s="80"/>
      <c r="AY467" s="80"/>
      <c r="AZ467" s="80"/>
      <c r="BA467" s="80"/>
      <c r="BB467" s="80"/>
      <c r="BC467" s="80"/>
      <c r="BD467" s="80"/>
      <c r="BE467" s="80"/>
      <c r="BF467" s="80"/>
      <c r="BG467" s="80"/>
      <c r="BH467" s="80"/>
      <c r="BI467" s="80"/>
      <c r="BJ467" s="80"/>
      <c r="BK467" s="80"/>
      <c r="BL467" s="80"/>
      <c r="BM467" s="80"/>
      <c r="BN467" s="80"/>
      <c r="BO467" s="80"/>
      <c r="BP467" s="80"/>
      <c r="BQ467" s="80"/>
      <c r="BR467" s="80"/>
      <c r="BS467" s="80"/>
      <c r="BT467" s="80"/>
      <c r="BU467" s="80"/>
    </row>
    <row r="468" spans="15:73"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  <c r="AA468" s="80"/>
      <c r="AB468" s="80"/>
      <c r="AC468" s="80"/>
      <c r="AD468" s="80"/>
      <c r="AE468" s="80"/>
      <c r="AF468" s="80"/>
      <c r="AG468" s="80"/>
      <c r="AH468" s="80"/>
      <c r="AI468" s="80"/>
      <c r="AJ468" s="80"/>
      <c r="AK468" s="80"/>
      <c r="AL468" s="80"/>
      <c r="AM468" s="80"/>
      <c r="AN468" s="80"/>
      <c r="AO468" s="80"/>
      <c r="AP468" s="80"/>
      <c r="AQ468" s="80"/>
      <c r="AR468" s="80"/>
      <c r="AS468" s="80"/>
      <c r="AT468" s="80"/>
      <c r="AU468" s="80"/>
      <c r="AV468" s="80"/>
      <c r="AW468" s="80"/>
      <c r="AX468" s="80"/>
      <c r="AY468" s="80"/>
      <c r="AZ468" s="80"/>
      <c r="BA468" s="80"/>
      <c r="BB468" s="80"/>
      <c r="BC468" s="80"/>
      <c r="BD468" s="80"/>
      <c r="BE468" s="80"/>
      <c r="BF468" s="80"/>
      <c r="BG468" s="80"/>
      <c r="BH468" s="80"/>
      <c r="BI468" s="80"/>
      <c r="BJ468" s="80"/>
      <c r="BK468" s="80"/>
      <c r="BL468" s="80"/>
      <c r="BM468" s="80"/>
      <c r="BN468" s="80"/>
      <c r="BO468" s="80"/>
      <c r="BP468" s="80"/>
      <c r="BQ468" s="80"/>
      <c r="BR468" s="80"/>
      <c r="BS468" s="80"/>
      <c r="BT468" s="80"/>
      <c r="BU468" s="80"/>
    </row>
    <row r="469" spans="15:73"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  <c r="AA469" s="80"/>
      <c r="AB469" s="80"/>
      <c r="AC469" s="80"/>
      <c r="AD469" s="80"/>
      <c r="AE469" s="80"/>
      <c r="AF469" s="80"/>
      <c r="AG469" s="80"/>
      <c r="AH469" s="80"/>
      <c r="AI469" s="80"/>
      <c r="AJ469" s="80"/>
      <c r="AK469" s="80"/>
      <c r="AL469" s="80"/>
      <c r="AM469" s="80"/>
      <c r="AN469" s="80"/>
      <c r="AO469" s="80"/>
      <c r="AP469" s="80"/>
      <c r="AQ469" s="80"/>
      <c r="AR469" s="80"/>
      <c r="AS469" s="80"/>
      <c r="AT469" s="80"/>
      <c r="AU469" s="80"/>
      <c r="AV469" s="80"/>
      <c r="AW469" s="80"/>
      <c r="AX469" s="80"/>
      <c r="AY469" s="80"/>
      <c r="AZ469" s="80"/>
      <c r="BA469" s="80"/>
      <c r="BB469" s="80"/>
      <c r="BC469" s="80"/>
      <c r="BD469" s="80"/>
      <c r="BE469" s="80"/>
      <c r="BF469" s="80"/>
      <c r="BG469" s="80"/>
      <c r="BH469" s="80"/>
      <c r="BI469" s="80"/>
      <c r="BJ469" s="80"/>
      <c r="BK469" s="80"/>
      <c r="BL469" s="80"/>
      <c r="BM469" s="80"/>
      <c r="BN469" s="80"/>
      <c r="BO469" s="80"/>
      <c r="BP469" s="80"/>
      <c r="BQ469" s="80"/>
      <c r="BR469" s="80"/>
      <c r="BS469" s="80"/>
      <c r="BT469" s="80"/>
      <c r="BU469" s="80"/>
    </row>
    <row r="470" spans="15:73"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  <c r="AA470" s="80"/>
      <c r="AB470" s="80"/>
      <c r="AC470" s="80"/>
      <c r="AD470" s="80"/>
      <c r="AE470" s="80"/>
      <c r="AF470" s="80"/>
      <c r="AG470" s="80"/>
      <c r="AH470" s="80"/>
      <c r="AI470" s="80"/>
      <c r="AJ470" s="80"/>
      <c r="AK470" s="80"/>
      <c r="AL470" s="80"/>
      <c r="AM470" s="80"/>
      <c r="AN470" s="80"/>
      <c r="AO470" s="80"/>
      <c r="AP470" s="80"/>
      <c r="AQ470" s="80"/>
      <c r="AR470" s="80"/>
      <c r="AS470" s="80"/>
      <c r="AT470" s="80"/>
      <c r="AU470" s="80"/>
      <c r="AV470" s="80"/>
      <c r="AW470" s="80"/>
      <c r="AX470" s="80"/>
      <c r="AY470" s="80"/>
      <c r="AZ470" s="80"/>
      <c r="BA470" s="80"/>
      <c r="BB470" s="80"/>
      <c r="BC470" s="80"/>
      <c r="BD470" s="80"/>
      <c r="BE470" s="80"/>
      <c r="BF470" s="80"/>
      <c r="BG470" s="80"/>
      <c r="BH470" s="80"/>
      <c r="BI470" s="80"/>
      <c r="BJ470" s="80"/>
      <c r="BK470" s="80"/>
      <c r="BL470" s="80"/>
      <c r="BM470" s="80"/>
      <c r="BN470" s="80"/>
      <c r="BO470" s="80"/>
      <c r="BP470" s="80"/>
      <c r="BQ470" s="80"/>
      <c r="BR470" s="80"/>
      <c r="BS470" s="80"/>
      <c r="BT470" s="80"/>
      <c r="BU470" s="80"/>
    </row>
    <row r="471" spans="15:73"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  <c r="AA471" s="80"/>
      <c r="AB471" s="80"/>
      <c r="AC471" s="80"/>
      <c r="AD471" s="80"/>
      <c r="AE471" s="80"/>
      <c r="AF471" s="80"/>
      <c r="AG471" s="80"/>
      <c r="AH471" s="80"/>
      <c r="AI471" s="80"/>
      <c r="AJ471" s="80"/>
      <c r="AK471" s="80"/>
      <c r="AL471" s="80"/>
      <c r="AM471" s="80"/>
      <c r="AN471" s="80"/>
      <c r="AO471" s="80"/>
      <c r="AP471" s="80"/>
      <c r="AQ471" s="80"/>
      <c r="AR471" s="80"/>
      <c r="AS471" s="80"/>
      <c r="AT471" s="80"/>
      <c r="AU471" s="80"/>
      <c r="AV471" s="80"/>
      <c r="AW471" s="80"/>
      <c r="AX471" s="80"/>
      <c r="AY471" s="80"/>
      <c r="AZ471" s="80"/>
      <c r="BA471" s="80"/>
      <c r="BB471" s="80"/>
      <c r="BC471" s="80"/>
      <c r="BD471" s="80"/>
      <c r="BE471" s="80"/>
      <c r="BF471" s="80"/>
      <c r="BG471" s="80"/>
      <c r="BH471" s="80"/>
      <c r="BI471" s="80"/>
      <c r="BJ471" s="80"/>
      <c r="BK471" s="80"/>
      <c r="BL471" s="80"/>
      <c r="BM471" s="80"/>
      <c r="BN471" s="80"/>
      <c r="BO471" s="80"/>
      <c r="BP471" s="80"/>
      <c r="BQ471" s="80"/>
      <c r="BR471" s="80"/>
      <c r="BS471" s="80"/>
      <c r="BT471" s="80"/>
      <c r="BU471" s="80"/>
    </row>
    <row r="472" spans="15:73"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  <c r="AA472" s="80"/>
      <c r="AB472" s="80"/>
      <c r="AC472" s="80"/>
      <c r="AD472" s="80"/>
      <c r="AE472" s="80"/>
      <c r="AF472" s="80"/>
      <c r="AG472" s="80"/>
      <c r="AH472" s="80"/>
      <c r="AI472" s="80"/>
      <c r="AJ472" s="80"/>
      <c r="AK472" s="80"/>
      <c r="AL472" s="80"/>
      <c r="AM472" s="80"/>
      <c r="AN472" s="80"/>
      <c r="AO472" s="80"/>
      <c r="AP472" s="80"/>
      <c r="AQ472" s="80"/>
      <c r="AR472" s="80"/>
      <c r="AS472" s="80"/>
      <c r="AT472" s="80"/>
      <c r="AU472" s="80"/>
      <c r="AV472" s="80"/>
      <c r="AW472" s="80"/>
      <c r="AX472" s="80"/>
      <c r="AY472" s="80"/>
      <c r="AZ472" s="80"/>
      <c r="BA472" s="80"/>
      <c r="BB472" s="80"/>
      <c r="BC472" s="80"/>
      <c r="BD472" s="80"/>
      <c r="BE472" s="80"/>
      <c r="BF472" s="80"/>
      <c r="BG472" s="80"/>
      <c r="BH472" s="80"/>
      <c r="BI472" s="80"/>
      <c r="BJ472" s="80"/>
      <c r="BK472" s="80"/>
      <c r="BL472" s="80"/>
      <c r="BM472" s="80"/>
      <c r="BN472" s="80"/>
      <c r="BO472" s="80"/>
      <c r="BP472" s="80"/>
      <c r="BQ472" s="80"/>
      <c r="BR472" s="80"/>
      <c r="BS472" s="80"/>
      <c r="BT472" s="80"/>
      <c r="BU472" s="80"/>
    </row>
    <row r="473" spans="15:73"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  <c r="AA473" s="80"/>
      <c r="AB473" s="80"/>
      <c r="AC473" s="80"/>
      <c r="AD473" s="80"/>
      <c r="AE473" s="80"/>
      <c r="AF473" s="80"/>
      <c r="AG473" s="80"/>
      <c r="AH473" s="80"/>
      <c r="AI473" s="80"/>
      <c r="AJ473" s="80"/>
      <c r="AK473" s="80"/>
      <c r="AL473" s="80"/>
      <c r="AM473" s="80"/>
      <c r="AN473" s="80"/>
      <c r="AO473" s="80"/>
      <c r="AP473" s="80"/>
      <c r="AQ473" s="80"/>
      <c r="AR473" s="80"/>
      <c r="AS473" s="80"/>
      <c r="AT473" s="80"/>
      <c r="AU473" s="80"/>
      <c r="AV473" s="80"/>
      <c r="AW473" s="80"/>
      <c r="AX473" s="80"/>
      <c r="AY473" s="80"/>
      <c r="AZ473" s="80"/>
      <c r="BA473" s="80"/>
      <c r="BB473" s="80"/>
      <c r="BC473" s="80"/>
      <c r="BD473" s="80"/>
      <c r="BE473" s="80"/>
      <c r="BF473" s="80"/>
      <c r="BG473" s="80"/>
      <c r="BH473" s="80"/>
      <c r="BI473" s="80"/>
      <c r="BJ473" s="80"/>
      <c r="BK473" s="80"/>
      <c r="BL473" s="80"/>
      <c r="BM473" s="80"/>
      <c r="BN473" s="80"/>
      <c r="BO473" s="80"/>
      <c r="BP473" s="80"/>
      <c r="BQ473" s="80"/>
      <c r="BR473" s="80"/>
      <c r="BS473" s="80"/>
      <c r="BT473" s="80"/>
      <c r="BU473" s="80"/>
    </row>
    <row r="474" spans="15:73"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  <c r="AA474" s="80"/>
      <c r="AB474" s="80"/>
      <c r="AC474" s="80"/>
      <c r="AD474" s="80"/>
      <c r="AE474" s="80"/>
      <c r="AF474" s="80"/>
      <c r="AG474" s="80"/>
      <c r="AH474" s="80"/>
      <c r="AI474" s="80"/>
      <c r="AJ474" s="80"/>
      <c r="AK474" s="80"/>
      <c r="AL474" s="80"/>
      <c r="AM474" s="80"/>
      <c r="AN474" s="80"/>
      <c r="AO474" s="80"/>
      <c r="AP474" s="80"/>
      <c r="AQ474" s="80"/>
      <c r="AR474" s="80"/>
      <c r="AS474" s="80"/>
      <c r="AT474" s="80"/>
      <c r="AU474" s="80"/>
      <c r="AV474" s="80"/>
      <c r="AW474" s="80"/>
      <c r="AX474" s="80"/>
      <c r="AY474" s="80"/>
      <c r="AZ474" s="80"/>
      <c r="BA474" s="80"/>
      <c r="BB474" s="80"/>
      <c r="BC474" s="80"/>
      <c r="BD474" s="80"/>
      <c r="BE474" s="80"/>
      <c r="BF474" s="80"/>
      <c r="BG474" s="80"/>
      <c r="BH474" s="80"/>
      <c r="BI474" s="80"/>
      <c r="BJ474" s="80"/>
      <c r="BK474" s="80"/>
      <c r="BL474" s="80"/>
      <c r="BM474" s="80"/>
      <c r="BN474" s="80"/>
      <c r="BO474" s="80"/>
      <c r="BP474" s="80"/>
      <c r="BQ474" s="80"/>
      <c r="BR474" s="80"/>
      <c r="BS474" s="80"/>
      <c r="BT474" s="80"/>
      <c r="BU474" s="80"/>
    </row>
    <row r="475" spans="15:73"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  <c r="AA475" s="80"/>
      <c r="AB475" s="80"/>
      <c r="AC475" s="80"/>
      <c r="AD475" s="80"/>
      <c r="AE475" s="80"/>
      <c r="AF475" s="80"/>
      <c r="AG475" s="80"/>
      <c r="AH475" s="80"/>
      <c r="AI475" s="80"/>
      <c r="AJ475" s="80"/>
      <c r="AK475" s="80"/>
      <c r="AL475" s="80"/>
      <c r="AM475" s="80"/>
      <c r="AN475" s="80"/>
      <c r="AO475" s="80"/>
      <c r="AP475" s="80"/>
      <c r="AQ475" s="80"/>
      <c r="AR475" s="80"/>
      <c r="AS475" s="80"/>
      <c r="AT475" s="80"/>
      <c r="AU475" s="80"/>
      <c r="AV475" s="80"/>
      <c r="AW475" s="80"/>
      <c r="AX475" s="80"/>
      <c r="AY475" s="80"/>
      <c r="AZ475" s="80"/>
      <c r="BA475" s="80"/>
      <c r="BB475" s="80"/>
      <c r="BC475" s="80"/>
      <c r="BD475" s="80"/>
      <c r="BE475" s="80"/>
      <c r="BF475" s="80"/>
      <c r="BG475" s="80"/>
      <c r="BH475" s="80"/>
      <c r="BI475" s="80"/>
      <c r="BJ475" s="80"/>
      <c r="BK475" s="80"/>
      <c r="BL475" s="80"/>
      <c r="BM475" s="80"/>
      <c r="BN475" s="80"/>
      <c r="BO475" s="80"/>
      <c r="BP475" s="80"/>
      <c r="BQ475" s="80"/>
      <c r="BR475" s="80"/>
      <c r="BS475" s="80"/>
      <c r="BT475" s="80"/>
      <c r="BU475" s="80"/>
    </row>
    <row r="476" spans="15:73"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  <c r="AA476" s="80"/>
      <c r="AB476" s="80"/>
      <c r="AC476" s="80"/>
      <c r="AD476" s="80"/>
      <c r="AE476" s="80"/>
      <c r="AF476" s="80"/>
      <c r="AG476" s="80"/>
      <c r="AH476" s="80"/>
      <c r="AI476" s="80"/>
      <c r="AJ476" s="80"/>
      <c r="AK476" s="80"/>
      <c r="AL476" s="80"/>
      <c r="AM476" s="80"/>
      <c r="AN476" s="80"/>
      <c r="AO476" s="80"/>
      <c r="AP476" s="80"/>
      <c r="AQ476" s="80"/>
      <c r="AR476" s="80"/>
      <c r="AS476" s="80"/>
      <c r="AT476" s="80"/>
      <c r="AU476" s="80"/>
      <c r="AV476" s="80"/>
      <c r="AW476" s="80"/>
      <c r="AX476" s="80"/>
      <c r="AY476" s="80"/>
      <c r="AZ476" s="80"/>
      <c r="BA476" s="80"/>
      <c r="BB476" s="80"/>
      <c r="BC476" s="80"/>
      <c r="BD476" s="80"/>
      <c r="BE476" s="80"/>
      <c r="BF476" s="80"/>
      <c r="BG476" s="80"/>
      <c r="BH476" s="80"/>
      <c r="BI476" s="80"/>
      <c r="BJ476" s="80"/>
      <c r="BK476" s="80"/>
      <c r="BL476" s="80"/>
      <c r="BM476" s="80"/>
      <c r="BN476" s="80"/>
      <c r="BO476" s="80"/>
      <c r="BP476" s="80"/>
      <c r="BQ476" s="80"/>
      <c r="BR476" s="80"/>
      <c r="BS476" s="80"/>
      <c r="BT476" s="80"/>
      <c r="BU476" s="80"/>
    </row>
    <row r="477" spans="15:73"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  <c r="AA477" s="80"/>
      <c r="AB477" s="80"/>
      <c r="AC477" s="80"/>
      <c r="AD477" s="80"/>
      <c r="AE477" s="80"/>
      <c r="AF477" s="80"/>
      <c r="AG477" s="80"/>
      <c r="AH477" s="80"/>
      <c r="AI477" s="80"/>
      <c r="AJ477" s="80"/>
      <c r="AK477" s="80"/>
      <c r="AL477" s="80"/>
      <c r="AM477" s="80"/>
      <c r="AN477" s="80"/>
      <c r="AO477" s="80"/>
      <c r="AP477" s="80"/>
      <c r="AQ477" s="80"/>
      <c r="AR477" s="80"/>
      <c r="AS477" s="80"/>
      <c r="AT477" s="80"/>
      <c r="AU477" s="80"/>
      <c r="AV477" s="80"/>
      <c r="AW477" s="80"/>
      <c r="AX477" s="80"/>
      <c r="AY477" s="80"/>
      <c r="AZ477" s="80"/>
      <c r="BA477" s="80"/>
      <c r="BB477" s="80"/>
      <c r="BC477" s="80"/>
      <c r="BD477" s="80"/>
      <c r="BE477" s="80"/>
      <c r="BF477" s="80"/>
      <c r="BG477" s="80"/>
      <c r="BH477" s="80"/>
      <c r="BI477" s="80"/>
      <c r="BJ477" s="80"/>
      <c r="BK477" s="80"/>
      <c r="BL477" s="80"/>
      <c r="BM477" s="80"/>
      <c r="BN477" s="80"/>
      <c r="BO477" s="80"/>
      <c r="BP477" s="80"/>
      <c r="BQ477" s="80"/>
      <c r="BR477" s="80"/>
      <c r="BS477" s="80"/>
      <c r="BT477" s="80"/>
      <c r="BU477" s="80"/>
    </row>
    <row r="478" spans="15:73"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  <c r="AA478" s="80"/>
      <c r="AB478" s="80"/>
      <c r="AC478" s="80"/>
      <c r="AD478" s="80"/>
      <c r="AE478" s="80"/>
      <c r="AF478" s="80"/>
      <c r="AG478" s="80"/>
      <c r="AH478" s="80"/>
      <c r="AI478" s="80"/>
      <c r="AJ478" s="80"/>
      <c r="AK478" s="80"/>
      <c r="AL478" s="80"/>
      <c r="AM478" s="80"/>
      <c r="AN478" s="80"/>
      <c r="AO478" s="80"/>
      <c r="AP478" s="80"/>
      <c r="AQ478" s="80"/>
      <c r="AR478" s="80"/>
      <c r="AS478" s="80"/>
      <c r="AT478" s="80"/>
      <c r="AU478" s="80"/>
      <c r="AV478" s="80"/>
      <c r="AW478" s="80"/>
      <c r="AX478" s="80"/>
      <c r="AY478" s="80"/>
      <c r="AZ478" s="80"/>
      <c r="BA478" s="80"/>
      <c r="BB478" s="80"/>
      <c r="BC478" s="80"/>
      <c r="BD478" s="80"/>
      <c r="BE478" s="80"/>
      <c r="BF478" s="80"/>
      <c r="BG478" s="80"/>
      <c r="BH478" s="80"/>
      <c r="BI478" s="80"/>
      <c r="BJ478" s="80"/>
      <c r="BK478" s="80"/>
      <c r="BL478" s="80"/>
      <c r="BM478" s="80"/>
      <c r="BN478" s="80"/>
      <c r="BO478" s="80"/>
      <c r="BP478" s="80"/>
      <c r="BQ478" s="80"/>
      <c r="BR478" s="80"/>
      <c r="BS478" s="80"/>
      <c r="BT478" s="80"/>
      <c r="BU478" s="80"/>
    </row>
    <row r="479" spans="15:73"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  <c r="AA479" s="80"/>
      <c r="AB479" s="80"/>
      <c r="AC479" s="80"/>
      <c r="AD479" s="80"/>
      <c r="AE479" s="80"/>
      <c r="AF479" s="80"/>
      <c r="AG479" s="80"/>
      <c r="AH479" s="80"/>
      <c r="AI479" s="80"/>
      <c r="AJ479" s="80"/>
      <c r="AK479" s="80"/>
      <c r="AL479" s="80"/>
      <c r="AM479" s="80"/>
      <c r="AN479" s="80"/>
      <c r="AO479" s="80"/>
      <c r="AP479" s="80"/>
      <c r="AQ479" s="80"/>
      <c r="AR479" s="80"/>
      <c r="AS479" s="80"/>
      <c r="AT479" s="80"/>
      <c r="AU479" s="80"/>
      <c r="AV479" s="80"/>
      <c r="AW479" s="80"/>
      <c r="AX479" s="80"/>
      <c r="AY479" s="80"/>
      <c r="AZ479" s="80"/>
      <c r="BA479" s="80"/>
      <c r="BB479" s="80"/>
      <c r="BC479" s="80"/>
      <c r="BD479" s="80"/>
      <c r="BE479" s="80"/>
      <c r="BF479" s="80"/>
      <c r="BG479" s="80"/>
      <c r="BH479" s="80"/>
      <c r="BI479" s="80"/>
      <c r="BJ479" s="80"/>
      <c r="BK479" s="80"/>
      <c r="BL479" s="80"/>
      <c r="BM479" s="80"/>
      <c r="BN479" s="80"/>
      <c r="BO479" s="80"/>
      <c r="BP479" s="80"/>
      <c r="BQ479" s="80"/>
      <c r="BR479" s="80"/>
      <c r="BS479" s="80"/>
      <c r="BT479" s="80"/>
      <c r="BU479" s="80"/>
    </row>
    <row r="480" spans="15:73"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  <c r="AA480" s="80"/>
      <c r="AB480" s="80"/>
      <c r="AC480" s="80"/>
      <c r="AD480" s="80"/>
      <c r="AE480" s="80"/>
      <c r="AF480" s="80"/>
      <c r="AG480" s="80"/>
      <c r="AH480" s="80"/>
      <c r="AI480" s="80"/>
      <c r="AJ480" s="80"/>
      <c r="AK480" s="80"/>
      <c r="AL480" s="80"/>
      <c r="AM480" s="80"/>
      <c r="AN480" s="80"/>
      <c r="AO480" s="80"/>
      <c r="AP480" s="80"/>
      <c r="AQ480" s="80"/>
      <c r="AR480" s="80"/>
      <c r="AS480" s="80"/>
      <c r="AT480" s="80"/>
      <c r="AU480" s="80"/>
      <c r="AV480" s="80"/>
      <c r="AW480" s="80"/>
      <c r="AX480" s="80"/>
      <c r="AY480" s="80"/>
      <c r="AZ480" s="80"/>
      <c r="BA480" s="80"/>
      <c r="BB480" s="80"/>
      <c r="BC480" s="80"/>
      <c r="BD480" s="80"/>
      <c r="BE480" s="80"/>
      <c r="BF480" s="80"/>
      <c r="BG480" s="80"/>
      <c r="BH480" s="80"/>
      <c r="BI480" s="80"/>
      <c r="BJ480" s="80"/>
      <c r="BK480" s="80"/>
      <c r="BL480" s="80"/>
      <c r="BM480" s="80"/>
      <c r="BN480" s="80"/>
      <c r="BO480" s="80"/>
      <c r="BP480" s="80"/>
      <c r="BQ480" s="80"/>
      <c r="BR480" s="80"/>
      <c r="BS480" s="80"/>
      <c r="BT480" s="80"/>
      <c r="BU480" s="80"/>
    </row>
    <row r="481" spans="15:73"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  <c r="AA481" s="80"/>
      <c r="AB481" s="80"/>
      <c r="AC481" s="80"/>
      <c r="AD481" s="80"/>
      <c r="AE481" s="80"/>
      <c r="AF481" s="80"/>
      <c r="AG481" s="80"/>
      <c r="AH481" s="80"/>
      <c r="AI481" s="80"/>
      <c r="AJ481" s="80"/>
      <c r="AK481" s="80"/>
      <c r="AL481" s="80"/>
      <c r="AM481" s="80"/>
      <c r="AN481" s="80"/>
      <c r="AO481" s="80"/>
      <c r="AP481" s="80"/>
      <c r="AQ481" s="80"/>
      <c r="AR481" s="80"/>
      <c r="AS481" s="80"/>
      <c r="AT481" s="80"/>
      <c r="AU481" s="80"/>
      <c r="AV481" s="80"/>
      <c r="AW481" s="80"/>
      <c r="AX481" s="80"/>
      <c r="AY481" s="80"/>
      <c r="AZ481" s="80"/>
      <c r="BA481" s="80"/>
      <c r="BB481" s="80"/>
      <c r="BC481" s="80"/>
      <c r="BD481" s="80"/>
      <c r="BE481" s="80"/>
      <c r="BF481" s="80"/>
      <c r="BG481" s="80"/>
      <c r="BH481" s="80"/>
      <c r="BI481" s="80"/>
      <c r="BJ481" s="80"/>
      <c r="BK481" s="80"/>
      <c r="BL481" s="80"/>
      <c r="BM481" s="80"/>
      <c r="BN481" s="80"/>
      <c r="BO481" s="80"/>
      <c r="BP481" s="80"/>
      <c r="BQ481" s="80"/>
      <c r="BR481" s="80"/>
      <c r="BS481" s="80"/>
      <c r="BT481" s="80"/>
      <c r="BU481" s="80"/>
    </row>
    <row r="482" spans="15:73"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  <c r="AA482" s="80"/>
      <c r="AB482" s="80"/>
      <c r="AC482" s="80"/>
      <c r="AD482" s="80"/>
      <c r="AE482" s="80"/>
      <c r="AF482" s="80"/>
      <c r="AG482" s="80"/>
      <c r="AH482" s="80"/>
      <c r="AI482" s="80"/>
      <c r="AJ482" s="80"/>
      <c r="AK482" s="80"/>
      <c r="AL482" s="80"/>
      <c r="AM482" s="80"/>
      <c r="AN482" s="80"/>
      <c r="AO482" s="80"/>
      <c r="AP482" s="80"/>
      <c r="AQ482" s="80"/>
      <c r="AR482" s="80"/>
      <c r="AS482" s="80"/>
      <c r="AT482" s="80"/>
      <c r="AU482" s="80"/>
      <c r="AV482" s="80"/>
      <c r="AW482" s="80"/>
      <c r="AX482" s="80"/>
      <c r="AY482" s="80"/>
      <c r="AZ482" s="80"/>
      <c r="BA482" s="80"/>
      <c r="BB482" s="80"/>
      <c r="BC482" s="80"/>
      <c r="BD482" s="80"/>
      <c r="BE482" s="80"/>
      <c r="BF482" s="80"/>
      <c r="BG482" s="80"/>
      <c r="BH482" s="80"/>
      <c r="BI482" s="80"/>
      <c r="BJ482" s="80"/>
      <c r="BK482" s="80"/>
      <c r="BL482" s="80"/>
      <c r="BM482" s="80"/>
      <c r="BN482" s="80"/>
      <c r="BO482" s="80"/>
      <c r="BP482" s="80"/>
      <c r="BQ482" s="80"/>
      <c r="BR482" s="80"/>
      <c r="BS482" s="80"/>
      <c r="BT482" s="80"/>
      <c r="BU482" s="80"/>
    </row>
    <row r="483" spans="15:73"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  <c r="AA483" s="80"/>
      <c r="AB483" s="80"/>
      <c r="AC483" s="80"/>
      <c r="AD483" s="80"/>
      <c r="AE483" s="80"/>
      <c r="AF483" s="80"/>
      <c r="AG483" s="80"/>
      <c r="AH483" s="80"/>
      <c r="AI483" s="80"/>
      <c r="AJ483" s="80"/>
      <c r="AK483" s="80"/>
      <c r="AL483" s="80"/>
      <c r="AM483" s="80"/>
      <c r="AN483" s="80"/>
      <c r="AO483" s="80"/>
      <c r="AP483" s="80"/>
      <c r="AQ483" s="80"/>
      <c r="AR483" s="80"/>
      <c r="AS483" s="80"/>
      <c r="AT483" s="80"/>
      <c r="AU483" s="80"/>
      <c r="AV483" s="80"/>
      <c r="AW483" s="80"/>
      <c r="AX483" s="80"/>
      <c r="AY483" s="80"/>
      <c r="AZ483" s="80"/>
      <c r="BA483" s="80"/>
      <c r="BB483" s="80"/>
      <c r="BC483" s="80"/>
      <c r="BD483" s="80"/>
      <c r="BE483" s="80"/>
      <c r="BF483" s="80"/>
      <c r="BG483" s="80"/>
      <c r="BH483" s="80"/>
      <c r="BI483" s="80"/>
      <c r="BJ483" s="80"/>
      <c r="BK483" s="80"/>
      <c r="BL483" s="80"/>
      <c r="BM483" s="80"/>
      <c r="BN483" s="80"/>
      <c r="BO483" s="80"/>
      <c r="BP483" s="80"/>
      <c r="BQ483" s="80"/>
      <c r="BR483" s="80"/>
      <c r="BS483" s="80"/>
      <c r="BT483" s="80"/>
      <c r="BU483" s="80"/>
    </row>
    <row r="484" spans="15:73"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  <c r="AA484" s="80"/>
      <c r="AB484" s="80"/>
      <c r="AC484" s="80"/>
      <c r="AD484" s="80"/>
      <c r="AE484" s="80"/>
      <c r="AF484" s="80"/>
      <c r="AG484" s="80"/>
      <c r="AH484" s="80"/>
      <c r="AI484" s="80"/>
      <c r="AJ484" s="80"/>
      <c r="AK484" s="80"/>
      <c r="AL484" s="80"/>
      <c r="AM484" s="80"/>
      <c r="AN484" s="80"/>
      <c r="AO484" s="80"/>
      <c r="AP484" s="80"/>
      <c r="AQ484" s="80"/>
      <c r="AR484" s="80"/>
      <c r="AS484" s="80"/>
      <c r="AT484" s="80"/>
      <c r="AU484" s="80"/>
      <c r="AV484" s="80"/>
      <c r="AW484" s="80"/>
      <c r="AX484" s="80"/>
      <c r="AY484" s="80"/>
      <c r="AZ484" s="80"/>
      <c r="BA484" s="80"/>
      <c r="BB484" s="80"/>
      <c r="BC484" s="80"/>
      <c r="BD484" s="80"/>
      <c r="BE484" s="80"/>
      <c r="BF484" s="80"/>
      <c r="BG484" s="80"/>
      <c r="BH484" s="80"/>
      <c r="BI484" s="80"/>
      <c r="BJ484" s="80"/>
      <c r="BK484" s="80"/>
      <c r="BL484" s="80"/>
      <c r="BM484" s="80"/>
      <c r="BN484" s="80"/>
      <c r="BO484" s="80"/>
      <c r="BP484" s="80"/>
      <c r="BQ484" s="80"/>
      <c r="BR484" s="80"/>
      <c r="BS484" s="80"/>
      <c r="BT484" s="80"/>
      <c r="BU484" s="80"/>
    </row>
    <row r="485" spans="15:73"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  <c r="AA485" s="80"/>
      <c r="AB485" s="80"/>
      <c r="AC485" s="80"/>
      <c r="AD485" s="80"/>
      <c r="AE485" s="80"/>
      <c r="AF485" s="80"/>
      <c r="AG485" s="80"/>
      <c r="AH485" s="80"/>
      <c r="AI485" s="80"/>
      <c r="AJ485" s="80"/>
      <c r="AK485" s="80"/>
      <c r="AL485" s="80"/>
      <c r="AM485" s="80"/>
      <c r="AN485" s="80"/>
      <c r="AO485" s="80"/>
      <c r="AP485" s="80"/>
      <c r="AQ485" s="80"/>
      <c r="AR485" s="80"/>
      <c r="AS485" s="80"/>
      <c r="AT485" s="80"/>
      <c r="AU485" s="80"/>
      <c r="AV485" s="80"/>
      <c r="AW485" s="80"/>
      <c r="AX485" s="80"/>
      <c r="AY485" s="80"/>
      <c r="AZ485" s="80"/>
      <c r="BA485" s="80"/>
      <c r="BB485" s="80"/>
      <c r="BC485" s="80"/>
      <c r="BD485" s="80"/>
      <c r="BE485" s="80"/>
      <c r="BF485" s="80"/>
      <c r="BG485" s="80"/>
      <c r="BH485" s="80"/>
      <c r="BI485" s="80"/>
      <c r="BJ485" s="80"/>
      <c r="BK485" s="80"/>
      <c r="BL485" s="80"/>
      <c r="BM485" s="80"/>
      <c r="BN485" s="80"/>
      <c r="BO485" s="80"/>
      <c r="BP485" s="80"/>
      <c r="BQ485" s="80"/>
      <c r="BR485" s="80"/>
      <c r="BS485" s="80"/>
      <c r="BT485" s="80"/>
      <c r="BU485" s="80"/>
    </row>
    <row r="486" spans="15:73"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  <c r="AA486" s="80"/>
      <c r="AB486" s="80"/>
      <c r="AC486" s="80"/>
      <c r="AD486" s="80"/>
      <c r="AE486" s="80"/>
      <c r="AF486" s="80"/>
      <c r="AG486" s="80"/>
      <c r="AH486" s="80"/>
      <c r="AI486" s="80"/>
      <c r="AJ486" s="80"/>
      <c r="AK486" s="80"/>
      <c r="AL486" s="80"/>
      <c r="AM486" s="80"/>
      <c r="AN486" s="80"/>
      <c r="AO486" s="80"/>
      <c r="AP486" s="80"/>
      <c r="AQ486" s="80"/>
      <c r="AR486" s="80"/>
      <c r="AS486" s="80"/>
      <c r="AT486" s="80"/>
      <c r="AU486" s="80"/>
      <c r="AV486" s="80"/>
      <c r="AW486" s="80"/>
      <c r="AX486" s="80"/>
      <c r="AY486" s="80"/>
      <c r="AZ486" s="80"/>
      <c r="BA486" s="80"/>
      <c r="BB486" s="80"/>
      <c r="BC486" s="80"/>
      <c r="BD486" s="80"/>
      <c r="BE486" s="80"/>
      <c r="BF486" s="80"/>
      <c r="BG486" s="80"/>
      <c r="BH486" s="80"/>
      <c r="BI486" s="80"/>
      <c r="BJ486" s="80"/>
      <c r="BK486" s="80"/>
      <c r="BL486" s="80"/>
      <c r="BM486" s="80"/>
      <c r="BN486" s="80"/>
      <c r="BO486" s="80"/>
      <c r="BP486" s="80"/>
      <c r="BQ486" s="80"/>
      <c r="BR486" s="80"/>
      <c r="BS486" s="80"/>
      <c r="BT486" s="80"/>
      <c r="BU486" s="80"/>
    </row>
    <row r="487" spans="15:73"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  <c r="AA487" s="80"/>
      <c r="AB487" s="80"/>
      <c r="AC487" s="80"/>
      <c r="AD487" s="80"/>
      <c r="AE487" s="80"/>
      <c r="AF487" s="80"/>
      <c r="AG487" s="80"/>
      <c r="AH487" s="80"/>
      <c r="AI487" s="80"/>
      <c r="AJ487" s="80"/>
      <c r="AK487" s="80"/>
      <c r="AL487" s="80"/>
      <c r="AM487" s="80"/>
      <c r="AN487" s="80"/>
      <c r="AO487" s="80"/>
      <c r="AP487" s="80"/>
      <c r="AQ487" s="80"/>
      <c r="AR487" s="80"/>
      <c r="AS487" s="80"/>
      <c r="AT487" s="80"/>
      <c r="AU487" s="80"/>
      <c r="AV487" s="80"/>
      <c r="AW487" s="80"/>
      <c r="AX487" s="80"/>
      <c r="AY487" s="80"/>
      <c r="AZ487" s="80"/>
      <c r="BA487" s="80"/>
      <c r="BB487" s="80"/>
      <c r="BC487" s="80"/>
      <c r="BD487" s="80"/>
      <c r="BE487" s="80"/>
      <c r="BF487" s="80"/>
      <c r="BG487" s="80"/>
      <c r="BH487" s="80"/>
      <c r="BI487" s="80"/>
      <c r="BJ487" s="80"/>
      <c r="BK487" s="80"/>
      <c r="BL487" s="80"/>
      <c r="BM487" s="80"/>
      <c r="BN487" s="80"/>
      <c r="BO487" s="80"/>
      <c r="BP487" s="80"/>
      <c r="BQ487" s="80"/>
      <c r="BR487" s="80"/>
      <c r="BS487" s="80"/>
      <c r="BT487" s="80"/>
      <c r="BU487" s="80"/>
    </row>
    <row r="488" spans="15:73"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  <c r="AA488" s="80"/>
      <c r="AB488" s="80"/>
      <c r="AC488" s="80"/>
      <c r="AD488" s="80"/>
      <c r="AE488" s="80"/>
      <c r="AF488" s="80"/>
      <c r="AG488" s="80"/>
      <c r="AH488" s="80"/>
      <c r="AI488" s="80"/>
      <c r="AJ488" s="80"/>
      <c r="AK488" s="80"/>
      <c r="AL488" s="80"/>
      <c r="AM488" s="80"/>
      <c r="AN488" s="80"/>
      <c r="AO488" s="80"/>
      <c r="AP488" s="80"/>
      <c r="AQ488" s="80"/>
      <c r="AR488" s="80"/>
      <c r="AS488" s="80"/>
      <c r="AT488" s="80"/>
      <c r="AU488" s="80"/>
      <c r="AV488" s="80"/>
      <c r="AW488" s="80"/>
      <c r="AX488" s="80"/>
      <c r="AY488" s="80"/>
      <c r="AZ488" s="80"/>
      <c r="BA488" s="80"/>
      <c r="BB488" s="80"/>
      <c r="BC488" s="80"/>
      <c r="BD488" s="80"/>
      <c r="BE488" s="80"/>
      <c r="BF488" s="80"/>
      <c r="BG488" s="80"/>
      <c r="BH488" s="80"/>
      <c r="BI488" s="80"/>
      <c r="BJ488" s="80"/>
      <c r="BK488" s="80"/>
      <c r="BL488" s="80"/>
      <c r="BM488" s="80"/>
      <c r="BN488" s="80"/>
      <c r="BO488" s="80"/>
      <c r="BP488" s="80"/>
      <c r="BQ488" s="80"/>
      <c r="BR488" s="80"/>
      <c r="BS488" s="80"/>
      <c r="BT488" s="80"/>
      <c r="BU488" s="80"/>
    </row>
    <row r="489" spans="15:73"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  <c r="AA489" s="80"/>
      <c r="AB489" s="80"/>
      <c r="AC489" s="80"/>
      <c r="AD489" s="80"/>
      <c r="AE489" s="80"/>
      <c r="AF489" s="80"/>
      <c r="AG489" s="80"/>
      <c r="AH489" s="80"/>
      <c r="AI489" s="80"/>
      <c r="AJ489" s="80"/>
      <c r="AK489" s="80"/>
      <c r="AL489" s="80"/>
      <c r="AM489" s="80"/>
      <c r="AN489" s="80"/>
      <c r="AO489" s="80"/>
      <c r="AP489" s="80"/>
      <c r="AQ489" s="80"/>
      <c r="AR489" s="80"/>
      <c r="AS489" s="80"/>
      <c r="AT489" s="80"/>
      <c r="AU489" s="80"/>
      <c r="AV489" s="80"/>
      <c r="AW489" s="80"/>
      <c r="AX489" s="80"/>
      <c r="AY489" s="80"/>
      <c r="AZ489" s="80"/>
      <c r="BA489" s="80"/>
      <c r="BB489" s="80"/>
      <c r="BC489" s="80"/>
      <c r="BD489" s="80"/>
      <c r="BE489" s="80"/>
      <c r="BF489" s="80"/>
      <c r="BG489" s="80"/>
      <c r="BH489" s="80"/>
      <c r="BI489" s="80"/>
      <c r="BJ489" s="80"/>
      <c r="BK489" s="80"/>
      <c r="BL489" s="80"/>
      <c r="BM489" s="80"/>
      <c r="BN489" s="80"/>
      <c r="BO489" s="80"/>
      <c r="BP489" s="80"/>
      <c r="BQ489" s="80"/>
      <c r="BR489" s="80"/>
      <c r="BS489" s="80"/>
      <c r="BT489" s="80"/>
      <c r="BU489" s="80"/>
    </row>
    <row r="490" spans="15:73"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  <c r="AA490" s="80"/>
      <c r="AB490" s="80"/>
      <c r="AC490" s="80"/>
      <c r="AD490" s="80"/>
      <c r="AE490" s="80"/>
      <c r="AF490" s="80"/>
      <c r="AG490" s="80"/>
      <c r="AH490" s="80"/>
      <c r="AI490" s="80"/>
      <c r="AJ490" s="80"/>
      <c r="AK490" s="80"/>
      <c r="AL490" s="80"/>
      <c r="AM490" s="80"/>
      <c r="AN490" s="80"/>
      <c r="AO490" s="80"/>
      <c r="AP490" s="80"/>
      <c r="AQ490" s="80"/>
      <c r="AR490" s="80"/>
      <c r="AS490" s="80"/>
      <c r="AT490" s="80"/>
      <c r="AU490" s="80"/>
      <c r="AV490" s="80"/>
      <c r="AW490" s="80"/>
      <c r="AX490" s="80"/>
      <c r="AY490" s="80"/>
      <c r="AZ490" s="80"/>
      <c r="BA490" s="80"/>
      <c r="BB490" s="80"/>
      <c r="BC490" s="80"/>
      <c r="BD490" s="80"/>
      <c r="BE490" s="80"/>
      <c r="BF490" s="80"/>
      <c r="BG490" s="80"/>
      <c r="BH490" s="80"/>
      <c r="BI490" s="80"/>
      <c r="BJ490" s="80"/>
      <c r="BK490" s="80"/>
      <c r="BL490" s="80"/>
      <c r="BM490" s="80"/>
      <c r="BN490" s="80"/>
      <c r="BO490" s="80"/>
      <c r="BP490" s="80"/>
      <c r="BQ490" s="80"/>
      <c r="BR490" s="80"/>
      <c r="BS490" s="80"/>
      <c r="BT490" s="80"/>
      <c r="BU490" s="80"/>
    </row>
    <row r="491" spans="15:73"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  <c r="AA491" s="80"/>
      <c r="AB491" s="80"/>
      <c r="AC491" s="80"/>
      <c r="AD491" s="80"/>
      <c r="AE491" s="80"/>
      <c r="AF491" s="80"/>
      <c r="AG491" s="80"/>
      <c r="AH491" s="80"/>
      <c r="AI491" s="80"/>
      <c r="AJ491" s="80"/>
      <c r="AK491" s="80"/>
      <c r="AL491" s="80"/>
      <c r="AM491" s="80"/>
      <c r="AN491" s="80"/>
      <c r="AO491" s="80"/>
      <c r="AP491" s="80"/>
      <c r="AQ491" s="80"/>
      <c r="AR491" s="80"/>
      <c r="AS491" s="80"/>
      <c r="AT491" s="80"/>
      <c r="AU491" s="80"/>
      <c r="AV491" s="80"/>
      <c r="AW491" s="80"/>
      <c r="AX491" s="80"/>
      <c r="AY491" s="80"/>
      <c r="AZ491" s="80"/>
      <c r="BA491" s="80"/>
      <c r="BB491" s="80"/>
      <c r="BC491" s="80"/>
      <c r="BD491" s="80"/>
      <c r="BE491" s="80"/>
      <c r="BF491" s="80"/>
      <c r="BG491" s="80"/>
      <c r="BH491" s="80"/>
      <c r="BI491" s="80"/>
      <c r="BJ491" s="80"/>
      <c r="BK491" s="80"/>
      <c r="BL491" s="80"/>
      <c r="BM491" s="80"/>
      <c r="BN491" s="80"/>
      <c r="BO491" s="80"/>
      <c r="BP491" s="80"/>
      <c r="BQ491" s="80"/>
      <c r="BR491" s="80"/>
      <c r="BS491" s="80"/>
      <c r="BT491" s="80"/>
      <c r="BU491" s="80"/>
    </row>
    <row r="492" spans="15:73"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  <c r="AA492" s="80"/>
      <c r="AB492" s="80"/>
      <c r="AC492" s="80"/>
      <c r="AD492" s="80"/>
      <c r="AE492" s="80"/>
      <c r="AF492" s="80"/>
      <c r="AG492" s="80"/>
      <c r="AH492" s="80"/>
      <c r="AI492" s="80"/>
      <c r="AJ492" s="80"/>
      <c r="AK492" s="80"/>
      <c r="AL492" s="80"/>
      <c r="AM492" s="80"/>
      <c r="AN492" s="80"/>
      <c r="AO492" s="80"/>
      <c r="AP492" s="80"/>
      <c r="AQ492" s="80"/>
      <c r="AR492" s="80"/>
      <c r="AS492" s="80"/>
      <c r="AT492" s="80"/>
      <c r="AU492" s="80"/>
      <c r="AV492" s="80"/>
      <c r="AW492" s="80"/>
      <c r="AX492" s="80"/>
      <c r="AY492" s="80"/>
      <c r="AZ492" s="80"/>
      <c r="BA492" s="80"/>
      <c r="BB492" s="80"/>
      <c r="BC492" s="80"/>
      <c r="BD492" s="80"/>
      <c r="BE492" s="80"/>
      <c r="BF492" s="80"/>
      <c r="BG492" s="80"/>
      <c r="BH492" s="80"/>
      <c r="BI492" s="80"/>
      <c r="BJ492" s="80"/>
      <c r="BK492" s="80"/>
      <c r="BL492" s="80"/>
      <c r="BM492" s="80"/>
      <c r="BN492" s="80"/>
      <c r="BO492" s="80"/>
      <c r="BP492" s="80"/>
      <c r="BQ492" s="80"/>
      <c r="BR492" s="80"/>
      <c r="BS492" s="80"/>
      <c r="BT492" s="80"/>
      <c r="BU492" s="80"/>
    </row>
    <row r="493" spans="15:73"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  <c r="AA493" s="80"/>
      <c r="AB493" s="80"/>
      <c r="AC493" s="80"/>
      <c r="AD493" s="80"/>
      <c r="AE493" s="80"/>
      <c r="AF493" s="80"/>
      <c r="AG493" s="80"/>
      <c r="AH493" s="80"/>
      <c r="AI493" s="80"/>
      <c r="AJ493" s="80"/>
      <c r="AK493" s="80"/>
      <c r="AL493" s="80"/>
      <c r="AM493" s="80"/>
      <c r="AN493" s="80"/>
      <c r="AO493" s="80"/>
      <c r="AP493" s="80"/>
      <c r="AQ493" s="80"/>
      <c r="AR493" s="80"/>
      <c r="AS493" s="80"/>
      <c r="AT493" s="80"/>
      <c r="AU493" s="80"/>
      <c r="AV493" s="80"/>
      <c r="AW493" s="80"/>
      <c r="AX493" s="80"/>
      <c r="AY493" s="80"/>
      <c r="AZ493" s="80"/>
      <c r="BA493" s="80"/>
      <c r="BB493" s="80"/>
      <c r="BC493" s="80"/>
      <c r="BD493" s="80"/>
      <c r="BE493" s="80"/>
      <c r="BF493" s="80"/>
      <c r="BG493" s="80"/>
      <c r="BH493" s="80"/>
      <c r="BI493" s="80"/>
      <c r="BJ493" s="80"/>
      <c r="BK493" s="80"/>
      <c r="BL493" s="80"/>
      <c r="BM493" s="80"/>
      <c r="BN493" s="80"/>
      <c r="BO493" s="80"/>
      <c r="BP493" s="80"/>
      <c r="BQ493" s="80"/>
      <c r="BR493" s="80"/>
      <c r="BS493" s="80"/>
      <c r="BT493" s="80"/>
      <c r="BU493" s="80"/>
    </row>
    <row r="494" spans="15:73"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  <c r="AA494" s="80"/>
      <c r="AB494" s="80"/>
      <c r="AC494" s="80"/>
      <c r="AD494" s="80"/>
      <c r="AE494" s="80"/>
      <c r="AF494" s="80"/>
      <c r="AG494" s="80"/>
      <c r="AH494" s="80"/>
      <c r="AI494" s="80"/>
      <c r="AJ494" s="80"/>
      <c r="AK494" s="80"/>
      <c r="AL494" s="80"/>
      <c r="AM494" s="80"/>
      <c r="AN494" s="80"/>
      <c r="AO494" s="80"/>
      <c r="AP494" s="80"/>
      <c r="AQ494" s="80"/>
      <c r="AR494" s="80"/>
      <c r="AS494" s="80"/>
      <c r="AT494" s="80"/>
      <c r="AU494" s="80"/>
      <c r="AV494" s="80"/>
      <c r="AW494" s="80"/>
      <c r="AX494" s="80"/>
      <c r="AY494" s="80"/>
      <c r="AZ494" s="80"/>
      <c r="BA494" s="80"/>
      <c r="BB494" s="80"/>
      <c r="BC494" s="80"/>
      <c r="BD494" s="80"/>
      <c r="BE494" s="80"/>
      <c r="BF494" s="80"/>
      <c r="BG494" s="80"/>
      <c r="BH494" s="80"/>
      <c r="BI494" s="80"/>
      <c r="BJ494" s="80"/>
      <c r="BK494" s="80"/>
      <c r="BL494" s="80"/>
      <c r="BM494" s="80"/>
      <c r="BN494" s="80"/>
      <c r="BO494" s="80"/>
      <c r="BP494" s="80"/>
      <c r="BQ494" s="80"/>
      <c r="BR494" s="80"/>
      <c r="BS494" s="80"/>
      <c r="BT494" s="80"/>
      <c r="BU494" s="80"/>
    </row>
    <row r="495" spans="15:73"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  <c r="AA495" s="80"/>
      <c r="AB495" s="80"/>
      <c r="AC495" s="80"/>
      <c r="AD495" s="80"/>
      <c r="AE495" s="80"/>
      <c r="AF495" s="80"/>
      <c r="AG495" s="80"/>
      <c r="AH495" s="80"/>
      <c r="AI495" s="80"/>
      <c r="AJ495" s="80"/>
      <c r="AK495" s="80"/>
      <c r="AL495" s="80"/>
      <c r="AM495" s="80"/>
      <c r="AN495" s="80"/>
      <c r="AO495" s="80"/>
      <c r="AP495" s="80"/>
      <c r="AQ495" s="80"/>
      <c r="AR495" s="80"/>
      <c r="AS495" s="80"/>
      <c r="AT495" s="80"/>
      <c r="AU495" s="80"/>
      <c r="AV495" s="80"/>
      <c r="AW495" s="80"/>
      <c r="AX495" s="80"/>
      <c r="AY495" s="80"/>
      <c r="AZ495" s="80"/>
      <c r="BA495" s="80"/>
      <c r="BB495" s="80"/>
      <c r="BC495" s="80"/>
      <c r="BD495" s="80"/>
      <c r="BE495" s="80"/>
      <c r="BF495" s="80"/>
      <c r="BG495" s="80"/>
      <c r="BH495" s="80"/>
      <c r="BI495" s="80"/>
      <c r="BJ495" s="80"/>
      <c r="BK495" s="80"/>
      <c r="BL495" s="80"/>
      <c r="BM495" s="80"/>
      <c r="BN495" s="80"/>
      <c r="BO495" s="80"/>
      <c r="BP495" s="80"/>
      <c r="BQ495" s="80"/>
      <c r="BR495" s="80"/>
      <c r="BS495" s="80"/>
      <c r="BT495" s="80"/>
      <c r="BU495" s="80"/>
    </row>
    <row r="496" spans="15:73"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  <c r="AA496" s="80"/>
      <c r="AB496" s="80"/>
      <c r="AC496" s="80"/>
      <c r="AD496" s="80"/>
      <c r="AE496" s="80"/>
      <c r="AF496" s="80"/>
      <c r="AG496" s="80"/>
      <c r="AH496" s="80"/>
      <c r="AI496" s="80"/>
      <c r="AJ496" s="80"/>
      <c r="AK496" s="80"/>
      <c r="AL496" s="80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80"/>
      <c r="AY496" s="80"/>
      <c r="AZ496" s="80"/>
      <c r="BA496" s="80"/>
      <c r="BB496" s="80"/>
      <c r="BC496" s="80"/>
      <c r="BD496" s="80"/>
      <c r="BE496" s="80"/>
      <c r="BF496" s="80"/>
      <c r="BG496" s="80"/>
      <c r="BH496" s="80"/>
      <c r="BI496" s="80"/>
      <c r="BJ496" s="80"/>
      <c r="BK496" s="80"/>
      <c r="BL496" s="80"/>
      <c r="BM496" s="80"/>
      <c r="BN496" s="80"/>
      <c r="BO496" s="80"/>
      <c r="BP496" s="80"/>
      <c r="BQ496" s="80"/>
      <c r="BR496" s="80"/>
      <c r="BS496" s="80"/>
      <c r="BT496" s="80"/>
      <c r="BU496" s="80"/>
    </row>
    <row r="497" spans="15:73"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80"/>
      <c r="AY497" s="80"/>
      <c r="AZ497" s="80"/>
      <c r="BA497" s="80"/>
      <c r="BB497" s="80"/>
      <c r="BC497" s="80"/>
      <c r="BD497" s="80"/>
      <c r="BE497" s="80"/>
      <c r="BF497" s="80"/>
      <c r="BG497" s="80"/>
      <c r="BH497" s="80"/>
      <c r="BI497" s="80"/>
      <c r="BJ497" s="80"/>
      <c r="BK497" s="80"/>
      <c r="BL497" s="80"/>
      <c r="BM497" s="80"/>
      <c r="BN497" s="80"/>
      <c r="BO497" s="80"/>
      <c r="BP497" s="80"/>
      <c r="BQ497" s="80"/>
      <c r="BR497" s="80"/>
      <c r="BS497" s="80"/>
      <c r="BT497" s="80"/>
      <c r="BU497" s="80"/>
    </row>
    <row r="498" spans="15:73"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80"/>
      <c r="AY498" s="80"/>
      <c r="AZ498" s="80"/>
      <c r="BA498" s="80"/>
      <c r="BB498" s="80"/>
      <c r="BC498" s="80"/>
      <c r="BD498" s="80"/>
      <c r="BE498" s="80"/>
      <c r="BF498" s="80"/>
      <c r="BG498" s="80"/>
      <c r="BH498" s="80"/>
      <c r="BI498" s="80"/>
      <c r="BJ498" s="80"/>
      <c r="BK498" s="80"/>
      <c r="BL498" s="80"/>
      <c r="BM498" s="80"/>
      <c r="BN498" s="80"/>
      <c r="BO498" s="80"/>
      <c r="BP498" s="80"/>
      <c r="BQ498" s="80"/>
      <c r="BR498" s="80"/>
      <c r="BS498" s="80"/>
      <c r="BT498" s="80"/>
      <c r="BU498" s="80"/>
    </row>
    <row r="499" spans="15:73"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  <c r="AA499" s="80"/>
      <c r="AB499" s="80"/>
      <c r="AC499" s="80"/>
      <c r="AD499" s="80"/>
      <c r="AE499" s="80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80"/>
      <c r="AY499" s="80"/>
      <c r="AZ499" s="80"/>
      <c r="BA499" s="80"/>
      <c r="BB499" s="80"/>
      <c r="BC499" s="80"/>
      <c r="BD499" s="80"/>
      <c r="BE499" s="80"/>
      <c r="BF499" s="80"/>
      <c r="BG499" s="80"/>
      <c r="BH499" s="80"/>
      <c r="BI499" s="80"/>
      <c r="BJ499" s="80"/>
      <c r="BK499" s="80"/>
      <c r="BL499" s="80"/>
      <c r="BM499" s="80"/>
      <c r="BN499" s="80"/>
      <c r="BO499" s="80"/>
      <c r="BP499" s="80"/>
      <c r="BQ499" s="80"/>
      <c r="BR499" s="80"/>
      <c r="BS499" s="80"/>
      <c r="BT499" s="80"/>
      <c r="BU499" s="80"/>
    </row>
    <row r="500" spans="15:73"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  <c r="AA500" s="80"/>
      <c r="AB500" s="80"/>
      <c r="AC500" s="80"/>
      <c r="AD500" s="80"/>
      <c r="AE500" s="80"/>
      <c r="AF500" s="80"/>
      <c r="AG500" s="80"/>
      <c r="AH500" s="80"/>
      <c r="AI500" s="80"/>
      <c r="AJ500" s="80"/>
      <c r="AK500" s="80"/>
      <c r="AL500" s="80"/>
      <c r="AM500" s="80"/>
      <c r="AN500" s="80"/>
      <c r="AO500" s="80"/>
      <c r="AP500" s="80"/>
      <c r="AQ500" s="80"/>
      <c r="AR500" s="80"/>
      <c r="AS500" s="80"/>
      <c r="AT500" s="80"/>
      <c r="AU500" s="80"/>
      <c r="AV500" s="80"/>
      <c r="AW500" s="80"/>
      <c r="AX500" s="80"/>
      <c r="AY500" s="80"/>
      <c r="AZ500" s="80"/>
      <c r="BA500" s="80"/>
      <c r="BB500" s="80"/>
      <c r="BC500" s="80"/>
      <c r="BD500" s="80"/>
      <c r="BE500" s="80"/>
      <c r="BF500" s="80"/>
      <c r="BG500" s="80"/>
      <c r="BH500" s="80"/>
      <c r="BI500" s="80"/>
      <c r="BJ500" s="80"/>
      <c r="BK500" s="80"/>
      <c r="BL500" s="80"/>
      <c r="BM500" s="80"/>
      <c r="BN500" s="80"/>
      <c r="BO500" s="80"/>
      <c r="BP500" s="80"/>
      <c r="BQ500" s="80"/>
      <c r="BR500" s="80"/>
      <c r="BS500" s="80"/>
      <c r="BT500" s="80"/>
      <c r="BU500" s="80"/>
    </row>
    <row r="501" spans="15:73"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80"/>
      <c r="AJ501" s="80"/>
      <c r="AK501" s="80"/>
      <c r="AL501" s="80"/>
      <c r="AM501" s="80"/>
      <c r="AN501" s="80"/>
      <c r="AO501" s="80"/>
      <c r="AP501" s="80"/>
      <c r="AQ501" s="80"/>
      <c r="AR501" s="80"/>
      <c r="AS501" s="80"/>
      <c r="AT501" s="80"/>
      <c r="AU501" s="80"/>
      <c r="AV501" s="80"/>
      <c r="AW501" s="80"/>
      <c r="AX501" s="80"/>
      <c r="AY501" s="80"/>
      <c r="AZ501" s="80"/>
      <c r="BA501" s="80"/>
      <c r="BB501" s="80"/>
      <c r="BC501" s="80"/>
      <c r="BD501" s="80"/>
      <c r="BE501" s="80"/>
      <c r="BF501" s="80"/>
      <c r="BG501" s="80"/>
      <c r="BH501" s="80"/>
      <c r="BI501" s="80"/>
      <c r="BJ501" s="80"/>
      <c r="BK501" s="80"/>
      <c r="BL501" s="80"/>
      <c r="BM501" s="80"/>
      <c r="BN501" s="80"/>
      <c r="BO501" s="80"/>
      <c r="BP501" s="80"/>
      <c r="BQ501" s="80"/>
      <c r="BR501" s="80"/>
      <c r="BS501" s="80"/>
      <c r="BT501" s="80"/>
      <c r="BU501" s="80"/>
    </row>
    <row r="502" spans="15:73"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  <c r="AA502" s="80"/>
      <c r="AB502" s="80"/>
      <c r="AC502" s="80"/>
      <c r="AD502" s="80"/>
      <c r="AE502" s="80"/>
      <c r="AF502" s="80"/>
      <c r="AG502" s="80"/>
      <c r="AH502" s="80"/>
      <c r="AI502" s="80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80"/>
      <c r="AY502" s="80"/>
      <c r="AZ502" s="80"/>
      <c r="BA502" s="80"/>
      <c r="BB502" s="80"/>
      <c r="BC502" s="80"/>
      <c r="BD502" s="80"/>
      <c r="BE502" s="80"/>
      <c r="BF502" s="80"/>
      <c r="BG502" s="80"/>
      <c r="BH502" s="80"/>
      <c r="BI502" s="80"/>
      <c r="BJ502" s="80"/>
      <c r="BK502" s="80"/>
      <c r="BL502" s="80"/>
      <c r="BM502" s="80"/>
      <c r="BN502" s="80"/>
      <c r="BO502" s="80"/>
      <c r="BP502" s="80"/>
      <c r="BQ502" s="80"/>
      <c r="BR502" s="80"/>
      <c r="BS502" s="80"/>
      <c r="BT502" s="80"/>
      <c r="BU502" s="80"/>
    </row>
    <row r="503" spans="15:73"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  <c r="AA503" s="80"/>
      <c r="AB503" s="80"/>
      <c r="AC503" s="80"/>
      <c r="AD503" s="80"/>
      <c r="AE503" s="80"/>
      <c r="AF503" s="80"/>
      <c r="AG503" s="80"/>
      <c r="AH503" s="80"/>
      <c r="AI503" s="80"/>
      <c r="AJ503" s="80"/>
      <c r="AK503" s="80"/>
      <c r="AL503" s="80"/>
      <c r="AM503" s="80"/>
      <c r="AN503" s="80"/>
      <c r="AO503" s="80"/>
      <c r="AP503" s="80"/>
      <c r="AQ503" s="80"/>
      <c r="AR503" s="80"/>
      <c r="AS503" s="80"/>
      <c r="AT503" s="80"/>
      <c r="AU503" s="80"/>
      <c r="AV503" s="80"/>
      <c r="AW503" s="80"/>
      <c r="AX503" s="80"/>
      <c r="AY503" s="80"/>
      <c r="AZ503" s="80"/>
      <c r="BA503" s="80"/>
      <c r="BB503" s="80"/>
      <c r="BC503" s="80"/>
      <c r="BD503" s="80"/>
      <c r="BE503" s="80"/>
      <c r="BF503" s="80"/>
      <c r="BG503" s="80"/>
      <c r="BH503" s="80"/>
      <c r="BI503" s="80"/>
      <c r="BJ503" s="80"/>
      <c r="BK503" s="80"/>
      <c r="BL503" s="80"/>
      <c r="BM503" s="80"/>
      <c r="BN503" s="80"/>
      <c r="BO503" s="80"/>
      <c r="BP503" s="80"/>
      <c r="BQ503" s="80"/>
      <c r="BR503" s="80"/>
      <c r="BS503" s="80"/>
      <c r="BT503" s="80"/>
      <c r="BU503" s="80"/>
    </row>
    <row r="504" spans="15:73"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  <c r="AA504" s="80"/>
      <c r="AB504" s="80"/>
      <c r="AC504" s="80"/>
      <c r="AD504" s="80"/>
      <c r="AE504" s="80"/>
      <c r="AF504" s="80"/>
      <c r="AG504" s="80"/>
      <c r="AH504" s="80"/>
      <c r="AI504" s="80"/>
      <c r="AJ504" s="80"/>
      <c r="AK504" s="80"/>
      <c r="AL504" s="80"/>
      <c r="AM504" s="80"/>
      <c r="AN504" s="80"/>
      <c r="AO504" s="80"/>
      <c r="AP504" s="80"/>
      <c r="AQ504" s="80"/>
      <c r="AR504" s="80"/>
      <c r="AS504" s="80"/>
      <c r="AT504" s="80"/>
      <c r="AU504" s="80"/>
      <c r="AV504" s="80"/>
      <c r="AW504" s="80"/>
      <c r="AX504" s="80"/>
      <c r="AY504" s="80"/>
      <c r="AZ504" s="80"/>
      <c r="BA504" s="80"/>
      <c r="BB504" s="80"/>
      <c r="BC504" s="80"/>
      <c r="BD504" s="80"/>
      <c r="BE504" s="80"/>
      <c r="BF504" s="80"/>
      <c r="BG504" s="80"/>
      <c r="BH504" s="80"/>
      <c r="BI504" s="80"/>
      <c r="BJ504" s="80"/>
      <c r="BK504" s="80"/>
      <c r="BL504" s="80"/>
      <c r="BM504" s="80"/>
      <c r="BN504" s="80"/>
      <c r="BO504" s="80"/>
      <c r="BP504" s="80"/>
      <c r="BQ504" s="80"/>
      <c r="BR504" s="80"/>
      <c r="BS504" s="80"/>
      <c r="BT504" s="80"/>
      <c r="BU504" s="80"/>
    </row>
    <row r="505" spans="15:73"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  <c r="AA505" s="80"/>
      <c r="AB505" s="80"/>
      <c r="AC505" s="80"/>
      <c r="AD505" s="80"/>
      <c r="AE505" s="80"/>
      <c r="AF505" s="80"/>
      <c r="AG505" s="80"/>
      <c r="AH505" s="80"/>
      <c r="AI505" s="80"/>
      <c r="AJ505" s="80"/>
      <c r="AK505" s="80"/>
      <c r="AL505" s="80"/>
      <c r="AM505" s="80"/>
      <c r="AN505" s="80"/>
      <c r="AO505" s="80"/>
      <c r="AP505" s="80"/>
      <c r="AQ505" s="80"/>
      <c r="AR505" s="80"/>
      <c r="AS505" s="80"/>
      <c r="AT505" s="80"/>
      <c r="AU505" s="80"/>
      <c r="AV505" s="80"/>
      <c r="AW505" s="80"/>
      <c r="AX505" s="80"/>
      <c r="AY505" s="80"/>
      <c r="AZ505" s="80"/>
      <c r="BA505" s="80"/>
      <c r="BB505" s="80"/>
      <c r="BC505" s="80"/>
      <c r="BD505" s="80"/>
      <c r="BE505" s="80"/>
      <c r="BF505" s="80"/>
      <c r="BG505" s="80"/>
      <c r="BH505" s="80"/>
      <c r="BI505" s="80"/>
      <c r="BJ505" s="80"/>
      <c r="BK505" s="80"/>
      <c r="BL505" s="80"/>
      <c r="BM505" s="80"/>
      <c r="BN505" s="80"/>
      <c r="BO505" s="80"/>
      <c r="BP505" s="80"/>
      <c r="BQ505" s="80"/>
      <c r="BR505" s="80"/>
      <c r="BS505" s="80"/>
      <c r="BT505" s="80"/>
      <c r="BU505" s="80"/>
    </row>
    <row r="506" spans="15:73"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  <c r="AA506" s="80"/>
      <c r="AB506" s="80"/>
      <c r="AC506" s="80"/>
      <c r="AD506" s="80"/>
      <c r="AE506" s="80"/>
      <c r="AF506" s="80"/>
      <c r="AG506" s="80"/>
      <c r="AH506" s="80"/>
      <c r="AI506" s="80"/>
      <c r="AJ506" s="80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80"/>
      <c r="AY506" s="80"/>
      <c r="AZ506" s="80"/>
      <c r="BA506" s="80"/>
      <c r="BB506" s="80"/>
      <c r="BC506" s="80"/>
      <c r="BD506" s="80"/>
      <c r="BE506" s="80"/>
      <c r="BF506" s="80"/>
      <c r="BG506" s="80"/>
      <c r="BH506" s="80"/>
      <c r="BI506" s="80"/>
      <c r="BJ506" s="80"/>
      <c r="BK506" s="80"/>
      <c r="BL506" s="80"/>
      <c r="BM506" s="80"/>
      <c r="BN506" s="80"/>
      <c r="BO506" s="80"/>
      <c r="BP506" s="80"/>
      <c r="BQ506" s="80"/>
      <c r="BR506" s="80"/>
      <c r="BS506" s="80"/>
      <c r="BT506" s="80"/>
      <c r="BU506" s="80"/>
    </row>
    <row r="507" spans="15:73"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80"/>
      <c r="AY507" s="80"/>
      <c r="AZ507" s="80"/>
      <c r="BA507" s="80"/>
      <c r="BB507" s="80"/>
      <c r="BC507" s="80"/>
      <c r="BD507" s="80"/>
      <c r="BE507" s="80"/>
      <c r="BF507" s="80"/>
      <c r="BG507" s="80"/>
      <c r="BH507" s="80"/>
      <c r="BI507" s="80"/>
      <c r="BJ507" s="80"/>
      <c r="BK507" s="80"/>
      <c r="BL507" s="80"/>
      <c r="BM507" s="80"/>
      <c r="BN507" s="80"/>
      <c r="BO507" s="80"/>
      <c r="BP507" s="80"/>
      <c r="BQ507" s="80"/>
      <c r="BR507" s="80"/>
      <c r="BS507" s="80"/>
      <c r="BT507" s="80"/>
      <c r="BU507" s="80"/>
    </row>
    <row r="508" spans="15:73"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80"/>
      <c r="AY508" s="80"/>
      <c r="AZ508" s="80"/>
      <c r="BA508" s="80"/>
      <c r="BB508" s="80"/>
      <c r="BC508" s="80"/>
      <c r="BD508" s="80"/>
      <c r="BE508" s="80"/>
      <c r="BF508" s="80"/>
      <c r="BG508" s="80"/>
      <c r="BH508" s="80"/>
      <c r="BI508" s="80"/>
      <c r="BJ508" s="80"/>
      <c r="BK508" s="80"/>
      <c r="BL508" s="80"/>
      <c r="BM508" s="80"/>
      <c r="BN508" s="80"/>
      <c r="BO508" s="80"/>
      <c r="BP508" s="80"/>
      <c r="BQ508" s="80"/>
      <c r="BR508" s="80"/>
      <c r="BS508" s="80"/>
      <c r="BT508" s="80"/>
      <c r="BU508" s="80"/>
    </row>
    <row r="509" spans="15:73"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80"/>
      <c r="AY509" s="80"/>
      <c r="AZ509" s="80"/>
      <c r="BA509" s="80"/>
      <c r="BB509" s="80"/>
      <c r="BC509" s="80"/>
      <c r="BD509" s="80"/>
      <c r="BE509" s="80"/>
      <c r="BF509" s="80"/>
      <c r="BG509" s="80"/>
      <c r="BH509" s="80"/>
      <c r="BI509" s="80"/>
      <c r="BJ509" s="80"/>
      <c r="BK509" s="80"/>
      <c r="BL509" s="80"/>
      <c r="BM509" s="80"/>
      <c r="BN509" s="80"/>
      <c r="BO509" s="80"/>
      <c r="BP509" s="80"/>
      <c r="BQ509" s="80"/>
      <c r="BR509" s="80"/>
      <c r="BS509" s="80"/>
      <c r="BT509" s="80"/>
      <c r="BU509" s="80"/>
    </row>
    <row r="510" spans="15:73"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80"/>
      <c r="AY510" s="80"/>
      <c r="AZ510" s="80"/>
      <c r="BA510" s="80"/>
      <c r="BB510" s="80"/>
      <c r="BC510" s="80"/>
      <c r="BD510" s="80"/>
      <c r="BE510" s="80"/>
      <c r="BF510" s="80"/>
      <c r="BG510" s="80"/>
      <c r="BH510" s="80"/>
      <c r="BI510" s="80"/>
      <c r="BJ510" s="80"/>
      <c r="BK510" s="80"/>
      <c r="BL510" s="80"/>
      <c r="BM510" s="80"/>
      <c r="BN510" s="80"/>
      <c r="BO510" s="80"/>
      <c r="BP510" s="80"/>
      <c r="BQ510" s="80"/>
      <c r="BR510" s="80"/>
      <c r="BS510" s="80"/>
      <c r="BT510" s="80"/>
      <c r="BU510" s="80"/>
    </row>
    <row r="511" spans="15:73"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80"/>
      <c r="AB511" s="80"/>
      <c r="AC511" s="80"/>
      <c r="AD511" s="80"/>
      <c r="AE511" s="80"/>
      <c r="AF511" s="80"/>
      <c r="AG511" s="80"/>
      <c r="AH511" s="80"/>
      <c r="AI511" s="80"/>
      <c r="AJ511" s="80"/>
      <c r="AK511" s="80"/>
      <c r="AL511" s="80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80"/>
      <c r="AY511" s="80"/>
      <c r="AZ511" s="80"/>
      <c r="BA511" s="80"/>
      <c r="BB511" s="80"/>
      <c r="BC511" s="80"/>
      <c r="BD511" s="80"/>
      <c r="BE511" s="80"/>
      <c r="BF511" s="80"/>
      <c r="BG511" s="80"/>
      <c r="BH511" s="80"/>
      <c r="BI511" s="80"/>
      <c r="BJ511" s="80"/>
      <c r="BK511" s="80"/>
      <c r="BL511" s="80"/>
      <c r="BM511" s="80"/>
      <c r="BN511" s="80"/>
      <c r="BO511" s="80"/>
      <c r="BP511" s="80"/>
      <c r="BQ511" s="80"/>
      <c r="BR511" s="80"/>
      <c r="BS511" s="80"/>
      <c r="BT511" s="80"/>
      <c r="BU511" s="80"/>
    </row>
    <row r="512" spans="15:73"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80"/>
      <c r="AB512" s="80"/>
      <c r="AC512" s="80"/>
      <c r="AD512" s="80"/>
      <c r="AE512" s="80"/>
      <c r="AF512" s="80"/>
      <c r="AG512" s="80"/>
      <c r="AH512" s="80"/>
      <c r="AI512" s="80"/>
      <c r="AJ512" s="80"/>
      <c r="AK512" s="80"/>
      <c r="AL512" s="80"/>
      <c r="AM512" s="80"/>
      <c r="AN512" s="80"/>
      <c r="AO512" s="80"/>
      <c r="AP512" s="80"/>
      <c r="AQ512" s="80"/>
      <c r="AR512" s="80"/>
      <c r="AS512" s="80"/>
      <c r="AT512" s="80"/>
      <c r="AU512" s="80"/>
      <c r="AV512" s="80"/>
      <c r="AW512" s="80"/>
      <c r="AX512" s="80"/>
      <c r="AY512" s="80"/>
      <c r="AZ512" s="80"/>
      <c r="BA512" s="80"/>
      <c r="BB512" s="80"/>
      <c r="BC512" s="80"/>
      <c r="BD512" s="80"/>
      <c r="BE512" s="80"/>
      <c r="BF512" s="80"/>
      <c r="BG512" s="80"/>
      <c r="BH512" s="80"/>
      <c r="BI512" s="80"/>
      <c r="BJ512" s="80"/>
      <c r="BK512" s="80"/>
      <c r="BL512" s="80"/>
      <c r="BM512" s="80"/>
      <c r="BN512" s="80"/>
      <c r="BO512" s="80"/>
      <c r="BP512" s="80"/>
      <c r="BQ512" s="80"/>
      <c r="BR512" s="80"/>
      <c r="BS512" s="80"/>
      <c r="BT512" s="80"/>
      <c r="BU512" s="80"/>
    </row>
    <row r="513" spans="15:73"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80"/>
      <c r="AB513" s="80"/>
      <c r="AC513" s="80"/>
      <c r="AD513" s="80"/>
      <c r="AE513" s="80"/>
      <c r="AF513" s="80"/>
      <c r="AG513" s="80"/>
      <c r="AH513" s="80"/>
      <c r="AI513" s="80"/>
      <c r="AJ513" s="80"/>
      <c r="AK513" s="80"/>
      <c r="AL513" s="80"/>
      <c r="AM513" s="80"/>
      <c r="AN513" s="80"/>
      <c r="AO513" s="80"/>
      <c r="AP513" s="80"/>
      <c r="AQ513" s="80"/>
      <c r="AR513" s="80"/>
      <c r="AS513" s="80"/>
      <c r="AT513" s="80"/>
      <c r="AU513" s="80"/>
      <c r="AV513" s="80"/>
      <c r="AW513" s="80"/>
      <c r="AX513" s="80"/>
      <c r="AY513" s="80"/>
      <c r="AZ513" s="80"/>
      <c r="BA513" s="80"/>
      <c r="BB513" s="80"/>
      <c r="BC513" s="80"/>
      <c r="BD513" s="80"/>
      <c r="BE513" s="80"/>
      <c r="BF513" s="80"/>
      <c r="BG513" s="80"/>
      <c r="BH513" s="80"/>
      <c r="BI513" s="80"/>
      <c r="BJ513" s="80"/>
      <c r="BK513" s="80"/>
      <c r="BL513" s="80"/>
      <c r="BM513" s="80"/>
      <c r="BN513" s="80"/>
      <c r="BO513" s="80"/>
      <c r="BP513" s="80"/>
      <c r="BQ513" s="80"/>
      <c r="BR513" s="80"/>
      <c r="BS513" s="80"/>
      <c r="BT513" s="80"/>
      <c r="BU513" s="80"/>
    </row>
    <row r="514" spans="15:73"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  <c r="AA514" s="80"/>
      <c r="AB514" s="80"/>
      <c r="AC514" s="80"/>
      <c r="AD514" s="80"/>
      <c r="AE514" s="80"/>
      <c r="AF514" s="80"/>
      <c r="AG514" s="80"/>
      <c r="AH514" s="80"/>
      <c r="AI514" s="80"/>
      <c r="AJ514" s="80"/>
      <c r="AK514" s="80"/>
      <c r="AL514" s="80"/>
      <c r="AM514" s="80"/>
      <c r="AN514" s="80"/>
      <c r="AO514" s="80"/>
      <c r="AP514" s="80"/>
      <c r="AQ514" s="80"/>
      <c r="AR514" s="80"/>
      <c r="AS514" s="80"/>
      <c r="AT514" s="80"/>
      <c r="AU514" s="80"/>
      <c r="AV514" s="80"/>
      <c r="AW514" s="80"/>
      <c r="AX514" s="80"/>
      <c r="AY514" s="80"/>
      <c r="AZ514" s="80"/>
      <c r="BA514" s="80"/>
      <c r="BB514" s="80"/>
      <c r="BC514" s="80"/>
      <c r="BD514" s="80"/>
      <c r="BE514" s="80"/>
      <c r="BF514" s="80"/>
      <c r="BG514" s="80"/>
      <c r="BH514" s="80"/>
      <c r="BI514" s="80"/>
      <c r="BJ514" s="80"/>
      <c r="BK514" s="80"/>
      <c r="BL514" s="80"/>
      <c r="BM514" s="80"/>
      <c r="BN514" s="80"/>
      <c r="BO514" s="80"/>
      <c r="BP514" s="80"/>
      <c r="BQ514" s="80"/>
      <c r="BR514" s="80"/>
      <c r="BS514" s="80"/>
      <c r="BT514" s="80"/>
      <c r="BU514" s="80"/>
    </row>
    <row r="515" spans="15:73"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80"/>
      <c r="AY515" s="80"/>
      <c r="AZ515" s="80"/>
      <c r="BA515" s="80"/>
      <c r="BB515" s="80"/>
      <c r="BC515" s="80"/>
      <c r="BD515" s="80"/>
      <c r="BE515" s="80"/>
      <c r="BF515" s="80"/>
      <c r="BG515" s="80"/>
      <c r="BH515" s="80"/>
      <c r="BI515" s="80"/>
      <c r="BJ515" s="80"/>
      <c r="BK515" s="80"/>
      <c r="BL515" s="80"/>
      <c r="BM515" s="80"/>
      <c r="BN515" s="80"/>
      <c r="BO515" s="80"/>
      <c r="BP515" s="80"/>
      <c r="BQ515" s="80"/>
      <c r="BR515" s="80"/>
      <c r="BS515" s="80"/>
      <c r="BT515" s="80"/>
      <c r="BU515" s="80"/>
    </row>
    <row r="516" spans="15:73"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  <c r="AA516" s="80"/>
      <c r="AB516" s="80"/>
      <c r="AC516" s="80"/>
      <c r="AD516" s="80"/>
      <c r="AE516" s="80"/>
      <c r="AF516" s="80"/>
      <c r="AG516" s="80"/>
      <c r="AH516" s="80"/>
      <c r="AI516" s="80"/>
      <c r="AJ516" s="80"/>
      <c r="AK516" s="80"/>
      <c r="AL516" s="80"/>
      <c r="AM516" s="80"/>
      <c r="AN516" s="80"/>
      <c r="AO516" s="80"/>
      <c r="AP516" s="80"/>
      <c r="AQ516" s="80"/>
      <c r="AR516" s="80"/>
      <c r="AS516" s="80"/>
      <c r="AT516" s="80"/>
      <c r="AU516" s="80"/>
      <c r="AV516" s="80"/>
      <c r="AW516" s="80"/>
      <c r="AX516" s="80"/>
      <c r="AY516" s="80"/>
      <c r="AZ516" s="80"/>
      <c r="BA516" s="80"/>
      <c r="BB516" s="80"/>
      <c r="BC516" s="80"/>
      <c r="BD516" s="80"/>
      <c r="BE516" s="80"/>
      <c r="BF516" s="80"/>
      <c r="BG516" s="80"/>
      <c r="BH516" s="80"/>
      <c r="BI516" s="80"/>
      <c r="BJ516" s="80"/>
      <c r="BK516" s="80"/>
      <c r="BL516" s="80"/>
      <c r="BM516" s="80"/>
      <c r="BN516" s="80"/>
      <c r="BO516" s="80"/>
      <c r="BP516" s="80"/>
      <c r="BQ516" s="80"/>
      <c r="BR516" s="80"/>
      <c r="BS516" s="80"/>
      <c r="BT516" s="80"/>
      <c r="BU516" s="80"/>
    </row>
    <row r="517" spans="15:73"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  <c r="AA517" s="80"/>
      <c r="AB517" s="80"/>
      <c r="AC517" s="80"/>
      <c r="AD517" s="80"/>
      <c r="AE517" s="80"/>
      <c r="AF517" s="80"/>
      <c r="AG517" s="80"/>
      <c r="AH517" s="80"/>
      <c r="AI517" s="80"/>
      <c r="AJ517" s="80"/>
      <c r="AK517" s="80"/>
      <c r="AL517" s="80"/>
      <c r="AM517" s="80"/>
      <c r="AN517" s="80"/>
      <c r="AO517" s="80"/>
      <c r="AP517" s="80"/>
      <c r="AQ517" s="80"/>
      <c r="AR517" s="80"/>
      <c r="AS517" s="80"/>
      <c r="AT517" s="80"/>
      <c r="AU517" s="80"/>
      <c r="AV517" s="80"/>
      <c r="AW517" s="80"/>
      <c r="AX517" s="80"/>
      <c r="AY517" s="80"/>
      <c r="AZ517" s="80"/>
      <c r="BA517" s="80"/>
      <c r="BB517" s="80"/>
      <c r="BC517" s="80"/>
      <c r="BD517" s="80"/>
      <c r="BE517" s="80"/>
      <c r="BF517" s="80"/>
      <c r="BG517" s="80"/>
      <c r="BH517" s="80"/>
      <c r="BI517" s="80"/>
      <c r="BJ517" s="80"/>
      <c r="BK517" s="80"/>
      <c r="BL517" s="80"/>
      <c r="BM517" s="80"/>
      <c r="BN517" s="80"/>
      <c r="BO517" s="80"/>
      <c r="BP517" s="80"/>
      <c r="BQ517" s="80"/>
      <c r="BR517" s="80"/>
      <c r="BS517" s="80"/>
      <c r="BT517" s="80"/>
      <c r="BU517" s="80"/>
    </row>
    <row r="518" spans="15:73"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  <c r="AA518" s="80"/>
      <c r="AB518" s="80"/>
      <c r="AC518" s="80"/>
      <c r="AD518" s="80"/>
      <c r="AE518" s="80"/>
      <c r="AF518" s="80"/>
      <c r="AG518" s="80"/>
      <c r="AH518" s="80"/>
      <c r="AI518" s="80"/>
      <c r="AJ518" s="80"/>
      <c r="AK518" s="80"/>
      <c r="AL518" s="80"/>
      <c r="AM518" s="80"/>
      <c r="AN518" s="80"/>
      <c r="AO518" s="80"/>
      <c r="AP518" s="80"/>
      <c r="AQ518" s="80"/>
      <c r="AR518" s="80"/>
      <c r="AS518" s="80"/>
      <c r="AT518" s="80"/>
      <c r="AU518" s="80"/>
      <c r="AV518" s="80"/>
      <c r="AW518" s="80"/>
      <c r="AX518" s="80"/>
      <c r="AY518" s="80"/>
      <c r="AZ518" s="80"/>
      <c r="BA518" s="80"/>
      <c r="BB518" s="80"/>
      <c r="BC518" s="80"/>
      <c r="BD518" s="80"/>
      <c r="BE518" s="80"/>
      <c r="BF518" s="80"/>
      <c r="BG518" s="80"/>
      <c r="BH518" s="80"/>
      <c r="BI518" s="80"/>
      <c r="BJ518" s="80"/>
      <c r="BK518" s="80"/>
      <c r="BL518" s="80"/>
      <c r="BM518" s="80"/>
      <c r="BN518" s="80"/>
      <c r="BO518" s="80"/>
      <c r="BP518" s="80"/>
      <c r="BQ518" s="80"/>
      <c r="BR518" s="80"/>
      <c r="BS518" s="80"/>
      <c r="BT518" s="80"/>
      <c r="BU518" s="80"/>
    </row>
    <row r="519" spans="15:73"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  <c r="AA519" s="80"/>
      <c r="AB519" s="80"/>
      <c r="AC519" s="80"/>
      <c r="AD519" s="80"/>
      <c r="AE519" s="80"/>
      <c r="AF519" s="80"/>
      <c r="AG519" s="80"/>
      <c r="AH519" s="80"/>
      <c r="AI519" s="80"/>
      <c r="AJ519" s="80"/>
      <c r="AK519" s="80"/>
      <c r="AL519" s="80"/>
      <c r="AM519" s="80"/>
      <c r="AN519" s="80"/>
      <c r="AO519" s="80"/>
      <c r="AP519" s="80"/>
      <c r="AQ519" s="80"/>
      <c r="AR519" s="80"/>
      <c r="AS519" s="80"/>
      <c r="AT519" s="80"/>
      <c r="AU519" s="80"/>
      <c r="AV519" s="80"/>
      <c r="AW519" s="80"/>
      <c r="AX519" s="80"/>
      <c r="AY519" s="80"/>
      <c r="AZ519" s="80"/>
      <c r="BA519" s="80"/>
      <c r="BB519" s="80"/>
      <c r="BC519" s="80"/>
      <c r="BD519" s="80"/>
      <c r="BE519" s="80"/>
      <c r="BF519" s="80"/>
      <c r="BG519" s="80"/>
      <c r="BH519" s="80"/>
      <c r="BI519" s="80"/>
      <c r="BJ519" s="80"/>
      <c r="BK519" s="80"/>
      <c r="BL519" s="80"/>
      <c r="BM519" s="80"/>
      <c r="BN519" s="80"/>
      <c r="BO519" s="80"/>
      <c r="BP519" s="80"/>
      <c r="BQ519" s="80"/>
      <c r="BR519" s="80"/>
      <c r="BS519" s="80"/>
      <c r="BT519" s="80"/>
      <c r="BU519" s="80"/>
    </row>
    <row r="520" spans="15:73"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80"/>
      <c r="AY520" s="80"/>
      <c r="AZ520" s="80"/>
      <c r="BA520" s="80"/>
      <c r="BB520" s="80"/>
      <c r="BC520" s="80"/>
      <c r="BD520" s="80"/>
      <c r="BE520" s="80"/>
      <c r="BF520" s="80"/>
      <c r="BG520" s="80"/>
      <c r="BH520" s="80"/>
      <c r="BI520" s="80"/>
      <c r="BJ520" s="80"/>
      <c r="BK520" s="80"/>
      <c r="BL520" s="80"/>
      <c r="BM520" s="80"/>
      <c r="BN520" s="80"/>
      <c r="BO520" s="80"/>
      <c r="BP520" s="80"/>
      <c r="BQ520" s="80"/>
      <c r="BR520" s="80"/>
      <c r="BS520" s="80"/>
      <c r="BT520" s="80"/>
      <c r="BU520" s="80"/>
    </row>
    <row r="521" spans="15:73"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  <c r="AA521" s="80"/>
      <c r="AB521" s="80"/>
      <c r="AC521" s="80"/>
      <c r="AD521" s="80"/>
      <c r="AE521" s="80"/>
      <c r="AF521" s="80"/>
      <c r="AG521" s="80"/>
      <c r="AH521" s="80"/>
      <c r="AI521" s="80"/>
      <c r="AJ521" s="80"/>
      <c r="AK521" s="80"/>
      <c r="AL521" s="80"/>
      <c r="AM521" s="80"/>
      <c r="AN521" s="80"/>
      <c r="AO521" s="80"/>
      <c r="AP521" s="80"/>
      <c r="AQ521" s="80"/>
      <c r="AR521" s="80"/>
      <c r="AS521" s="80"/>
      <c r="AT521" s="80"/>
      <c r="AU521" s="80"/>
      <c r="AV521" s="80"/>
      <c r="AW521" s="80"/>
      <c r="AX521" s="80"/>
      <c r="AY521" s="80"/>
      <c r="AZ521" s="80"/>
      <c r="BA521" s="80"/>
      <c r="BB521" s="80"/>
      <c r="BC521" s="80"/>
      <c r="BD521" s="80"/>
      <c r="BE521" s="80"/>
      <c r="BF521" s="80"/>
      <c r="BG521" s="80"/>
      <c r="BH521" s="80"/>
      <c r="BI521" s="80"/>
      <c r="BJ521" s="80"/>
      <c r="BK521" s="80"/>
      <c r="BL521" s="80"/>
      <c r="BM521" s="80"/>
      <c r="BN521" s="80"/>
      <c r="BO521" s="80"/>
      <c r="BP521" s="80"/>
      <c r="BQ521" s="80"/>
      <c r="BR521" s="80"/>
      <c r="BS521" s="80"/>
      <c r="BT521" s="80"/>
      <c r="BU521" s="80"/>
    </row>
    <row r="522" spans="15:73"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  <c r="AA522" s="80"/>
      <c r="AB522" s="80"/>
      <c r="AC522" s="80"/>
      <c r="AD522" s="80"/>
      <c r="AE522" s="80"/>
      <c r="AF522" s="80"/>
      <c r="AG522" s="80"/>
      <c r="AH522" s="80"/>
      <c r="AI522" s="80"/>
      <c r="AJ522" s="80"/>
      <c r="AK522" s="80"/>
      <c r="AL522" s="80"/>
      <c r="AM522" s="80"/>
      <c r="AN522" s="80"/>
      <c r="AO522" s="80"/>
      <c r="AP522" s="80"/>
      <c r="AQ522" s="80"/>
      <c r="AR522" s="80"/>
      <c r="AS522" s="80"/>
      <c r="AT522" s="80"/>
      <c r="AU522" s="80"/>
      <c r="AV522" s="80"/>
      <c r="AW522" s="80"/>
      <c r="AX522" s="80"/>
      <c r="AY522" s="80"/>
      <c r="AZ522" s="80"/>
      <c r="BA522" s="80"/>
      <c r="BB522" s="80"/>
      <c r="BC522" s="80"/>
      <c r="BD522" s="80"/>
      <c r="BE522" s="80"/>
      <c r="BF522" s="80"/>
      <c r="BG522" s="80"/>
      <c r="BH522" s="80"/>
      <c r="BI522" s="80"/>
      <c r="BJ522" s="80"/>
      <c r="BK522" s="80"/>
      <c r="BL522" s="80"/>
      <c r="BM522" s="80"/>
      <c r="BN522" s="80"/>
      <c r="BO522" s="80"/>
      <c r="BP522" s="80"/>
      <c r="BQ522" s="80"/>
      <c r="BR522" s="80"/>
      <c r="BS522" s="80"/>
      <c r="BT522" s="80"/>
      <c r="BU522" s="80"/>
    </row>
    <row r="523" spans="15:73"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  <c r="AA523" s="80"/>
      <c r="AB523" s="80"/>
      <c r="AC523" s="80"/>
      <c r="AD523" s="80"/>
      <c r="AE523" s="80"/>
      <c r="AF523" s="80"/>
      <c r="AG523" s="80"/>
      <c r="AH523" s="80"/>
      <c r="AI523" s="80"/>
      <c r="AJ523" s="80"/>
      <c r="AK523" s="80"/>
      <c r="AL523" s="80"/>
      <c r="AM523" s="80"/>
      <c r="AN523" s="80"/>
      <c r="AO523" s="80"/>
      <c r="AP523" s="80"/>
      <c r="AQ523" s="80"/>
      <c r="AR523" s="80"/>
      <c r="AS523" s="80"/>
      <c r="AT523" s="80"/>
      <c r="AU523" s="80"/>
      <c r="AV523" s="80"/>
      <c r="AW523" s="80"/>
      <c r="AX523" s="80"/>
      <c r="AY523" s="80"/>
      <c r="AZ523" s="80"/>
      <c r="BA523" s="80"/>
      <c r="BB523" s="80"/>
      <c r="BC523" s="80"/>
      <c r="BD523" s="80"/>
      <c r="BE523" s="80"/>
      <c r="BF523" s="80"/>
      <c r="BG523" s="80"/>
      <c r="BH523" s="80"/>
      <c r="BI523" s="80"/>
      <c r="BJ523" s="80"/>
      <c r="BK523" s="80"/>
      <c r="BL523" s="80"/>
      <c r="BM523" s="80"/>
      <c r="BN523" s="80"/>
      <c r="BO523" s="80"/>
      <c r="BP523" s="80"/>
      <c r="BQ523" s="80"/>
      <c r="BR523" s="80"/>
      <c r="BS523" s="80"/>
      <c r="BT523" s="80"/>
      <c r="BU523" s="80"/>
    </row>
    <row r="524" spans="15:73"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  <c r="AA524" s="80"/>
      <c r="AB524" s="80"/>
      <c r="AC524" s="80"/>
      <c r="AD524" s="80"/>
      <c r="AE524" s="80"/>
      <c r="AF524" s="80"/>
      <c r="AG524" s="80"/>
      <c r="AH524" s="80"/>
      <c r="AI524" s="80"/>
      <c r="AJ524" s="80"/>
      <c r="AK524" s="80"/>
      <c r="AL524" s="80"/>
      <c r="AM524" s="80"/>
      <c r="AN524" s="80"/>
      <c r="AO524" s="80"/>
      <c r="AP524" s="80"/>
      <c r="AQ524" s="80"/>
      <c r="AR524" s="80"/>
      <c r="AS524" s="80"/>
      <c r="AT524" s="80"/>
      <c r="AU524" s="80"/>
      <c r="AV524" s="80"/>
      <c r="AW524" s="80"/>
      <c r="AX524" s="80"/>
      <c r="AY524" s="80"/>
      <c r="AZ524" s="80"/>
      <c r="BA524" s="80"/>
      <c r="BB524" s="80"/>
      <c r="BC524" s="80"/>
      <c r="BD524" s="80"/>
      <c r="BE524" s="80"/>
      <c r="BF524" s="80"/>
      <c r="BG524" s="80"/>
      <c r="BH524" s="80"/>
      <c r="BI524" s="80"/>
      <c r="BJ524" s="80"/>
      <c r="BK524" s="80"/>
      <c r="BL524" s="80"/>
      <c r="BM524" s="80"/>
      <c r="BN524" s="80"/>
      <c r="BO524" s="80"/>
      <c r="BP524" s="80"/>
      <c r="BQ524" s="80"/>
      <c r="BR524" s="80"/>
      <c r="BS524" s="80"/>
      <c r="BT524" s="80"/>
      <c r="BU524" s="80"/>
    </row>
    <row r="525" spans="15:73"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  <c r="AA525" s="80"/>
      <c r="AB525" s="80"/>
      <c r="AC525" s="80"/>
      <c r="AD525" s="80"/>
      <c r="AE525" s="80"/>
      <c r="AF525" s="80"/>
      <c r="AG525" s="80"/>
      <c r="AH525" s="80"/>
      <c r="AI525" s="80"/>
      <c r="AJ525" s="80"/>
      <c r="AK525" s="80"/>
      <c r="AL525" s="80"/>
      <c r="AM525" s="80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80"/>
      <c r="AY525" s="80"/>
      <c r="AZ525" s="80"/>
      <c r="BA525" s="80"/>
      <c r="BB525" s="80"/>
      <c r="BC525" s="80"/>
      <c r="BD525" s="80"/>
      <c r="BE525" s="80"/>
      <c r="BF525" s="80"/>
      <c r="BG525" s="80"/>
      <c r="BH525" s="80"/>
      <c r="BI525" s="80"/>
      <c r="BJ525" s="80"/>
      <c r="BK525" s="80"/>
      <c r="BL525" s="80"/>
      <c r="BM525" s="80"/>
      <c r="BN525" s="80"/>
      <c r="BO525" s="80"/>
      <c r="BP525" s="80"/>
      <c r="BQ525" s="80"/>
      <c r="BR525" s="80"/>
      <c r="BS525" s="80"/>
      <c r="BT525" s="80"/>
      <c r="BU525" s="80"/>
    </row>
    <row r="526" spans="15:73"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  <c r="AA526" s="80"/>
      <c r="AB526" s="80"/>
      <c r="AC526" s="80"/>
      <c r="AD526" s="80"/>
      <c r="AE526" s="80"/>
      <c r="AF526" s="80"/>
      <c r="AG526" s="80"/>
      <c r="AH526" s="80"/>
      <c r="AI526" s="80"/>
      <c r="AJ526" s="80"/>
      <c r="AK526" s="80"/>
      <c r="AL526" s="80"/>
      <c r="AM526" s="80"/>
      <c r="AN526" s="80"/>
      <c r="AO526" s="80"/>
      <c r="AP526" s="80"/>
      <c r="AQ526" s="80"/>
      <c r="AR526" s="80"/>
      <c r="AS526" s="80"/>
      <c r="AT526" s="80"/>
      <c r="AU526" s="80"/>
      <c r="AV526" s="80"/>
      <c r="AW526" s="80"/>
      <c r="AX526" s="80"/>
      <c r="AY526" s="80"/>
      <c r="AZ526" s="80"/>
      <c r="BA526" s="80"/>
      <c r="BB526" s="80"/>
      <c r="BC526" s="80"/>
      <c r="BD526" s="80"/>
      <c r="BE526" s="80"/>
      <c r="BF526" s="80"/>
      <c r="BG526" s="80"/>
      <c r="BH526" s="80"/>
      <c r="BI526" s="80"/>
      <c r="BJ526" s="80"/>
      <c r="BK526" s="80"/>
      <c r="BL526" s="80"/>
      <c r="BM526" s="80"/>
      <c r="BN526" s="80"/>
      <c r="BO526" s="80"/>
      <c r="BP526" s="80"/>
      <c r="BQ526" s="80"/>
      <c r="BR526" s="80"/>
      <c r="BS526" s="80"/>
      <c r="BT526" s="80"/>
      <c r="BU526" s="80"/>
    </row>
    <row r="527" spans="15:73"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  <c r="AA527" s="80"/>
      <c r="AB527" s="80"/>
      <c r="AC527" s="80"/>
      <c r="AD527" s="80"/>
      <c r="AE527" s="80"/>
      <c r="AF527" s="80"/>
      <c r="AG527" s="80"/>
      <c r="AH527" s="80"/>
      <c r="AI527" s="80"/>
      <c r="AJ527" s="80"/>
      <c r="AK527" s="80"/>
      <c r="AL527" s="80"/>
      <c r="AM527" s="80"/>
      <c r="AN527" s="80"/>
      <c r="AO527" s="80"/>
      <c r="AP527" s="80"/>
      <c r="AQ527" s="80"/>
      <c r="AR527" s="80"/>
      <c r="AS527" s="80"/>
      <c r="AT527" s="80"/>
      <c r="AU527" s="80"/>
      <c r="AV527" s="80"/>
      <c r="AW527" s="80"/>
      <c r="AX527" s="80"/>
      <c r="AY527" s="80"/>
      <c r="AZ527" s="80"/>
      <c r="BA527" s="80"/>
      <c r="BB527" s="80"/>
      <c r="BC527" s="80"/>
      <c r="BD527" s="80"/>
      <c r="BE527" s="80"/>
      <c r="BF527" s="80"/>
      <c r="BG527" s="80"/>
      <c r="BH527" s="80"/>
      <c r="BI527" s="80"/>
      <c r="BJ527" s="80"/>
      <c r="BK527" s="80"/>
      <c r="BL527" s="80"/>
      <c r="BM527" s="80"/>
      <c r="BN527" s="80"/>
      <c r="BO527" s="80"/>
      <c r="BP527" s="80"/>
      <c r="BQ527" s="80"/>
      <c r="BR527" s="80"/>
      <c r="BS527" s="80"/>
      <c r="BT527" s="80"/>
      <c r="BU527" s="80"/>
    </row>
    <row r="528" spans="15:73"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  <c r="AA528" s="80"/>
      <c r="AB528" s="80"/>
      <c r="AC528" s="80"/>
      <c r="AD528" s="80"/>
      <c r="AE528" s="80"/>
      <c r="AF528" s="80"/>
      <c r="AG528" s="80"/>
      <c r="AH528" s="80"/>
      <c r="AI528" s="80"/>
      <c r="AJ528" s="80"/>
      <c r="AK528" s="80"/>
      <c r="AL528" s="80"/>
      <c r="AM528" s="80"/>
      <c r="AN528" s="80"/>
      <c r="AO528" s="80"/>
      <c r="AP528" s="80"/>
      <c r="AQ528" s="80"/>
      <c r="AR528" s="80"/>
      <c r="AS528" s="80"/>
      <c r="AT528" s="80"/>
      <c r="AU528" s="80"/>
      <c r="AV528" s="80"/>
      <c r="AW528" s="80"/>
      <c r="AX528" s="80"/>
      <c r="AY528" s="80"/>
      <c r="AZ528" s="80"/>
      <c r="BA528" s="80"/>
      <c r="BB528" s="80"/>
      <c r="BC528" s="80"/>
      <c r="BD528" s="80"/>
      <c r="BE528" s="80"/>
      <c r="BF528" s="80"/>
      <c r="BG528" s="80"/>
      <c r="BH528" s="80"/>
      <c r="BI528" s="80"/>
      <c r="BJ528" s="80"/>
      <c r="BK528" s="80"/>
      <c r="BL528" s="80"/>
      <c r="BM528" s="80"/>
      <c r="BN528" s="80"/>
      <c r="BO528" s="80"/>
      <c r="BP528" s="80"/>
      <c r="BQ528" s="80"/>
      <c r="BR528" s="80"/>
      <c r="BS528" s="80"/>
      <c r="BT528" s="80"/>
      <c r="BU528" s="80"/>
    </row>
    <row r="529" spans="15:73"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  <c r="AA529" s="80"/>
      <c r="AB529" s="80"/>
      <c r="AC529" s="80"/>
      <c r="AD529" s="80"/>
      <c r="AE529" s="80"/>
      <c r="AF529" s="80"/>
      <c r="AG529" s="80"/>
      <c r="AH529" s="80"/>
      <c r="AI529" s="80"/>
      <c r="AJ529" s="80"/>
      <c r="AK529" s="80"/>
      <c r="AL529" s="80"/>
      <c r="AM529" s="80"/>
      <c r="AN529" s="80"/>
      <c r="AO529" s="80"/>
      <c r="AP529" s="80"/>
      <c r="AQ529" s="80"/>
      <c r="AR529" s="80"/>
      <c r="AS529" s="80"/>
      <c r="AT529" s="80"/>
      <c r="AU529" s="80"/>
      <c r="AV529" s="80"/>
      <c r="AW529" s="80"/>
      <c r="AX529" s="80"/>
      <c r="AY529" s="80"/>
      <c r="AZ529" s="80"/>
      <c r="BA529" s="80"/>
      <c r="BB529" s="80"/>
      <c r="BC529" s="80"/>
      <c r="BD529" s="80"/>
      <c r="BE529" s="80"/>
      <c r="BF529" s="80"/>
      <c r="BG529" s="80"/>
      <c r="BH529" s="80"/>
      <c r="BI529" s="80"/>
      <c r="BJ529" s="80"/>
      <c r="BK529" s="80"/>
      <c r="BL529" s="80"/>
      <c r="BM529" s="80"/>
      <c r="BN529" s="80"/>
      <c r="BO529" s="80"/>
      <c r="BP529" s="80"/>
      <c r="BQ529" s="80"/>
      <c r="BR529" s="80"/>
      <c r="BS529" s="80"/>
      <c r="BT529" s="80"/>
      <c r="BU529" s="80"/>
    </row>
    <row r="530" spans="15:73"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  <c r="AA530" s="80"/>
      <c r="AB530" s="80"/>
      <c r="AC530" s="80"/>
      <c r="AD530" s="80"/>
      <c r="AE530" s="80"/>
      <c r="AF530" s="80"/>
      <c r="AG530" s="80"/>
      <c r="AH530" s="80"/>
      <c r="AI530" s="80"/>
      <c r="AJ530" s="80"/>
      <c r="AK530" s="80"/>
      <c r="AL530" s="80"/>
      <c r="AM530" s="80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80"/>
      <c r="AY530" s="80"/>
      <c r="AZ530" s="80"/>
      <c r="BA530" s="80"/>
      <c r="BB530" s="80"/>
      <c r="BC530" s="80"/>
      <c r="BD530" s="80"/>
      <c r="BE530" s="80"/>
      <c r="BF530" s="80"/>
      <c r="BG530" s="80"/>
      <c r="BH530" s="80"/>
      <c r="BI530" s="80"/>
      <c r="BJ530" s="80"/>
      <c r="BK530" s="80"/>
      <c r="BL530" s="80"/>
      <c r="BM530" s="80"/>
      <c r="BN530" s="80"/>
      <c r="BO530" s="80"/>
      <c r="BP530" s="80"/>
      <c r="BQ530" s="80"/>
      <c r="BR530" s="80"/>
      <c r="BS530" s="80"/>
      <c r="BT530" s="80"/>
      <c r="BU530" s="80"/>
    </row>
    <row r="531" spans="15:73"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  <c r="AA531" s="80"/>
      <c r="AB531" s="80"/>
      <c r="AC531" s="80"/>
      <c r="AD531" s="80"/>
      <c r="AE531" s="80"/>
      <c r="AF531" s="80"/>
      <c r="AG531" s="80"/>
      <c r="AH531" s="80"/>
      <c r="AI531" s="80"/>
      <c r="AJ531" s="80"/>
      <c r="AK531" s="80"/>
      <c r="AL531" s="80"/>
      <c r="AM531" s="80"/>
      <c r="AN531" s="80"/>
      <c r="AO531" s="80"/>
      <c r="AP531" s="80"/>
      <c r="AQ531" s="80"/>
      <c r="AR531" s="80"/>
      <c r="AS531" s="80"/>
      <c r="AT531" s="80"/>
      <c r="AU531" s="80"/>
      <c r="AV531" s="80"/>
      <c r="AW531" s="80"/>
      <c r="AX531" s="80"/>
      <c r="AY531" s="80"/>
      <c r="AZ531" s="80"/>
      <c r="BA531" s="80"/>
      <c r="BB531" s="80"/>
      <c r="BC531" s="80"/>
      <c r="BD531" s="80"/>
      <c r="BE531" s="80"/>
      <c r="BF531" s="80"/>
      <c r="BG531" s="80"/>
      <c r="BH531" s="80"/>
      <c r="BI531" s="80"/>
      <c r="BJ531" s="80"/>
      <c r="BK531" s="80"/>
      <c r="BL531" s="80"/>
      <c r="BM531" s="80"/>
      <c r="BN531" s="80"/>
      <c r="BO531" s="80"/>
      <c r="BP531" s="80"/>
      <c r="BQ531" s="80"/>
      <c r="BR531" s="80"/>
      <c r="BS531" s="80"/>
      <c r="BT531" s="80"/>
      <c r="BU531" s="80"/>
    </row>
    <row r="532" spans="15:73"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  <c r="AA532" s="80"/>
      <c r="AB532" s="80"/>
      <c r="AC532" s="80"/>
      <c r="AD532" s="80"/>
      <c r="AE532" s="80"/>
      <c r="AF532" s="80"/>
      <c r="AG532" s="80"/>
      <c r="AH532" s="80"/>
      <c r="AI532" s="80"/>
      <c r="AJ532" s="80"/>
      <c r="AK532" s="80"/>
      <c r="AL532" s="80"/>
      <c r="AM532" s="80"/>
      <c r="AN532" s="80"/>
      <c r="AO532" s="80"/>
      <c r="AP532" s="80"/>
      <c r="AQ532" s="80"/>
      <c r="AR532" s="80"/>
      <c r="AS532" s="80"/>
      <c r="AT532" s="80"/>
      <c r="AU532" s="80"/>
      <c r="AV532" s="80"/>
      <c r="AW532" s="80"/>
      <c r="AX532" s="80"/>
      <c r="AY532" s="80"/>
      <c r="AZ532" s="80"/>
      <c r="BA532" s="80"/>
      <c r="BB532" s="80"/>
      <c r="BC532" s="80"/>
      <c r="BD532" s="80"/>
      <c r="BE532" s="80"/>
      <c r="BF532" s="80"/>
      <c r="BG532" s="80"/>
      <c r="BH532" s="80"/>
      <c r="BI532" s="80"/>
      <c r="BJ532" s="80"/>
      <c r="BK532" s="80"/>
      <c r="BL532" s="80"/>
      <c r="BM532" s="80"/>
      <c r="BN532" s="80"/>
      <c r="BO532" s="80"/>
      <c r="BP532" s="80"/>
      <c r="BQ532" s="80"/>
      <c r="BR532" s="80"/>
      <c r="BS532" s="80"/>
      <c r="BT532" s="80"/>
      <c r="BU532" s="80"/>
    </row>
    <row r="533" spans="15:73"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  <c r="AA533" s="80"/>
      <c r="AB533" s="80"/>
      <c r="AC533" s="80"/>
      <c r="AD533" s="80"/>
      <c r="AE533" s="80"/>
      <c r="AF533" s="80"/>
      <c r="AG533" s="80"/>
      <c r="AH533" s="80"/>
      <c r="AI533" s="80"/>
      <c r="AJ533" s="80"/>
      <c r="AK533" s="80"/>
      <c r="AL533" s="80"/>
      <c r="AM533" s="80"/>
      <c r="AN533" s="80"/>
      <c r="AO533" s="80"/>
      <c r="AP533" s="80"/>
      <c r="AQ533" s="80"/>
      <c r="AR533" s="80"/>
      <c r="AS533" s="80"/>
      <c r="AT533" s="80"/>
      <c r="AU533" s="80"/>
      <c r="AV533" s="80"/>
      <c r="AW533" s="80"/>
      <c r="AX533" s="80"/>
      <c r="AY533" s="80"/>
      <c r="AZ533" s="80"/>
      <c r="BA533" s="80"/>
      <c r="BB533" s="80"/>
      <c r="BC533" s="80"/>
      <c r="BD533" s="80"/>
      <c r="BE533" s="80"/>
      <c r="BF533" s="80"/>
      <c r="BG533" s="80"/>
      <c r="BH533" s="80"/>
      <c r="BI533" s="80"/>
      <c r="BJ533" s="80"/>
      <c r="BK533" s="80"/>
      <c r="BL533" s="80"/>
      <c r="BM533" s="80"/>
      <c r="BN533" s="80"/>
      <c r="BO533" s="80"/>
      <c r="BP533" s="80"/>
      <c r="BQ533" s="80"/>
      <c r="BR533" s="80"/>
      <c r="BS533" s="80"/>
      <c r="BT533" s="80"/>
      <c r="BU533" s="80"/>
    </row>
    <row r="534" spans="15:73"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  <c r="AA534" s="80"/>
      <c r="AB534" s="80"/>
      <c r="AC534" s="80"/>
      <c r="AD534" s="80"/>
      <c r="AE534" s="80"/>
      <c r="AF534" s="80"/>
      <c r="AG534" s="80"/>
      <c r="AH534" s="80"/>
      <c r="AI534" s="80"/>
      <c r="AJ534" s="80"/>
      <c r="AK534" s="80"/>
      <c r="AL534" s="80"/>
      <c r="AM534" s="80"/>
      <c r="AN534" s="80"/>
      <c r="AO534" s="80"/>
      <c r="AP534" s="80"/>
      <c r="AQ534" s="80"/>
      <c r="AR534" s="80"/>
      <c r="AS534" s="80"/>
      <c r="AT534" s="80"/>
      <c r="AU534" s="80"/>
      <c r="AV534" s="80"/>
      <c r="AW534" s="80"/>
      <c r="AX534" s="80"/>
      <c r="AY534" s="80"/>
      <c r="AZ534" s="80"/>
      <c r="BA534" s="80"/>
      <c r="BB534" s="80"/>
      <c r="BC534" s="80"/>
      <c r="BD534" s="80"/>
      <c r="BE534" s="80"/>
      <c r="BF534" s="80"/>
      <c r="BG534" s="80"/>
      <c r="BH534" s="80"/>
      <c r="BI534" s="80"/>
      <c r="BJ534" s="80"/>
      <c r="BK534" s="80"/>
      <c r="BL534" s="80"/>
      <c r="BM534" s="80"/>
      <c r="BN534" s="80"/>
      <c r="BO534" s="80"/>
      <c r="BP534" s="80"/>
      <c r="BQ534" s="80"/>
      <c r="BR534" s="80"/>
      <c r="BS534" s="80"/>
      <c r="BT534" s="80"/>
      <c r="BU534" s="80"/>
    </row>
    <row r="535" spans="15:73"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  <c r="AA535" s="80"/>
      <c r="AB535" s="80"/>
      <c r="AC535" s="80"/>
      <c r="AD535" s="80"/>
      <c r="AE535" s="80"/>
      <c r="AF535" s="80"/>
      <c r="AG535" s="80"/>
      <c r="AH535" s="80"/>
      <c r="AI535" s="80"/>
      <c r="AJ535" s="80"/>
      <c r="AK535" s="80"/>
      <c r="AL535" s="80"/>
      <c r="AM535" s="80"/>
      <c r="AN535" s="80"/>
      <c r="AO535" s="80"/>
      <c r="AP535" s="80"/>
      <c r="AQ535" s="80"/>
      <c r="AR535" s="80"/>
      <c r="AS535" s="80"/>
      <c r="AT535" s="80"/>
      <c r="AU535" s="80"/>
      <c r="AV535" s="80"/>
      <c r="AW535" s="80"/>
      <c r="AX535" s="80"/>
      <c r="AY535" s="80"/>
      <c r="AZ535" s="80"/>
      <c r="BA535" s="80"/>
      <c r="BB535" s="80"/>
      <c r="BC535" s="80"/>
      <c r="BD535" s="80"/>
      <c r="BE535" s="80"/>
      <c r="BF535" s="80"/>
      <c r="BG535" s="80"/>
      <c r="BH535" s="80"/>
      <c r="BI535" s="80"/>
      <c r="BJ535" s="80"/>
      <c r="BK535" s="80"/>
      <c r="BL535" s="80"/>
      <c r="BM535" s="80"/>
      <c r="BN535" s="80"/>
      <c r="BO535" s="80"/>
      <c r="BP535" s="80"/>
      <c r="BQ535" s="80"/>
      <c r="BR535" s="80"/>
      <c r="BS535" s="80"/>
      <c r="BT535" s="80"/>
      <c r="BU535" s="80"/>
    </row>
    <row r="536" spans="15:73"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  <c r="AA536" s="80"/>
      <c r="AB536" s="80"/>
      <c r="AC536" s="80"/>
      <c r="AD536" s="80"/>
      <c r="AE536" s="80"/>
      <c r="AF536" s="80"/>
      <c r="AG536" s="80"/>
      <c r="AH536" s="80"/>
      <c r="AI536" s="80"/>
      <c r="AJ536" s="80"/>
      <c r="AK536" s="80"/>
      <c r="AL536" s="80"/>
      <c r="AM536" s="80"/>
      <c r="AN536" s="80"/>
      <c r="AO536" s="80"/>
      <c r="AP536" s="80"/>
      <c r="AQ536" s="80"/>
      <c r="AR536" s="80"/>
      <c r="AS536" s="80"/>
      <c r="AT536" s="80"/>
      <c r="AU536" s="80"/>
      <c r="AV536" s="80"/>
      <c r="AW536" s="80"/>
      <c r="AX536" s="80"/>
      <c r="AY536" s="80"/>
      <c r="AZ536" s="80"/>
      <c r="BA536" s="80"/>
      <c r="BB536" s="80"/>
      <c r="BC536" s="80"/>
      <c r="BD536" s="80"/>
      <c r="BE536" s="80"/>
      <c r="BF536" s="80"/>
      <c r="BG536" s="80"/>
      <c r="BH536" s="80"/>
      <c r="BI536" s="80"/>
      <c r="BJ536" s="80"/>
      <c r="BK536" s="80"/>
      <c r="BL536" s="80"/>
      <c r="BM536" s="80"/>
      <c r="BN536" s="80"/>
      <c r="BO536" s="80"/>
      <c r="BP536" s="80"/>
      <c r="BQ536" s="80"/>
      <c r="BR536" s="80"/>
      <c r="BS536" s="80"/>
      <c r="BT536" s="80"/>
      <c r="BU536" s="80"/>
    </row>
    <row r="537" spans="15:73"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  <c r="AA537" s="80"/>
      <c r="AB537" s="80"/>
      <c r="AC537" s="80"/>
      <c r="AD537" s="80"/>
      <c r="AE537" s="80"/>
      <c r="AF537" s="80"/>
      <c r="AG537" s="80"/>
      <c r="AH537" s="80"/>
      <c r="AI537" s="80"/>
      <c r="AJ537" s="80"/>
      <c r="AK537" s="80"/>
      <c r="AL537" s="80"/>
      <c r="AM537" s="80"/>
      <c r="AN537" s="80"/>
      <c r="AO537" s="80"/>
      <c r="AP537" s="80"/>
      <c r="AQ537" s="80"/>
      <c r="AR537" s="80"/>
      <c r="AS537" s="80"/>
      <c r="AT537" s="80"/>
      <c r="AU537" s="80"/>
      <c r="AV537" s="80"/>
      <c r="AW537" s="80"/>
      <c r="AX537" s="80"/>
      <c r="AY537" s="80"/>
      <c r="AZ537" s="80"/>
      <c r="BA537" s="80"/>
      <c r="BB537" s="80"/>
      <c r="BC537" s="80"/>
      <c r="BD537" s="80"/>
      <c r="BE537" s="80"/>
      <c r="BF537" s="80"/>
      <c r="BG537" s="80"/>
      <c r="BH537" s="80"/>
      <c r="BI537" s="80"/>
      <c r="BJ537" s="80"/>
      <c r="BK537" s="80"/>
      <c r="BL537" s="80"/>
      <c r="BM537" s="80"/>
      <c r="BN537" s="80"/>
      <c r="BO537" s="80"/>
      <c r="BP537" s="80"/>
      <c r="BQ537" s="80"/>
      <c r="BR537" s="80"/>
      <c r="BS537" s="80"/>
      <c r="BT537" s="80"/>
      <c r="BU537" s="80"/>
    </row>
    <row r="538" spans="15:73"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  <c r="AA538" s="80"/>
      <c r="AB538" s="80"/>
      <c r="AC538" s="80"/>
      <c r="AD538" s="80"/>
      <c r="AE538" s="80"/>
      <c r="AF538" s="80"/>
      <c r="AG538" s="80"/>
      <c r="AH538" s="80"/>
      <c r="AI538" s="80"/>
      <c r="AJ538" s="80"/>
      <c r="AK538" s="80"/>
      <c r="AL538" s="80"/>
      <c r="AM538" s="80"/>
      <c r="AN538" s="80"/>
      <c r="AO538" s="80"/>
      <c r="AP538" s="80"/>
      <c r="AQ538" s="80"/>
      <c r="AR538" s="80"/>
      <c r="AS538" s="80"/>
      <c r="AT538" s="80"/>
      <c r="AU538" s="80"/>
      <c r="AV538" s="80"/>
      <c r="AW538" s="80"/>
      <c r="AX538" s="80"/>
      <c r="AY538" s="80"/>
      <c r="AZ538" s="80"/>
      <c r="BA538" s="80"/>
      <c r="BB538" s="80"/>
      <c r="BC538" s="80"/>
      <c r="BD538" s="80"/>
      <c r="BE538" s="80"/>
      <c r="BF538" s="80"/>
      <c r="BG538" s="80"/>
      <c r="BH538" s="80"/>
      <c r="BI538" s="80"/>
      <c r="BJ538" s="80"/>
      <c r="BK538" s="80"/>
      <c r="BL538" s="80"/>
      <c r="BM538" s="80"/>
      <c r="BN538" s="80"/>
      <c r="BO538" s="80"/>
      <c r="BP538" s="80"/>
      <c r="BQ538" s="80"/>
      <c r="BR538" s="80"/>
      <c r="BS538" s="80"/>
      <c r="BT538" s="80"/>
      <c r="BU538" s="80"/>
    </row>
    <row r="539" spans="15:73"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  <c r="AA539" s="80"/>
      <c r="AB539" s="80"/>
      <c r="AC539" s="80"/>
      <c r="AD539" s="80"/>
      <c r="AE539" s="80"/>
      <c r="AF539" s="80"/>
      <c r="AG539" s="80"/>
      <c r="AH539" s="80"/>
      <c r="AI539" s="80"/>
      <c r="AJ539" s="80"/>
      <c r="AK539" s="80"/>
      <c r="AL539" s="80"/>
      <c r="AM539" s="80"/>
      <c r="AN539" s="80"/>
      <c r="AO539" s="80"/>
      <c r="AP539" s="80"/>
      <c r="AQ539" s="80"/>
      <c r="AR539" s="80"/>
      <c r="AS539" s="80"/>
      <c r="AT539" s="80"/>
      <c r="AU539" s="80"/>
      <c r="AV539" s="80"/>
      <c r="AW539" s="80"/>
      <c r="AX539" s="80"/>
      <c r="AY539" s="80"/>
      <c r="AZ539" s="80"/>
      <c r="BA539" s="80"/>
      <c r="BB539" s="80"/>
      <c r="BC539" s="80"/>
      <c r="BD539" s="80"/>
      <c r="BE539" s="80"/>
      <c r="BF539" s="80"/>
      <c r="BG539" s="80"/>
      <c r="BH539" s="80"/>
      <c r="BI539" s="80"/>
      <c r="BJ539" s="80"/>
      <c r="BK539" s="80"/>
      <c r="BL539" s="80"/>
      <c r="BM539" s="80"/>
      <c r="BN539" s="80"/>
      <c r="BO539" s="80"/>
      <c r="BP539" s="80"/>
      <c r="BQ539" s="80"/>
      <c r="BR539" s="80"/>
      <c r="BS539" s="80"/>
      <c r="BT539" s="80"/>
      <c r="BU539" s="80"/>
    </row>
    <row r="540" spans="15:73"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  <c r="AA540" s="80"/>
      <c r="AB540" s="80"/>
      <c r="AC540" s="80"/>
      <c r="AD540" s="80"/>
      <c r="AE540" s="80"/>
      <c r="AF540" s="80"/>
      <c r="AG540" s="80"/>
      <c r="AH540" s="80"/>
      <c r="AI540" s="80"/>
      <c r="AJ540" s="80"/>
      <c r="AK540" s="80"/>
      <c r="AL540" s="80"/>
      <c r="AM540" s="80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80"/>
      <c r="AY540" s="80"/>
      <c r="AZ540" s="80"/>
      <c r="BA540" s="80"/>
      <c r="BB540" s="80"/>
      <c r="BC540" s="80"/>
      <c r="BD540" s="80"/>
      <c r="BE540" s="80"/>
      <c r="BF540" s="80"/>
      <c r="BG540" s="80"/>
      <c r="BH540" s="80"/>
      <c r="BI540" s="80"/>
      <c r="BJ540" s="80"/>
      <c r="BK540" s="80"/>
      <c r="BL540" s="80"/>
      <c r="BM540" s="80"/>
      <c r="BN540" s="80"/>
      <c r="BO540" s="80"/>
      <c r="BP540" s="80"/>
      <c r="BQ540" s="80"/>
      <c r="BR540" s="80"/>
      <c r="BS540" s="80"/>
      <c r="BT540" s="80"/>
      <c r="BU540" s="80"/>
    </row>
    <row r="541" spans="15:73"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  <c r="AA541" s="80"/>
      <c r="AB541" s="80"/>
      <c r="AC541" s="80"/>
      <c r="AD541" s="80"/>
      <c r="AE541" s="80"/>
      <c r="AF541" s="80"/>
      <c r="AG541" s="80"/>
      <c r="AH541" s="80"/>
      <c r="AI541" s="80"/>
      <c r="AJ541" s="80"/>
      <c r="AK541" s="80"/>
      <c r="AL541" s="80"/>
      <c r="AM541" s="80"/>
      <c r="AN541" s="80"/>
      <c r="AO541" s="80"/>
      <c r="AP541" s="80"/>
      <c r="AQ541" s="80"/>
      <c r="AR541" s="80"/>
      <c r="AS541" s="80"/>
      <c r="AT541" s="80"/>
      <c r="AU541" s="80"/>
      <c r="AV541" s="80"/>
      <c r="AW541" s="80"/>
      <c r="AX541" s="80"/>
      <c r="AY541" s="80"/>
      <c r="AZ541" s="80"/>
      <c r="BA541" s="80"/>
      <c r="BB541" s="80"/>
      <c r="BC541" s="80"/>
      <c r="BD541" s="80"/>
      <c r="BE541" s="80"/>
      <c r="BF541" s="80"/>
      <c r="BG541" s="80"/>
      <c r="BH541" s="80"/>
      <c r="BI541" s="80"/>
      <c r="BJ541" s="80"/>
      <c r="BK541" s="80"/>
      <c r="BL541" s="80"/>
      <c r="BM541" s="80"/>
      <c r="BN541" s="80"/>
      <c r="BO541" s="80"/>
      <c r="BP541" s="80"/>
      <c r="BQ541" s="80"/>
      <c r="BR541" s="80"/>
      <c r="BS541" s="80"/>
      <c r="BT541" s="80"/>
      <c r="BU541" s="80"/>
    </row>
    <row r="542" spans="15:73"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  <c r="AA542" s="80"/>
      <c r="AB542" s="80"/>
      <c r="AC542" s="80"/>
      <c r="AD542" s="80"/>
      <c r="AE542" s="80"/>
      <c r="AF542" s="80"/>
      <c r="AG542" s="80"/>
      <c r="AH542" s="80"/>
      <c r="AI542" s="80"/>
      <c r="AJ542" s="80"/>
      <c r="AK542" s="80"/>
      <c r="AL542" s="80"/>
      <c r="AM542" s="80"/>
      <c r="AN542" s="80"/>
      <c r="AO542" s="80"/>
      <c r="AP542" s="80"/>
      <c r="AQ542" s="80"/>
      <c r="AR542" s="80"/>
      <c r="AS542" s="80"/>
      <c r="AT542" s="80"/>
      <c r="AU542" s="80"/>
      <c r="AV542" s="80"/>
      <c r="AW542" s="80"/>
      <c r="AX542" s="80"/>
      <c r="AY542" s="80"/>
      <c r="AZ542" s="80"/>
      <c r="BA542" s="80"/>
      <c r="BB542" s="80"/>
      <c r="BC542" s="80"/>
      <c r="BD542" s="80"/>
      <c r="BE542" s="80"/>
      <c r="BF542" s="80"/>
      <c r="BG542" s="80"/>
      <c r="BH542" s="80"/>
      <c r="BI542" s="80"/>
      <c r="BJ542" s="80"/>
      <c r="BK542" s="80"/>
      <c r="BL542" s="80"/>
      <c r="BM542" s="80"/>
      <c r="BN542" s="80"/>
      <c r="BO542" s="80"/>
      <c r="BP542" s="80"/>
      <c r="BQ542" s="80"/>
      <c r="BR542" s="80"/>
      <c r="BS542" s="80"/>
      <c r="BT542" s="80"/>
      <c r="BU542" s="80"/>
    </row>
    <row r="543" spans="15:73"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  <c r="AA543" s="80"/>
      <c r="AB543" s="80"/>
      <c r="AC543" s="80"/>
      <c r="AD543" s="80"/>
      <c r="AE543" s="80"/>
      <c r="AF543" s="80"/>
      <c r="AG543" s="80"/>
      <c r="AH543" s="80"/>
      <c r="AI543" s="80"/>
      <c r="AJ543" s="80"/>
      <c r="AK543" s="80"/>
      <c r="AL543" s="80"/>
      <c r="AM543" s="80"/>
      <c r="AN543" s="80"/>
      <c r="AO543" s="80"/>
      <c r="AP543" s="80"/>
      <c r="AQ543" s="80"/>
      <c r="AR543" s="80"/>
      <c r="AS543" s="80"/>
      <c r="AT543" s="80"/>
      <c r="AU543" s="80"/>
      <c r="AV543" s="80"/>
      <c r="AW543" s="80"/>
      <c r="AX543" s="80"/>
      <c r="AY543" s="80"/>
      <c r="AZ543" s="80"/>
      <c r="BA543" s="80"/>
      <c r="BB543" s="80"/>
      <c r="BC543" s="80"/>
      <c r="BD543" s="80"/>
      <c r="BE543" s="80"/>
      <c r="BF543" s="80"/>
      <c r="BG543" s="80"/>
      <c r="BH543" s="80"/>
      <c r="BI543" s="80"/>
      <c r="BJ543" s="80"/>
      <c r="BK543" s="80"/>
      <c r="BL543" s="80"/>
      <c r="BM543" s="80"/>
      <c r="BN543" s="80"/>
      <c r="BO543" s="80"/>
      <c r="BP543" s="80"/>
      <c r="BQ543" s="80"/>
      <c r="BR543" s="80"/>
      <c r="BS543" s="80"/>
      <c r="BT543" s="80"/>
      <c r="BU543" s="80"/>
    </row>
    <row r="544" spans="15:73"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  <c r="AA544" s="80"/>
      <c r="AB544" s="80"/>
      <c r="AC544" s="80"/>
      <c r="AD544" s="80"/>
      <c r="AE544" s="80"/>
      <c r="AF544" s="80"/>
      <c r="AG544" s="80"/>
      <c r="AH544" s="80"/>
      <c r="AI544" s="80"/>
      <c r="AJ544" s="80"/>
      <c r="AK544" s="80"/>
      <c r="AL544" s="80"/>
      <c r="AM544" s="80"/>
      <c r="AN544" s="80"/>
      <c r="AO544" s="80"/>
      <c r="AP544" s="80"/>
      <c r="AQ544" s="80"/>
      <c r="AR544" s="80"/>
      <c r="AS544" s="80"/>
      <c r="AT544" s="80"/>
      <c r="AU544" s="80"/>
      <c r="AV544" s="80"/>
      <c r="AW544" s="80"/>
      <c r="AX544" s="80"/>
      <c r="AY544" s="80"/>
      <c r="AZ544" s="80"/>
      <c r="BA544" s="80"/>
      <c r="BB544" s="80"/>
      <c r="BC544" s="80"/>
      <c r="BD544" s="80"/>
      <c r="BE544" s="80"/>
      <c r="BF544" s="80"/>
      <c r="BG544" s="80"/>
      <c r="BH544" s="80"/>
      <c r="BI544" s="80"/>
      <c r="BJ544" s="80"/>
      <c r="BK544" s="80"/>
      <c r="BL544" s="80"/>
      <c r="BM544" s="80"/>
      <c r="BN544" s="80"/>
      <c r="BO544" s="80"/>
      <c r="BP544" s="80"/>
      <c r="BQ544" s="80"/>
      <c r="BR544" s="80"/>
      <c r="BS544" s="80"/>
      <c r="BT544" s="80"/>
      <c r="BU544" s="80"/>
    </row>
    <row r="545" spans="15:73"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  <c r="AA545" s="80"/>
      <c r="AB545" s="80"/>
      <c r="AC545" s="80"/>
      <c r="AD545" s="80"/>
      <c r="AE545" s="80"/>
      <c r="AF545" s="80"/>
      <c r="AG545" s="80"/>
      <c r="AH545" s="80"/>
      <c r="AI545" s="80"/>
      <c r="AJ545" s="80"/>
      <c r="AK545" s="80"/>
      <c r="AL545" s="80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80"/>
      <c r="AY545" s="80"/>
      <c r="AZ545" s="80"/>
      <c r="BA545" s="80"/>
      <c r="BB545" s="80"/>
      <c r="BC545" s="80"/>
      <c r="BD545" s="80"/>
      <c r="BE545" s="80"/>
      <c r="BF545" s="80"/>
      <c r="BG545" s="80"/>
      <c r="BH545" s="80"/>
      <c r="BI545" s="80"/>
      <c r="BJ545" s="80"/>
      <c r="BK545" s="80"/>
      <c r="BL545" s="80"/>
      <c r="BM545" s="80"/>
      <c r="BN545" s="80"/>
      <c r="BO545" s="80"/>
      <c r="BP545" s="80"/>
      <c r="BQ545" s="80"/>
      <c r="BR545" s="80"/>
      <c r="BS545" s="80"/>
      <c r="BT545" s="80"/>
      <c r="BU545" s="80"/>
    </row>
    <row r="546" spans="15:73"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  <c r="AA546" s="80"/>
      <c r="AB546" s="80"/>
      <c r="AC546" s="80"/>
      <c r="AD546" s="80"/>
      <c r="AE546" s="80"/>
      <c r="AF546" s="80"/>
      <c r="AG546" s="80"/>
      <c r="AH546" s="80"/>
      <c r="AI546" s="80"/>
      <c r="AJ546" s="80"/>
      <c r="AK546" s="80"/>
      <c r="AL546" s="80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80"/>
      <c r="AY546" s="80"/>
      <c r="AZ546" s="80"/>
      <c r="BA546" s="80"/>
      <c r="BB546" s="80"/>
      <c r="BC546" s="80"/>
      <c r="BD546" s="80"/>
      <c r="BE546" s="80"/>
      <c r="BF546" s="80"/>
      <c r="BG546" s="80"/>
      <c r="BH546" s="80"/>
      <c r="BI546" s="80"/>
      <c r="BJ546" s="80"/>
      <c r="BK546" s="80"/>
      <c r="BL546" s="80"/>
      <c r="BM546" s="80"/>
      <c r="BN546" s="80"/>
      <c r="BO546" s="80"/>
      <c r="BP546" s="80"/>
      <c r="BQ546" s="80"/>
      <c r="BR546" s="80"/>
      <c r="BS546" s="80"/>
      <c r="BT546" s="80"/>
      <c r="BU546" s="80"/>
    </row>
    <row r="547" spans="15:73"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80"/>
      <c r="AY547" s="80"/>
      <c r="AZ547" s="80"/>
      <c r="BA547" s="80"/>
      <c r="BB547" s="80"/>
      <c r="BC547" s="80"/>
      <c r="BD547" s="80"/>
      <c r="BE547" s="80"/>
      <c r="BF547" s="80"/>
      <c r="BG547" s="80"/>
      <c r="BH547" s="80"/>
      <c r="BI547" s="80"/>
      <c r="BJ547" s="80"/>
      <c r="BK547" s="80"/>
      <c r="BL547" s="80"/>
      <c r="BM547" s="80"/>
      <c r="BN547" s="80"/>
      <c r="BO547" s="80"/>
      <c r="BP547" s="80"/>
      <c r="BQ547" s="80"/>
      <c r="BR547" s="80"/>
      <c r="BS547" s="80"/>
      <c r="BT547" s="80"/>
      <c r="BU547" s="80"/>
    </row>
    <row r="548" spans="15:73"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  <c r="AA548" s="80"/>
      <c r="AB548" s="80"/>
      <c r="AC548" s="80"/>
      <c r="AD548" s="80"/>
      <c r="AE548" s="80"/>
      <c r="AF548" s="80"/>
      <c r="AG548" s="80"/>
      <c r="AH548" s="80"/>
      <c r="AI548" s="80"/>
      <c r="AJ548" s="80"/>
      <c r="AK548" s="80"/>
      <c r="AL548" s="80"/>
      <c r="AM548" s="80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80"/>
      <c r="AY548" s="80"/>
      <c r="AZ548" s="80"/>
      <c r="BA548" s="80"/>
      <c r="BB548" s="80"/>
      <c r="BC548" s="80"/>
      <c r="BD548" s="80"/>
      <c r="BE548" s="80"/>
      <c r="BF548" s="80"/>
      <c r="BG548" s="80"/>
      <c r="BH548" s="80"/>
      <c r="BI548" s="80"/>
      <c r="BJ548" s="80"/>
      <c r="BK548" s="80"/>
      <c r="BL548" s="80"/>
      <c r="BM548" s="80"/>
      <c r="BN548" s="80"/>
      <c r="BO548" s="80"/>
      <c r="BP548" s="80"/>
      <c r="BQ548" s="80"/>
      <c r="BR548" s="80"/>
      <c r="BS548" s="80"/>
      <c r="BT548" s="80"/>
      <c r="BU548" s="80"/>
    </row>
    <row r="549" spans="15:73"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  <c r="AA549" s="80"/>
      <c r="AB549" s="80"/>
      <c r="AC549" s="80"/>
      <c r="AD549" s="80"/>
      <c r="AE549" s="80"/>
      <c r="AF549" s="80"/>
      <c r="AG549" s="80"/>
      <c r="AH549" s="80"/>
      <c r="AI549" s="80"/>
      <c r="AJ549" s="80"/>
      <c r="AK549" s="80"/>
      <c r="AL549" s="80"/>
      <c r="AM549" s="80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80"/>
      <c r="AY549" s="80"/>
      <c r="AZ549" s="80"/>
      <c r="BA549" s="80"/>
      <c r="BB549" s="80"/>
      <c r="BC549" s="80"/>
      <c r="BD549" s="80"/>
      <c r="BE549" s="80"/>
      <c r="BF549" s="80"/>
      <c r="BG549" s="80"/>
      <c r="BH549" s="80"/>
      <c r="BI549" s="80"/>
      <c r="BJ549" s="80"/>
      <c r="BK549" s="80"/>
      <c r="BL549" s="80"/>
      <c r="BM549" s="80"/>
      <c r="BN549" s="80"/>
      <c r="BO549" s="80"/>
      <c r="BP549" s="80"/>
      <c r="BQ549" s="80"/>
      <c r="BR549" s="80"/>
      <c r="BS549" s="80"/>
      <c r="BT549" s="80"/>
      <c r="BU549" s="80"/>
    </row>
    <row r="550" spans="15:73"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  <c r="AA550" s="80"/>
      <c r="AB550" s="80"/>
      <c r="AC550" s="80"/>
      <c r="AD550" s="80"/>
      <c r="AE550" s="80"/>
      <c r="AF550" s="80"/>
      <c r="AG550" s="80"/>
      <c r="AH550" s="80"/>
      <c r="AI550" s="80"/>
      <c r="AJ550" s="80"/>
      <c r="AK550" s="80"/>
      <c r="AL550" s="80"/>
      <c r="AM550" s="80"/>
      <c r="AN550" s="80"/>
      <c r="AO550" s="80"/>
      <c r="AP550" s="80"/>
      <c r="AQ550" s="80"/>
      <c r="AR550" s="80"/>
      <c r="AS550" s="80"/>
      <c r="AT550" s="80"/>
      <c r="AU550" s="80"/>
      <c r="AV550" s="80"/>
      <c r="AW550" s="80"/>
      <c r="AX550" s="80"/>
      <c r="AY550" s="80"/>
      <c r="AZ550" s="80"/>
      <c r="BA550" s="80"/>
      <c r="BB550" s="80"/>
      <c r="BC550" s="80"/>
      <c r="BD550" s="80"/>
      <c r="BE550" s="80"/>
      <c r="BF550" s="80"/>
      <c r="BG550" s="80"/>
      <c r="BH550" s="80"/>
      <c r="BI550" s="80"/>
      <c r="BJ550" s="80"/>
      <c r="BK550" s="80"/>
      <c r="BL550" s="80"/>
      <c r="BM550" s="80"/>
      <c r="BN550" s="80"/>
      <c r="BO550" s="80"/>
      <c r="BP550" s="80"/>
      <c r="BQ550" s="80"/>
      <c r="BR550" s="80"/>
      <c r="BS550" s="80"/>
      <c r="BT550" s="80"/>
      <c r="BU550" s="80"/>
    </row>
    <row r="551" spans="15:73"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  <c r="AA551" s="80"/>
      <c r="AB551" s="80"/>
      <c r="AC551" s="80"/>
      <c r="AD551" s="80"/>
      <c r="AE551" s="80"/>
      <c r="AF551" s="80"/>
      <c r="AG551" s="80"/>
      <c r="AH551" s="80"/>
      <c r="AI551" s="80"/>
      <c r="AJ551" s="80"/>
      <c r="AK551" s="80"/>
      <c r="AL551" s="80"/>
      <c r="AM551" s="80"/>
      <c r="AN551" s="80"/>
      <c r="AO551" s="80"/>
      <c r="AP551" s="80"/>
      <c r="AQ551" s="80"/>
      <c r="AR551" s="80"/>
      <c r="AS551" s="80"/>
      <c r="AT551" s="80"/>
      <c r="AU551" s="80"/>
      <c r="AV551" s="80"/>
      <c r="AW551" s="80"/>
      <c r="AX551" s="80"/>
      <c r="AY551" s="80"/>
      <c r="AZ551" s="80"/>
      <c r="BA551" s="80"/>
      <c r="BB551" s="80"/>
      <c r="BC551" s="80"/>
      <c r="BD551" s="80"/>
      <c r="BE551" s="80"/>
      <c r="BF551" s="80"/>
      <c r="BG551" s="80"/>
      <c r="BH551" s="80"/>
      <c r="BI551" s="80"/>
      <c r="BJ551" s="80"/>
      <c r="BK551" s="80"/>
      <c r="BL551" s="80"/>
      <c r="BM551" s="80"/>
      <c r="BN551" s="80"/>
      <c r="BO551" s="80"/>
      <c r="BP551" s="80"/>
      <c r="BQ551" s="80"/>
      <c r="BR551" s="80"/>
      <c r="BS551" s="80"/>
      <c r="BT551" s="80"/>
      <c r="BU551" s="80"/>
    </row>
    <row r="552" spans="15:73"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  <c r="AA552" s="80"/>
      <c r="AB552" s="80"/>
      <c r="AC552" s="80"/>
      <c r="AD552" s="80"/>
      <c r="AE552" s="80"/>
      <c r="AF552" s="80"/>
      <c r="AG552" s="80"/>
      <c r="AH552" s="80"/>
      <c r="AI552" s="80"/>
      <c r="AJ552" s="80"/>
      <c r="AK552" s="80"/>
      <c r="AL552" s="80"/>
      <c r="AM552" s="80"/>
      <c r="AN552" s="80"/>
      <c r="AO552" s="80"/>
      <c r="AP552" s="80"/>
      <c r="AQ552" s="80"/>
      <c r="AR552" s="80"/>
      <c r="AS552" s="80"/>
      <c r="AT552" s="80"/>
      <c r="AU552" s="80"/>
      <c r="AV552" s="80"/>
      <c r="AW552" s="80"/>
      <c r="AX552" s="80"/>
      <c r="AY552" s="80"/>
      <c r="AZ552" s="80"/>
      <c r="BA552" s="80"/>
      <c r="BB552" s="80"/>
      <c r="BC552" s="80"/>
      <c r="BD552" s="80"/>
      <c r="BE552" s="80"/>
      <c r="BF552" s="80"/>
      <c r="BG552" s="80"/>
      <c r="BH552" s="80"/>
      <c r="BI552" s="80"/>
      <c r="BJ552" s="80"/>
      <c r="BK552" s="80"/>
      <c r="BL552" s="80"/>
      <c r="BM552" s="80"/>
      <c r="BN552" s="80"/>
      <c r="BO552" s="80"/>
      <c r="BP552" s="80"/>
      <c r="BQ552" s="80"/>
      <c r="BR552" s="80"/>
      <c r="BS552" s="80"/>
      <c r="BT552" s="80"/>
      <c r="BU552" s="80"/>
    </row>
    <row r="553" spans="15:73"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  <c r="AA553" s="80"/>
      <c r="AB553" s="80"/>
      <c r="AC553" s="80"/>
      <c r="AD553" s="80"/>
      <c r="AE553" s="80"/>
      <c r="AF553" s="80"/>
      <c r="AG553" s="80"/>
      <c r="AH553" s="80"/>
      <c r="AI553" s="80"/>
      <c r="AJ553" s="80"/>
      <c r="AK553" s="80"/>
      <c r="AL553" s="80"/>
      <c r="AM553" s="80"/>
      <c r="AN553" s="80"/>
      <c r="AO553" s="80"/>
      <c r="AP553" s="80"/>
      <c r="AQ553" s="80"/>
      <c r="AR553" s="80"/>
      <c r="AS553" s="80"/>
      <c r="AT553" s="80"/>
      <c r="AU553" s="80"/>
      <c r="AV553" s="80"/>
      <c r="AW553" s="80"/>
      <c r="AX553" s="80"/>
      <c r="AY553" s="80"/>
      <c r="AZ553" s="80"/>
      <c r="BA553" s="80"/>
      <c r="BB553" s="80"/>
      <c r="BC553" s="80"/>
      <c r="BD553" s="80"/>
      <c r="BE553" s="80"/>
      <c r="BF553" s="80"/>
      <c r="BG553" s="80"/>
      <c r="BH553" s="80"/>
      <c r="BI553" s="80"/>
      <c r="BJ553" s="80"/>
      <c r="BK553" s="80"/>
      <c r="BL553" s="80"/>
      <c r="BM553" s="80"/>
      <c r="BN553" s="80"/>
      <c r="BO553" s="80"/>
      <c r="BP553" s="80"/>
      <c r="BQ553" s="80"/>
      <c r="BR553" s="80"/>
      <c r="BS553" s="80"/>
      <c r="BT553" s="80"/>
      <c r="BU553" s="80"/>
    </row>
    <row r="554" spans="15:73"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  <c r="AA554" s="80"/>
      <c r="AB554" s="80"/>
      <c r="AC554" s="80"/>
      <c r="AD554" s="80"/>
      <c r="AE554" s="80"/>
      <c r="AF554" s="80"/>
      <c r="AG554" s="80"/>
      <c r="AH554" s="80"/>
      <c r="AI554" s="80"/>
      <c r="AJ554" s="80"/>
      <c r="AK554" s="80"/>
      <c r="AL554" s="80"/>
      <c r="AM554" s="80"/>
      <c r="AN554" s="80"/>
      <c r="AO554" s="80"/>
      <c r="AP554" s="80"/>
      <c r="AQ554" s="80"/>
      <c r="AR554" s="80"/>
      <c r="AS554" s="80"/>
      <c r="AT554" s="80"/>
      <c r="AU554" s="80"/>
      <c r="AV554" s="80"/>
      <c r="AW554" s="80"/>
      <c r="AX554" s="80"/>
      <c r="AY554" s="80"/>
      <c r="AZ554" s="80"/>
      <c r="BA554" s="80"/>
      <c r="BB554" s="80"/>
      <c r="BC554" s="80"/>
      <c r="BD554" s="80"/>
      <c r="BE554" s="80"/>
      <c r="BF554" s="80"/>
      <c r="BG554" s="80"/>
      <c r="BH554" s="80"/>
      <c r="BI554" s="80"/>
      <c r="BJ554" s="80"/>
      <c r="BK554" s="80"/>
      <c r="BL554" s="80"/>
      <c r="BM554" s="80"/>
      <c r="BN554" s="80"/>
      <c r="BO554" s="80"/>
      <c r="BP554" s="80"/>
      <c r="BQ554" s="80"/>
      <c r="BR554" s="80"/>
      <c r="BS554" s="80"/>
      <c r="BT554" s="80"/>
      <c r="BU554" s="80"/>
    </row>
    <row r="555" spans="15:73"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  <c r="AA555" s="80"/>
      <c r="AB555" s="80"/>
      <c r="AC555" s="80"/>
      <c r="AD555" s="80"/>
      <c r="AE555" s="80"/>
      <c r="AF555" s="80"/>
      <c r="AG555" s="80"/>
      <c r="AH555" s="80"/>
      <c r="AI555" s="80"/>
      <c r="AJ555" s="80"/>
      <c r="AK555" s="80"/>
      <c r="AL555" s="80"/>
      <c r="AM555" s="80"/>
      <c r="AN555" s="80"/>
      <c r="AO555" s="80"/>
      <c r="AP555" s="80"/>
      <c r="AQ555" s="80"/>
      <c r="AR555" s="80"/>
      <c r="AS555" s="80"/>
      <c r="AT555" s="80"/>
      <c r="AU555" s="80"/>
      <c r="AV555" s="80"/>
      <c r="AW555" s="80"/>
      <c r="AX555" s="80"/>
      <c r="AY555" s="80"/>
      <c r="AZ555" s="80"/>
      <c r="BA555" s="80"/>
      <c r="BB555" s="80"/>
      <c r="BC555" s="80"/>
      <c r="BD555" s="80"/>
      <c r="BE555" s="80"/>
      <c r="BF555" s="80"/>
      <c r="BG555" s="80"/>
      <c r="BH555" s="80"/>
      <c r="BI555" s="80"/>
      <c r="BJ555" s="80"/>
      <c r="BK555" s="80"/>
      <c r="BL555" s="80"/>
      <c r="BM555" s="80"/>
      <c r="BN555" s="80"/>
      <c r="BO555" s="80"/>
      <c r="BP555" s="80"/>
      <c r="BQ555" s="80"/>
      <c r="BR555" s="80"/>
      <c r="BS555" s="80"/>
      <c r="BT555" s="80"/>
      <c r="BU555" s="80"/>
    </row>
    <row r="556" spans="15:73"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80"/>
      <c r="AP556" s="80"/>
      <c r="AQ556" s="80"/>
      <c r="AR556" s="80"/>
      <c r="AS556" s="80"/>
      <c r="AT556" s="80"/>
      <c r="AU556" s="80"/>
      <c r="AV556" s="80"/>
      <c r="AW556" s="80"/>
      <c r="AX556" s="80"/>
      <c r="AY556" s="80"/>
      <c r="AZ556" s="80"/>
      <c r="BA556" s="80"/>
      <c r="BB556" s="80"/>
      <c r="BC556" s="80"/>
      <c r="BD556" s="80"/>
      <c r="BE556" s="80"/>
      <c r="BF556" s="80"/>
      <c r="BG556" s="80"/>
      <c r="BH556" s="80"/>
      <c r="BI556" s="80"/>
      <c r="BJ556" s="80"/>
      <c r="BK556" s="80"/>
      <c r="BL556" s="80"/>
      <c r="BM556" s="80"/>
      <c r="BN556" s="80"/>
      <c r="BO556" s="80"/>
      <c r="BP556" s="80"/>
      <c r="BQ556" s="80"/>
      <c r="BR556" s="80"/>
      <c r="BS556" s="80"/>
      <c r="BT556" s="80"/>
      <c r="BU556" s="80"/>
    </row>
    <row r="557" spans="15:73"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80"/>
      <c r="AY557" s="80"/>
      <c r="AZ557" s="80"/>
      <c r="BA557" s="80"/>
      <c r="BB557" s="80"/>
      <c r="BC557" s="80"/>
      <c r="BD557" s="80"/>
      <c r="BE557" s="80"/>
      <c r="BF557" s="80"/>
      <c r="BG557" s="80"/>
      <c r="BH557" s="80"/>
      <c r="BI557" s="80"/>
      <c r="BJ557" s="80"/>
      <c r="BK557" s="80"/>
      <c r="BL557" s="80"/>
      <c r="BM557" s="80"/>
      <c r="BN557" s="80"/>
      <c r="BO557" s="80"/>
      <c r="BP557" s="80"/>
      <c r="BQ557" s="80"/>
      <c r="BR557" s="80"/>
      <c r="BS557" s="80"/>
      <c r="BT557" s="80"/>
      <c r="BU557" s="80"/>
    </row>
    <row r="558" spans="15:73"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80"/>
      <c r="AY558" s="80"/>
      <c r="AZ558" s="80"/>
      <c r="BA558" s="80"/>
      <c r="BB558" s="80"/>
      <c r="BC558" s="80"/>
      <c r="BD558" s="80"/>
      <c r="BE558" s="80"/>
      <c r="BF558" s="80"/>
      <c r="BG558" s="80"/>
      <c r="BH558" s="80"/>
      <c r="BI558" s="80"/>
      <c r="BJ558" s="80"/>
      <c r="BK558" s="80"/>
      <c r="BL558" s="80"/>
      <c r="BM558" s="80"/>
      <c r="BN558" s="80"/>
      <c r="BO558" s="80"/>
      <c r="BP558" s="80"/>
      <c r="BQ558" s="80"/>
      <c r="BR558" s="80"/>
      <c r="BS558" s="80"/>
      <c r="BT558" s="80"/>
      <c r="BU558" s="80"/>
    </row>
  </sheetData>
  <dataConsolidate/>
  <phoneticPr fontId="61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6"/>
  <sheetViews>
    <sheetView showGridLines="0" zoomScale="70" zoomScaleNormal="70" workbookViewId="0">
      <selection activeCell="H26" sqref="H26:H34"/>
    </sheetView>
  </sheetViews>
  <sheetFormatPr defaultColWidth="9.28515625" defaultRowHeight="12.75"/>
  <cols>
    <col min="1" max="1" width="16" customWidth="1"/>
    <col min="2" max="2" width="12.42578125" bestFit="1" customWidth="1"/>
    <col min="3" max="3" width="14.7109375" bestFit="1" customWidth="1"/>
    <col min="4" max="4" width="12" bestFit="1" customWidth="1"/>
    <col min="5" max="5" width="13.42578125" bestFit="1" customWidth="1"/>
    <col min="6" max="6" width="6.85546875" customWidth="1"/>
    <col min="7" max="7" width="14.42578125" bestFit="1" customWidth="1"/>
    <col min="8" max="8" width="15.42578125" bestFit="1" customWidth="1"/>
    <col min="9" max="9" width="13.42578125" bestFit="1" customWidth="1"/>
    <col min="10" max="10" width="10.5703125" customWidth="1"/>
    <col min="11" max="11" width="13.5703125" customWidth="1"/>
    <col min="12" max="12" width="11.5703125" bestFit="1" customWidth="1"/>
    <col min="13" max="13" width="14.7109375" customWidth="1"/>
    <col min="14" max="14" width="15.28515625" customWidth="1"/>
  </cols>
  <sheetData>
    <row r="1" spans="1:16" ht="14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4.25">
      <c r="A2" s="15"/>
      <c r="B2" s="216" t="s">
        <v>58</v>
      </c>
      <c r="C2" s="216"/>
      <c r="D2" s="216"/>
      <c r="E2" s="216"/>
      <c r="F2" s="15"/>
      <c r="G2" s="216" t="s">
        <v>59</v>
      </c>
      <c r="H2" s="216"/>
      <c r="I2" s="216"/>
      <c r="J2" s="15"/>
    </row>
    <row r="3" spans="1:16" ht="14.25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4.25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25">
      <c r="A5" s="15"/>
      <c r="B5" s="217" t="s">
        <v>67</v>
      </c>
      <c r="C5" s="217"/>
      <c r="D5" s="217"/>
      <c r="E5" s="217"/>
      <c r="F5" s="217"/>
      <c r="G5" s="217"/>
      <c r="H5" s="217"/>
      <c r="I5" s="217"/>
      <c r="J5" s="217"/>
    </row>
    <row r="6" spans="1:16" ht="14.25">
      <c r="A6" s="15" t="s">
        <v>35</v>
      </c>
      <c r="B6" s="167">
        <v>370.89100000000002</v>
      </c>
      <c r="C6" s="37">
        <f>C23</f>
        <v>54106.152000000002</v>
      </c>
      <c r="D6" s="37">
        <f>D23</f>
        <v>687.19162825499996</v>
      </c>
      <c r="E6" s="112">
        <f>SUM(B6:D6)</f>
        <v>55164.234628255006</v>
      </c>
      <c r="F6" s="37"/>
      <c r="G6" s="37">
        <f>E6-H6-J6</f>
        <v>38656.549049055007</v>
      </c>
      <c r="H6" s="168">
        <f>H23</f>
        <v>16054.395579199998</v>
      </c>
      <c r="I6" s="37">
        <f>E6-J6</f>
        <v>54710.944628255005</v>
      </c>
      <c r="J6" s="37">
        <f>J22</f>
        <v>453.29</v>
      </c>
      <c r="K6" s="83"/>
      <c r="L6" s="122"/>
      <c r="M6" s="92"/>
    </row>
    <row r="7" spans="1:16" ht="16.5">
      <c r="A7" s="15" t="s">
        <v>36</v>
      </c>
      <c r="B7" s="167">
        <f>J6</f>
        <v>453.29</v>
      </c>
      <c r="C7" s="37">
        <v>57796.639999999999</v>
      </c>
      <c r="D7" s="37">
        <v>725</v>
      </c>
      <c r="E7" s="112">
        <f>SUM(B7:D7)</f>
        <v>58974.93</v>
      </c>
      <c r="F7" s="37"/>
      <c r="G7" s="37">
        <v>40625</v>
      </c>
      <c r="H7" s="168">
        <v>17900</v>
      </c>
      <c r="I7" s="37">
        <f>SUM(G7:H7)</f>
        <v>58525</v>
      </c>
      <c r="J7" s="37">
        <f>E7-I7</f>
        <v>449.93000000000029</v>
      </c>
      <c r="K7" s="83"/>
      <c r="L7" s="122"/>
    </row>
    <row r="8" spans="1:16" ht="16.5">
      <c r="A8" s="15" t="s">
        <v>37</v>
      </c>
      <c r="B8" s="167">
        <f>J7</f>
        <v>449.93000000000029</v>
      </c>
      <c r="C8" s="37">
        <v>59850</v>
      </c>
      <c r="D8" s="37">
        <v>650</v>
      </c>
      <c r="E8" s="112">
        <f>SUM(B8:D8)</f>
        <v>60949.93</v>
      </c>
      <c r="F8" s="37"/>
      <c r="G8" s="37">
        <v>41775</v>
      </c>
      <c r="H8" s="168">
        <v>18700</v>
      </c>
      <c r="I8" s="37">
        <f>SUM(G8:H8)</f>
        <v>60475</v>
      </c>
      <c r="J8" s="37">
        <f>E8-I8</f>
        <v>474.93000000000029</v>
      </c>
      <c r="L8" s="122"/>
    </row>
    <row r="9" spans="1:16" ht="14.25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5">
      <c r="A10" s="30" t="s">
        <v>35</v>
      </c>
      <c r="B10" s="39"/>
      <c r="C10" s="6"/>
      <c r="D10" s="6"/>
      <c r="E10" s="6"/>
      <c r="F10" s="6"/>
      <c r="G10" s="6"/>
      <c r="H10" s="6"/>
      <c r="I10" s="6"/>
      <c r="J10" s="6"/>
      <c r="M10" s="214"/>
      <c r="N10" s="34"/>
    </row>
    <row r="11" spans="1:16" ht="14.25">
      <c r="A11" s="15" t="s">
        <v>39</v>
      </c>
      <c r="B11" s="101">
        <v>370.89100000000002</v>
      </c>
      <c r="C11" s="102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5">
        <f t="shared" ref="I11:I20" si="2">E11-J11</f>
        <v>4822.5225635819997</v>
      </c>
      <c r="J11" s="102">
        <v>334.63900000000001</v>
      </c>
      <c r="K11" s="81"/>
      <c r="M11" s="214"/>
      <c r="N11" s="34"/>
      <c r="P11" s="34"/>
    </row>
    <row r="12" spans="1:16" ht="14.25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(48399.9*1.10231)/1000</f>
        <v>53.351693769000001</v>
      </c>
      <c r="E12" s="6">
        <f t="shared" si="0"/>
        <v>5094.1986937689999</v>
      </c>
      <c r="F12" s="6"/>
      <c r="G12" s="6">
        <f t="shared" si="1"/>
        <v>3279.4650472620001</v>
      </c>
      <c r="H12" s="6">
        <f>(1370119.7*1.10231)/1000</f>
        <v>1510.2966465069999</v>
      </c>
      <c r="I12" s="6">
        <f t="shared" si="2"/>
        <v>4789.761693769</v>
      </c>
      <c r="J12" s="6">
        <v>304.43700000000001</v>
      </c>
      <c r="K12" s="81"/>
      <c r="M12" s="214"/>
      <c r="N12" s="34"/>
      <c r="P12" s="34"/>
    </row>
    <row r="13" spans="1:16" ht="14.25">
      <c r="A13" s="15" t="s">
        <v>42</v>
      </c>
      <c r="B13" s="39">
        <f t="shared" si="3"/>
        <v>304.43700000000001</v>
      </c>
      <c r="C13" s="6">
        <v>4818.3419999999996</v>
      </c>
      <c r="D13" s="99">
        <f>(53119.3*1.10231)/1000</f>
        <v>58.553935582999998</v>
      </c>
      <c r="E13" s="99">
        <f t="shared" si="0"/>
        <v>5181.3329355829992</v>
      </c>
      <c r="F13" s="99"/>
      <c r="G13" s="99">
        <f t="shared" si="1"/>
        <v>3047.0038594659991</v>
      </c>
      <c r="H13" s="99">
        <f>(1481950.7*1.10231)/1000</f>
        <v>1633.5690761169999</v>
      </c>
      <c r="I13" s="99">
        <f t="shared" si="2"/>
        <v>4680.572935582999</v>
      </c>
      <c r="J13" s="6">
        <v>500.76</v>
      </c>
      <c r="K13" s="81"/>
      <c r="M13" s="214"/>
      <c r="N13" s="34"/>
      <c r="P13" s="34"/>
    </row>
    <row r="14" spans="1:16" ht="14.25">
      <c r="A14" s="15" t="s">
        <v>43</v>
      </c>
      <c r="B14" s="39">
        <f t="shared" si="3"/>
        <v>500.76</v>
      </c>
      <c r="C14" s="6">
        <v>4583.558</v>
      </c>
      <c r="D14" s="99">
        <f>(52827.5*1.10231)/1000</f>
        <v>58.232281524999991</v>
      </c>
      <c r="E14" s="99">
        <f t="shared" si="0"/>
        <v>5142.5502815250002</v>
      </c>
      <c r="F14" s="99"/>
      <c r="G14" s="99">
        <f t="shared" si="1"/>
        <v>3337.0070949930005</v>
      </c>
      <c r="H14" s="99">
        <f>(1318297.2*1.10231)/1000</f>
        <v>1453.1721865319998</v>
      </c>
      <c r="I14" s="99">
        <f t="shared" si="2"/>
        <v>4790.1792815250001</v>
      </c>
      <c r="J14" s="6">
        <v>352.37099999999998</v>
      </c>
      <c r="K14" s="212"/>
      <c r="M14" s="214"/>
      <c r="N14" s="34"/>
      <c r="P14" s="34"/>
    </row>
    <row r="15" spans="1:16" ht="14.25">
      <c r="A15" s="15" t="s">
        <v>44</v>
      </c>
      <c r="B15" s="39">
        <f t="shared" si="3"/>
        <v>352.37099999999998</v>
      </c>
      <c r="C15" s="6">
        <v>4546.5569999999998</v>
      </c>
      <c r="D15" s="99">
        <f>(58043.6*1.10231)/1000</f>
        <v>63.982040715999993</v>
      </c>
      <c r="E15" s="99">
        <f t="shared" si="0"/>
        <v>4962.9100407159995</v>
      </c>
      <c r="F15" s="99"/>
      <c r="G15" s="99">
        <f t="shared" si="1"/>
        <v>3082.7604602569995</v>
      </c>
      <c r="H15" s="99">
        <f>(1410298.9*1.10231)/1000</f>
        <v>1554.5865804589998</v>
      </c>
      <c r="I15" s="99">
        <f t="shared" si="2"/>
        <v>4637.3470407159994</v>
      </c>
      <c r="J15" s="6">
        <v>325.56299999999999</v>
      </c>
      <c r="K15" s="81"/>
      <c r="M15" s="214"/>
      <c r="N15" s="34"/>
      <c r="P15" s="34"/>
    </row>
    <row r="16" spans="1:16" ht="14.25">
      <c r="A16" s="15" t="s">
        <v>46</v>
      </c>
      <c r="B16" s="39">
        <f t="shared" si="3"/>
        <v>325.56299999999999</v>
      </c>
      <c r="C16" s="6">
        <v>4793.0349999999999</v>
      </c>
      <c r="D16" s="99">
        <f>(52418.3*1.10231)/1000</f>
        <v>57.781216272999998</v>
      </c>
      <c r="E16" s="99">
        <f t="shared" si="0"/>
        <v>5176.3792162729997</v>
      </c>
      <c r="F16" s="99"/>
      <c r="G16" s="99">
        <f t="shared" si="1"/>
        <v>3007.7163363159998</v>
      </c>
      <c r="H16" s="99">
        <f>(1459614.7*1.10231)/1000</f>
        <v>1608.9478799569997</v>
      </c>
      <c r="I16" s="99">
        <f t="shared" si="2"/>
        <v>4616.6642162729995</v>
      </c>
      <c r="J16" s="6">
        <v>559.71500000000003</v>
      </c>
      <c r="K16" s="81"/>
      <c r="M16" s="214"/>
      <c r="N16" s="34"/>
      <c r="P16" s="34"/>
    </row>
    <row r="17" spans="1:16" ht="14.25">
      <c r="A17" s="15" t="s">
        <v>47</v>
      </c>
      <c r="B17" s="39">
        <f t="shared" si="3"/>
        <v>559.71500000000003</v>
      </c>
      <c r="C17" s="6">
        <v>4201.777</v>
      </c>
      <c r="D17" s="99">
        <f>(45672*1.10231)/1000</f>
        <v>50.344702319999996</v>
      </c>
      <c r="E17" s="99">
        <f t="shared" si="0"/>
        <v>4811.8367023199999</v>
      </c>
      <c r="F17" s="99"/>
      <c r="G17" s="99">
        <f t="shared" si="1"/>
        <v>3088.5843456719995</v>
      </c>
      <c r="H17" s="99">
        <f>(1259080.8*1.10231)/1000</f>
        <v>1387.8973566479999</v>
      </c>
      <c r="I17" s="99">
        <f t="shared" si="2"/>
        <v>4476.4817023199994</v>
      </c>
      <c r="J17" s="6">
        <v>335.35500000000002</v>
      </c>
      <c r="K17" s="81"/>
      <c r="M17" s="214"/>
      <c r="N17" s="34"/>
      <c r="P17" s="34"/>
    </row>
    <row r="18" spans="1:16" ht="14.25">
      <c r="A18" s="15" t="s">
        <v>48</v>
      </c>
      <c r="B18" s="39">
        <f t="shared" si="3"/>
        <v>335.35500000000002</v>
      </c>
      <c r="C18" s="6">
        <v>4506.893</v>
      </c>
      <c r="D18" s="99">
        <f>(61779.5*1.10231)/1000</f>
        <v>68.100160645000003</v>
      </c>
      <c r="E18" s="99">
        <f t="shared" si="0"/>
        <v>4910.3481606449996</v>
      </c>
      <c r="F18" s="99"/>
      <c r="G18" s="99">
        <f t="shared" si="1"/>
        <v>3421.0908311659996</v>
      </c>
      <c r="H18" s="99">
        <f>(1039540.9*1.10231)/1000</f>
        <v>1145.8963294789999</v>
      </c>
      <c r="I18" s="99">
        <f t="shared" si="2"/>
        <v>4566.9871606449997</v>
      </c>
      <c r="J18" s="6">
        <v>343.36099999999999</v>
      </c>
      <c r="K18" s="212"/>
      <c r="M18" s="214"/>
      <c r="N18" s="34"/>
      <c r="P18" s="34"/>
    </row>
    <row r="19" spans="1:16" ht="14.25">
      <c r="A19" s="15" t="s">
        <v>50</v>
      </c>
      <c r="B19" s="39">
        <f>J18</f>
        <v>343.36099999999999</v>
      </c>
      <c r="C19" s="6">
        <v>4330.68</v>
      </c>
      <c r="D19" s="99">
        <f>(45020.5*1.10231)/1000</f>
        <v>49.626547354999992</v>
      </c>
      <c r="E19" s="99">
        <f t="shared" si="0"/>
        <v>4723.6675473550004</v>
      </c>
      <c r="F19" s="99"/>
      <c r="G19" s="99">
        <f t="shared" si="1"/>
        <v>3025.9473589560012</v>
      </c>
      <c r="H19" s="99">
        <f>(1093072.9*1.10231)/1000</f>
        <v>1204.9051883989998</v>
      </c>
      <c r="I19" s="99">
        <f t="shared" si="2"/>
        <v>4230.8525473550008</v>
      </c>
      <c r="J19" s="6">
        <v>492.815</v>
      </c>
      <c r="K19" s="81"/>
      <c r="M19" s="214"/>
      <c r="N19" s="34"/>
      <c r="P19" s="34"/>
    </row>
    <row r="20" spans="1:16" ht="14.25">
      <c r="A20" s="15" t="s">
        <v>51</v>
      </c>
      <c r="B20" s="39">
        <f>J19</f>
        <v>492.815</v>
      </c>
      <c r="C20" s="6">
        <v>4548.6549999999997</v>
      </c>
      <c r="D20" s="99">
        <f>(38702.9*1.10231)/1000</f>
        <v>42.662593698999999</v>
      </c>
      <c r="E20" s="99">
        <f t="shared" si="0"/>
        <v>5084.1325936989997</v>
      </c>
      <c r="F20" s="99"/>
      <c r="G20" s="99">
        <f t="shared" si="1"/>
        <v>3535.8197989219998</v>
      </c>
      <c r="H20" s="99">
        <f>(1014036.7*1.10231)/1000</f>
        <v>1117.7827947769999</v>
      </c>
      <c r="I20" s="99">
        <f t="shared" si="2"/>
        <v>4653.602593699</v>
      </c>
      <c r="J20" s="6">
        <v>430.53</v>
      </c>
      <c r="K20" s="81"/>
      <c r="M20" s="214"/>
      <c r="N20" s="34"/>
      <c r="P20" s="34"/>
    </row>
    <row r="21" spans="1:16" ht="14.25">
      <c r="A21" s="15" t="s">
        <v>52</v>
      </c>
      <c r="B21" s="39">
        <f>J20</f>
        <v>430.53</v>
      </c>
      <c r="C21" s="6">
        <v>3963.0810000000001</v>
      </c>
      <c r="D21" s="99">
        <f>(54052.6*1.10231)/1000</f>
        <v>59.582721505999992</v>
      </c>
      <c r="E21" s="99">
        <f t="shared" si="0"/>
        <v>4453.1937215059997</v>
      </c>
      <c r="F21" s="99"/>
      <c r="G21" s="99">
        <f>I21-H21</f>
        <v>3096.7477066129995</v>
      </c>
      <c r="H21" s="99">
        <f>(909820.3*1.10231)/1000</f>
        <v>1002.9040148930001</v>
      </c>
      <c r="I21" s="99">
        <f>E21-J21</f>
        <v>4099.6517215059994</v>
      </c>
      <c r="J21" s="6">
        <v>353.54199999999997</v>
      </c>
      <c r="K21" s="81"/>
      <c r="M21" s="214"/>
      <c r="N21" s="34"/>
      <c r="P21" s="34"/>
    </row>
    <row r="22" spans="1:16" ht="14.25">
      <c r="A22" s="15" t="s">
        <v>38</v>
      </c>
      <c r="B22" s="39">
        <f>J21</f>
        <v>353.54199999999997</v>
      </c>
      <c r="C22" s="6">
        <v>4368.8829999999998</v>
      </c>
      <c r="D22" s="99">
        <f>(70022*1.10231)/1000</f>
        <v>77.185950820000002</v>
      </c>
      <c r="E22" s="99">
        <f t="shared" si="0"/>
        <v>4799.6109508199997</v>
      </c>
      <c r="F22" s="99"/>
      <c r="G22" s="99">
        <f>I22-H22</f>
        <v>3131.4083308549998</v>
      </c>
      <c r="H22" s="99">
        <f>(1102151.5*1.10231)/1000</f>
        <v>1214.9126199649997</v>
      </c>
      <c r="I22" s="99">
        <f>E22-J22</f>
        <v>4346.3209508199998</v>
      </c>
      <c r="J22" s="6">
        <v>453.29</v>
      </c>
      <c r="K22" s="84"/>
      <c r="M22" s="214"/>
      <c r="N22" s="34"/>
      <c r="P22" s="34"/>
    </row>
    <row r="23" spans="1:16" ht="14.25">
      <c r="A23" s="15" t="s">
        <v>29</v>
      </c>
      <c r="B23" s="39"/>
      <c r="C23" s="6">
        <f>SUM(C11:C22)</f>
        <v>54106.152000000002</v>
      </c>
      <c r="D23" s="6">
        <f>(623410.5*1.10231)/1000</f>
        <v>687.19162825499996</v>
      </c>
      <c r="E23" s="6">
        <f>B11+C23+D23</f>
        <v>55164.234628255006</v>
      </c>
      <c r="F23" s="6"/>
      <c r="G23" s="6">
        <f>SUM(G11:G22)</f>
        <v>38656.54882859299</v>
      </c>
      <c r="H23" s="6">
        <f>(14564320*1.10231)/1000</f>
        <v>16054.395579199998</v>
      </c>
      <c r="I23" s="5">
        <f>SUM(I11:I22)</f>
        <v>54710.944407793002</v>
      </c>
      <c r="J23" s="6"/>
      <c r="K23" s="113"/>
      <c r="M23" s="114"/>
      <c r="N23" s="34"/>
      <c r="P23" s="34"/>
    </row>
    <row r="24" spans="1:16" ht="14.25">
      <c r="A24" s="15"/>
      <c r="B24" s="39"/>
      <c r="C24" s="6"/>
      <c r="D24" s="6"/>
      <c r="E24" s="6"/>
      <c r="F24" s="6"/>
      <c r="G24" s="6"/>
      <c r="H24" s="6"/>
      <c r="I24" s="6"/>
      <c r="J24" s="6"/>
      <c r="K24" s="81"/>
      <c r="M24" s="114"/>
      <c r="N24" s="34"/>
      <c r="P24" s="34"/>
    </row>
    <row r="25" spans="1:16" ht="15">
      <c r="A25" s="30" t="s">
        <v>54</v>
      </c>
      <c r="B25" s="39"/>
      <c r="C25" s="6"/>
      <c r="D25" s="6"/>
      <c r="E25" s="6"/>
      <c r="F25" s="6"/>
      <c r="G25" s="6"/>
      <c r="H25" s="6"/>
      <c r="I25" s="6"/>
      <c r="J25" s="6"/>
      <c r="K25" s="81"/>
      <c r="M25" s="114"/>
      <c r="N25" s="34"/>
      <c r="P25" s="34"/>
    </row>
    <row r="26" spans="1:16" ht="14.25">
      <c r="A26" s="15" t="s">
        <v>39</v>
      </c>
      <c r="B26" s="39">
        <f>J22</f>
        <v>453.29</v>
      </c>
      <c r="C26" s="6">
        <v>5088.7489999999998</v>
      </c>
      <c r="D26" s="99">
        <f>(42996.7*1.10231)/1000</f>
        <v>47.395692376999989</v>
      </c>
      <c r="E26" s="6">
        <f t="shared" ref="E26:E31" si="4">SUM(B26:D26)</f>
        <v>5589.4346923769999</v>
      </c>
      <c r="F26" s="6"/>
      <c r="G26" s="13">
        <f t="shared" ref="G26:G31" si="5">I26-H26</f>
        <v>3795.6486350929999</v>
      </c>
      <c r="H26" s="99">
        <f>(1317756.4*1.10231)/1000</f>
        <v>1452.5760572839999</v>
      </c>
      <c r="I26" s="99">
        <f t="shared" ref="I26:I31" si="6">E26-J26</f>
        <v>5248.2246923769999</v>
      </c>
      <c r="J26" s="6">
        <v>341.21000000000004</v>
      </c>
      <c r="K26" s="81"/>
      <c r="M26" s="114"/>
      <c r="N26" s="34"/>
      <c r="O26" s="34"/>
      <c r="P26" s="34"/>
    </row>
    <row r="27" spans="1:16" ht="14.25">
      <c r="A27" s="15" t="s">
        <v>40</v>
      </c>
      <c r="B27" s="39">
        <f t="shared" ref="B27:B32" si="7">J26</f>
        <v>341.21000000000004</v>
      </c>
      <c r="C27" s="6">
        <v>4974.8110000000006</v>
      </c>
      <c r="D27" s="99">
        <f>(46651.6*1.10231)/1000</f>
        <v>51.424525195999998</v>
      </c>
      <c r="E27" s="99">
        <f t="shared" si="4"/>
        <v>5367.4455251960007</v>
      </c>
      <c r="F27" s="6"/>
      <c r="G27" s="13">
        <f t="shared" si="5"/>
        <v>3180.0653300800004</v>
      </c>
      <c r="H27" s="99">
        <f>(1518283.6*1.10231)/1000</f>
        <v>1673.6191951160001</v>
      </c>
      <c r="I27" s="99">
        <f t="shared" si="6"/>
        <v>4853.6845251960003</v>
      </c>
      <c r="J27" s="6">
        <v>513.76099999999997</v>
      </c>
      <c r="K27" s="81"/>
      <c r="M27" s="114"/>
      <c r="N27" s="34"/>
      <c r="O27" s="34"/>
      <c r="P27" s="34"/>
    </row>
    <row r="28" spans="1:16" ht="14.25">
      <c r="A28" s="15" t="s">
        <v>42</v>
      </c>
      <c r="B28" s="39">
        <f t="shared" si="7"/>
        <v>513.76099999999997</v>
      </c>
      <c r="C28" s="97">
        <v>5162.1440000000002</v>
      </c>
      <c r="D28" s="99">
        <f>(31881.2*1.10231)/1000</f>
        <v>35.142965572000001</v>
      </c>
      <c r="E28" s="99">
        <f t="shared" si="4"/>
        <v>5711.047965572001</v>
      </c>
      <c r="F28" s="99"/>
      <c r="G28" s="13">
        <f t="shared" si="5"/>
        <v>3587.6579006430011</v>
      </c>
      <c r="H28" s="99">
        <f>(1513235.9*1.10231)/1000</f>
        <v>1668.0550649289996</v>
      </c>
      <c r="I28" s="99">
        <f t="shared" si="6"/>
        <v>5255.7129655720009</v>
      </c>
      <c r="J28" s="6">
        <v>455.33500000000004</v>
      </c>
      <c r="K28" s="81"/>
      <c r="L28" s="98"/>
      <c r="M28" s="114"/>
      <c r="N28" s="34"/>
      <c r="O28" s="34"/>
      <c r="P28" s="34"/>
    </row>
    <row r="29" spans="1:16" ht="14.25">
      <c r="A29" s="15" t="s">
        <v>43</v>
      </c>
      <c r="B29" s="39">
        <f t="shared" si="7"/>
        <v>455.33500000000004</v>
      </c>
      <c r="C29" s="6">
        <v>5046.0140000000001</v>
      </c>
      <c r="D29" s="99">
        <f>(49274.6*1.10231)/1000</f>
        <v>54.315884325999995</v>
      </c>
      <c r="E29" s="99">
        <f t="shared" si="4"/>
        <v>5555.664884326</v>
      </c>
      <c r="F29" s="99"/>
      <c r="G29" s="13">
        <f t="shared" si="5"/>
        <v>3522.7561092720007</v>
      </c>
      <c r="H29" s="99">
        <f>(1425123.4*1.10231)/1000</f>
        <v>1570.9277750539998</v>
      </c>
      <c r="I29" s="99">
        <f t="shared" si="6"/>
        <v>5093.6838843260002</v>
      </c>
      <c r="J29" s="6">
        <v>461.98099999999999</v>
      </c>
      <c r="K29" s="81"/>
      <c r="M29" s="114"/>
      <c r="N29" s="34"/>
      <c r="O29" s="34"/>
    </row>
    <row r="30" spans="1:16" s="123" customFormat="1" ht="14.25">
      <c r="A30" s="118" t="s">
        <v>44</v>
      </c>
      <c r="B30" s="101">
        <f t="shared" si="7"/>
        <v>461.98099999999999</v>
      </c>
      <c r="C30" s="102">
        <v>4504.5150000000003</v>
      </c>
      <c r="D30" s="138">
        <f>(53629.4*1.10231)/1000</f>
        <v>59.116223913999995</v>
      </c>
      <c r="E30" s="138">
        <f t="shared" si="4"/>
        <v>5025.6122239140004</v>
      </c>
      <c r="F30" s="138"/>
      <c r="G30" s="13">
        <f t="shared" si="5"/>
        <v>3314.0849477780007</v>
      </c>
      <c r="H30" s="138">
        <f>(1124725.6*1.10231)/1000</f>
        <v>1239.796276136</v>
      </c>
      <c r="I30" s="138">
        <f t="shared" si="6"/>
        <v>4553.8812239140007</v>
      </c>
      <c r="J30" s="102">
        <v>471.73099999999999</v>
      </c>
      <c r="K30" s="144"/>
      <c r="M30" s="114"/>
      <c r="N30" s="34"/>
      <c r="O30" s="34"/>
    </row>
    <row r="31" spans="1:16" s="123" customFormat="1" ht="14.25">
      <c r="A31" s="118" t="s">
        <v>46</v>
      </c>
      <c r="B31" s="39">
        <f t="shared" si="7"/>
        <v>471.73099999999999</v>
      </c>
      <c r="C31" s="6">
        <v>4921.2179999999998</v>
      </c>
      <c r="D31" s="99">
        <f>(62064.5*1.10231)/1000</f>
        <v>68.414318994999988</v>
      </c>
      <c r="E31" s="99">
        <f t="shared" si="4"/>
        <v>5461.3633189949996</v>
      </c>
      <c r="F31" s="99"/>
      <c r="G31" s="13">
        <f t="shared" si="5"/>
        <v>3283.4341531029995</v>
      </c>
      <c r="H31" s="99">
        <f>(1593353.2*1.10231)/1000</f>
        <v>1756.369165892</v>
      </c>
      <c r="I31" s="99">
        <f t="shared" si="6"/>
        <v>5039.8033189949992</v>
      </c>
      <c r="J31" s="6">
        <v>421.56</v>
      </c>
      <c r="K31" s="213"/>
      <c r="M31" s="114"/>
      <c r="N31" s="34"/>
      <c r="O31" s="34"/>
    </row>
    <row r="32" spans="1:16" ht="14.25">
      <c r="A32" s="15" t="s">
        <v>47</v>
      </c>
      <c r="B32" s="39">
        <f t="shared" si="7"/>
        <v>421.56</v>
      </c>
      <c r="C32" s="6">
        <v>4813.8410000000003</v>
      </c>
      <c r="D32" s="99">
        <f>(71057.1*1.10231)/1000</f>
        <v>78.326951900999987</v>
      </c>
      <c r="E32" s="99">
        <f>SUM(B32:D32)</f>
        <v>5313.7279519010008</v>
      </c>
      <c r="F32" s="99"/>
      <c r="G32" s="165">
        <f>I32-H32</f>
        <v>3401.4645248270012</v>
      </c>
      <c r="H32" s="99">
        <f>(1345665.4*1.10231)/1000</f>
        <v>1483.3404270739998</v>
      </c>
      <c r="I32" s="99">
        <f>E32-J32</f>
        <v>4884.804951901001</v>
      </c>
      <c r="J32" s="6">
        <v>428.923</v>
      </c>
      <c r="K32" s="81"/>
      <c r="M32" s="114"/>
      <c r="N32" s="34"/>
      <c r="O32" s="34"/>
    </row>
    <row r="33" spans="1:15" ht="14.25">
      <c r="A33" s="15" t="s">
        <v>48</v>
      </c>
      <c r="B33" s="39">
        <f>J32</f>
        <v>428.923</v>
      </c>
      <c r="C33" s="6">
        <v>4832.6099999999997</v>
      </c>
      <c r="D33" s="99">
        <f>(92777.2*1.10231)/1000</f>
        <v>102.26923533199998</v>
      </c>
      <c r="E33" s="99">
        <f>SUM(B33:D33)</f>
        <v>5363.8022353319993</v>
      </c>
      <c r="F33" s="99"/>
      <c r="G33" s="166">
        <f>I33-H33</f>
        <v>3408.8013213889994</v>
      </c>
      <c r="H33" s="99">
        <f>(1361075.3*1.10231)/1000</f>
        <v>1500.3269139429999</v>
      </c>
      <c r="I33" s="99">
        <f>E33-J33</f>
        <v>4909.1282353319993</v>
      </c>
      <c r="J33" s="6">
        <v>454.67399999999998</v>
      </c>
      <c r="K33" s="81"/>
      <c r="M33" s="114"/>
      <c r="N33" s="34"/>
      <c r="O33" s="34"/>
    </row>
    <row r="34" spans="1:15" ht="14.25">
      <c r="A34" s="15" t="s">
        <v>50</v>
      </c>
      <c r="B34" s="39">
        <f>J33</f>
        <v>454.67399999999998</v>
      </c>
      <c r="C34" s="6">
        <v>4689.0020000000004</v>
      </c>
      <c r="D34" s="99">
        <f>(53983.9*1.10231)/1000</f>
        <v>59.506992808999996</v>
      </c>
      <c r="E34" s="99">
        <f>SUM(B34:D34)</f>
        <v>5203.1829928090001</v>
      </c>
      <c r="F34" s="99"/>
      <c r="G34" s="166">
        <f>I34-H34</f>
        <v>3278.4449574780006</v>
      </c>
      <c r="H34" s="99">
        <f>(1324210.1*1.10231)/1000</f>
        <v>1459.6900353309998</v>
      </c>
      <c r="I34" s="99">
        <f>E34-J34</f>
        <v>4738.1349928090003</v>
      </c>
      <c r="J34" s="6">
        <v>465.048</v>
      </c>
      <c r="K34" s="81"/>
      <c r="M34" s="114"/>
      <c r="N34" s="34"/>
      <c r="O34" s="34"/>
    </row>
    <row r="35" spans="1:15" ht="16.5">
      <c r="A35" s="173" t="s">
        <v>157</v>
      </c>
      <c r="B35" s="66"/>
      <c r="C35" s="66"/>
      <c r="D35" s="66"/>
      <c r="E35" s="66"/>
      <c r="F35" s="66"/>
      <c r="G35" s="66"/>
      <c r="H35" s="66"/>
      <c r="I35" s="66"/>
      <c r="J35" s="66"/>
      <c r="N35" s="34"/>
    </row>
    <row r="36" spans="1:15" ht="14.25">
      <c r="A36" s="15" t="s">
        <v>68</v>
      </c>
      <c r="B36" s="15"/>
      <c r="C36" s="15"/>
      <c r="D36" s="15"/>
      <c r="E36" s="15"/>
      <c r="F36" s="15"/>
      <c r="G36" s="15"/>
      <c r="H36" s="15"/>
      <c r="I36" s="15"/>
      <c r="J36" s="15"/>
    </row>
    <row r="37" spans="1:15" ht="14.25">
      <c r="A37" s="20" t="s">
        <v>57</v>
      </c>
      <c r="B37" s="36">
        <f>Contents!A17</f>
        <v>45883</v>
      </c>
      <c r="C37" s="33"/>
      <c r="D37" s="28"/>
      <c r="E37" s="28"/>
      <c r="F37" s="28"/>
      <c r="G37" s="28"/>
      <c r="H37" s="28"/>
      <c r="I37" s="28"/>
      <c r="J37" s="28"/>
    </row>
    <row r="38" spans="1:15">
      <c r="B38" s="40"/>
      <c r="C38" s="41"/>
      <c r="D38" s="40"/>
      <c r="E38" s="78"/>
      <c r="F38" s="40"/>
      <c r="G38" s="40"/>
      <c r="H38" s="42"/>
      <c r="I38" s="78"/>
      <c r="J38" s="40"/>
    </row>
    <row r="39" spans="1:15">
      <c r="B39" s="40"/>
      <c r="D39" s="40"/>
      <c r="E39" s="40"/>
      <c r="F39" s="40"/>
      <c r="G39" s="40"/>
      <c r="H39" s="40"/>
      <c r="I39" s="40"/>
      <c r="J39" s="40"/>
    </row>
    <row r="40" spans="1:15">
      <c r="G40" s="132"/>
      <c r="H40" s="65"/>
    </row>
    <row r="41" spans="1:15">
      <c r="G41" s="87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  <row r="62" spans="2:9">
      <c r="B62" s="34"/>
      <c r="C62" s="34"/>
      <c r="D62" s="34"/>
      <c r="E62" s="34"/>
      <c r="F62" s="34"/>
      <c r="G62" s="34"/>
      <c r="H62" s="34"/>
      <c r="I62" s="34"/>
    </row>
    <row r="63" spans="2:9">
      <c r="B63" s="34"/>
      <c r="C63" s="34"/>
      <c r="D63" s="34"/>
      <c r="E63" s="34"/>
      <c r="F63" s="34"/>
      <c r="G63" s="34"/>
      <c r="H63" s="34"/>
      <c r="I63" s="34"/>
    </row>
    <row r="64" spans="2:9">
      <c r="B64" s="34"/>
      <c r="C64" s="34"/>
      <c r="D64" s="34"/>
      <c r="E64" s="34"/>
      <c r="F64" s="34"/>
      <c r="G64" s="34"/>
      <c r="H64" s="34"/>
      <c r="I64" s="34"/>
    </row>
    <row r="65" spans="2:9">
      <c r="B65" s="34"/>
      <c r="C65" s="34"/>
      <c r="D65" s="34"/>
      <c r="E65" s="34"/>
      <c r="F65" s="34"/>
      <c r="G65" s="34"/>
      <c r="H65" s="34"/>
      <c r="I65" s="34"/>
    </row>
    <row r="66" spans="2:9">
      <c r="B66" s="34"/>
      <c r="C66" s="34"/>
      <c r="D66" s="34"/>
      <c r="E66" s="34"/>
      <c r="F66" s="34"/>
      <c r="G66" s="34"/>
      <c r="H66" s="34"/>
      <c r="I66" s="34"/>
    </row>
  </sheetData>
  <mergeCells count="3">
    <mergeCell ref="G2:I2"/>
    <mergeCell ref="B5:J5"/>
    <mergeCell ref="B2:E2"/>
  </mergeCells>
  <phoneticPr fontId="61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62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28515625" defaultRowHeight="12.75"/>
  <cols>
    <col min="1" max="1" width="15.42578125" customWidth="1"/>
    <col min="2" max="2" width="12.42578125" bestFit="1" customWidth="1"/>
    <col min="3" max="3" width="14.85546875" bestFit="1" customWidth="1"/>
    <col min="4" max="4" width="11" bestFit="1" customWidth="1"/>
    <col min="5" max="5" width="12.42578125" customWidth="1"/>
    <col min="6" max="6" width="3.5703125" customWidth="1"/>
    <col min="7" max="7" width="11.5703125" bestFit="1" customWidth="1"/>
    <col min="8" max="8" width="12.42578125" customWidth="1"/>
    <col min="9" max="9" width="12.5703125" customWidth="1"/>
    <col min="10" max="10" width="9.5703125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4" width="11.28515625" customWidth="1"/>
  </cols>
  <sheetData>
    <row r="1" spans="1:20" ht="14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4.25">
      <c r="A2" s="15"/>
      <c r="B2" s="216" t="s">
        <v>58</v>
      </c>
      <c r="C2" s="216"/>
      <c r="D2" s="216"/>
      <c r="E2" s="216"/>
      <c r="F2" s="15"/>
      <c r="G2" s="216" t="s">
        <v>59</v>
      </c>
      <c r="H2" s="216"/>
      <c r="I2" s="216"/>
      <c r="J2" s="170"/>
      <c r="K2" s="170"/>
      <c r="L2" s="15"/>
    </row>
    <row r="3" spans="1:20" ht="14.25">
      <c r="A3" s="15" t="s">
        <v>18</v>
      </c>
      <c r="B3" s="17" t="s">
        <v>69</v>
      </c>
      <c r="C3" s="17" t="s">
        <v>27</v>
      </c>
      <c r="D3" s="17" t="s">
        <v>70</v>
      </c>
      <c r="E3" s="17" t="s">
        <v>63</v>
      </c>
      <c r="F3" s="17"/>
      <c r="G3" s="170" t="s">
        <v>64</v>
      </c>
      <c r="H3" s="170"/>
      <c r="I3" s="170"/>
      <c r="J3" s="17" t="s">
        <v>71</v>
      </c>
      <c r="K3" s="17" t="s">
        <v>63</v>
      </c>
      <c r="L3" s="17" t="s">
        <v>60</v>
      </c>
    </row>
    <row r="4" spans="1:20" ht="16.5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72</v>
      </c>
      <c r="I4" s="23" t="s">
        <v>73</v>
      </c>
      <c r="J4" s="24"/>
      <c r="K4" s="24"/>
      <c r="L4" s="17" t="s">
        <v>66</v>
      </c>
    </row>
    <row r="5" spans="1:20" ht="14.25">
      <c r="A5" s="15"/>
      <c r="B5" s="218" t="s">
        <v>74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20" ht="16.5">
      <c r="A6" s="15" t="s">
        <v>75</v>
      </c>
      <c r="B6" s="38">
        <v>1607.0719999999999</v>
      </c>
      <c r="C6" s="38">
        <f>C23</f>
        <v>27092.798000000003</v>
      </c>
      <c r="D6" s="169">
        <f>D23</f>
        <v>620.70845809140008</v>
      </c>
      <c r="E6" s="38">
        <f>SUM(B6:D6)</f>
        <v>29320.578458091404</v>
      </c>
      <c r="F6" s="38"/>
      <c r="G6" s="38">
        <f>K6-J6</f>
        <v>27152.951218589606</v>
      </c>
      <c r="H6" s="38">
        <f>H23</f>
        <v>12989.041999999999</v>
      </c>
      <c r="I6" s="112">
        <f>G6-H6</f>
        <v>14163.909218589606</v>
      </c>
      <c r="J6" s="38">
        <f>J23</f>
        <v>616.76923950180003</v>
      </c>
      <c r="K6" s="38">
        <f>E6-L6</f>
        <v>27769.720458091404</v>
      </c>
      <c r="L6" s="38">
        <f>L22</f>
        <v>1550.8580000000002</v>
      </c>
    </row>
    <row r="7" spans="1:20" ht="16.5">
      <c r="A7" s="15" t="s">
        <v>76</v>
      </c>
      <c r="B7" s="38">
        <f>L6</f>
        <v>1550.8580000000002</v>
      </c>
      <c r="C7" s="38">
        <v>28975</v>
      </c>
      <c r="D7" s="169">
        <v>375</v>
      </c>
      <c r="E7" s="38">
        <f>SUM(B7:D7)</f>
        <v>30900.858</v>
      </c>
      <c r="F7" s="38"/>
      <c r="G7" s="38">
        <f>H7+I7</f>
        <v>26850</v>
      </c>
      <c r="H7" s="38">
        <v>12250</v>
      </c>
      <c r="I7" s="112">
        <v>14600</v>
      </c>
      <c r="J7" s="38">
        <v>2550</v>
      </c>
      <c r="K7" s="38">
        <f>G7+J7</f>
        <v>29400</v>
      </c>
      <c r="L7" s="38">
        <f>E7-K7</f>
        <v>1500.8580000000002</v>
      </c>
      <c r="M7" s="122"/>
      <c r="N7" s="122"/>
      <c r="O7" s="122"/>
      <c r="P7" s="122"/>
      <c r="Q7" s="122"/>
      <c r="R7" s="122"/>
      <c r="S7" s="122"/>
      <c r="T7" s="122"/>
    </row>
    <row r="8" spans="1:20" ht="16.5">
      <c r="A8" s="15" t="s">
        <v>37</v>
      </c>
      <c r="B8" s="38">
        <f>L7</f>
        <v>1500.8580000000002</v>
      </c>
      <c r="C8" s="38">
        <v>29970</v>
      </c>
      <c r="D8" s="169">
        <v>450</v>
      </c>
      <c r="E8" s="38">
        <f>SUM(B8:D8)</f>
        <v>31920.858</v>
      </c>
      <c r="F8" s="38"/>
      <c r="G8" s="38">
        <v>29500</v>
      </c>
      <c r="H8" s="38">
        <v>15500</v>
      </c>
      <c r="I8" s="112">
        <v>14000</v>
      </c>
      <c r="J8" s="38">
        <v>700</v>
      </c>
      <c r="K8" s="38">
        <f>G8+J8</f>
        <v>30200</v>
      </c>
      <c r="L8" s="38">
        <f>E8-K8</f>
        <v>1720.8580000000002</v>
      </c>
    </row>
    <row r="9" spans="1:20" ht="14.25">
      <c r="A9" s="15"/>
      <c r="B9" s="38"/>
      <c r="C9" s="38"/>
      <c r="D9" s="38"/>
      <c r="E9" s="38"/>
      <c r="F9" s="38"/>
      <c r="G9" s="38"/>
      <c r="H9" s="38"/>
      <c r="I9" s="75"/>
      <c r="J9" s="38"/>
      <c r="K9" s="38"/>
      <c r="L9" s="38"/>
    </row>
    <row r="10" spans="1:20" ht="15">
      <c r="A10" s="30" t="s">
        <v>35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4.25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0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16"/>
      <c r="N11" s="83"/>
      <c r="P11" s="34"/>
    </row>
    <row r="12" spans="1:20" ht="14.25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0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16"/>
      <c r="N12" s="83"/>
      <c r="P12" s="34"/>
    </row>
    <row r="13" spans="1:20" ht="14.25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2186.9788636947997</v>
      </c>
      <c r="H13" s="100">
        <v>1141.8820000000001</v>
      </c>
      <c r="I13" s="6">
        <f t="shared" si="2"/>
        <v>1045.0968636947996</v>
      </c>
      <c r="J13" s="6">
        <f>(5812.3*2204.622)/1000000</f>
        <v>12.8139244506</v>
      </c>
      <c r="K13" s="6">
        <f t="shared" si="3"/>
        <v>2199.7927881453998</v>
      </c>
      <c r="L13" s="5">
        <v>1823.8340000000001</v>
      </c>
      <c r="M13" s="116"/>
      <c r="N13" s="83"/>
      <c r="P13" s="34"/>
    </row>
    <row r="14" spans="1:20" ht="14.25">
      <c r="A14" s="15" t="s">
        <v>43</v>
      </c>
      <c r="B14" s="5">
        <f t="shared" si="4"/>
        <v>1823.8340000000001</v>
      </c>
      <c r="C14" s="6">
        <v>2282.3240000000001</v>
      </c>
      <c r="D14" s="6">
        <f>(22997.3*2204.622)/1000000</f>
        <v>50.70035352059999</v>
      </c>
      <c r="E14" s="6">
        <f t="shared" si="0"/>
        <v>4156.8583535206008</v>
      </c>
      <c r="F14" s="5"/>
      <c r="G14" s="5">
        <f t="shared" si="1"/>
        <v>2117.3029903782008</v>
      </c>
      <c r="H14" s="119">
        <v>960.20299999999997</v>
      </c>
      <c r="I14" s="6">
        <f t="shared" si="2"/>
        <v>1157.0999903782008</v>
      </c>
      <c r="J14" s="6">
        <f>(5219.2*2204.622)/1000000</f>
        <v>11.506363142399998</v>
      </c>
      <c r="K14" s="6">
        <f t="shared" si="3"/>
        <v>2128.8093535206008</v>
      </c>
      <c r="L14" s="5">
        <v>2028.049</v>
      </c>
      <c r="M14" s="136"/>
      <c r="N14" s="83"/>
      <c r="P14" s="34"/>
    </row>
    <row r="15" spans="1:20" ht="14.25">
      <c r="A15" s="15" t="s">
        <v>44</v>
      </c>
      <c r="B15" s="5">
        <f t="shared" si="4"/>
        <v>2028.049</v>
      </c>
      <c r="C15" s="6">
        <v>2288.2179999999998</v>
      </c>
      <c r="D15" s="6">
        <f>(15959.7*2204.622)/1000000</f>
        <v>35.1851057334</v>
      </c>
      <c r="E15" s="6">
        <f t="shared" si="0"/>
        <v>4351.4521057333995</v>
      </c>
      <c r="F15" s="5"/>
      <c r="G15" s="5">
        <f t="shared" si="1"/>
        <v>2190.4728978283993</v>
      </c>
      <c r="H15" s="119">
        <v>888.49</v>
      </c>
      <c r="I15" s="6">
        <f t="shared" si="2"/>
        <v>1301.9828978283992</v>
      </c>
      <c r="J15" s="6">
        <f>(6427.5*2204.622)/1000000</f>
        <v>14.170207905</v>
      </c>
      <c r="K15" s="6">
        <f t="shared" si="3"/>
        <v>2204.6431057333994</v>
      </c>
      <c r="L15" s="5">
        <v>2146.8090000000002</v>
      </c>
      <c r="M15" s="136"/>
      <c r="N15" s="83"/>
      <c r="P15" s="34"/>
    </row>
    <row r="16" spans="1:20" ht="14.25">
      <c r="A16" s="15" t="s">
        <v>46</v>
      </c>
      <c r="B16" s="5">
        <f t="shared" si="4"/>
        <v>2146.8090000000002</v>
      </c>
      <c r="C16" s="6">
        <v>2403.7959999999998</v>
      </c>
      <c r="D16" s="6">
        <f>(22601.9*2204.622)/1000000</f>
        <v>49.828645981799994</v>
      </c>
      <c r="E16" s="6">
        <f t="shared" si="0"/>
        <v>4600.4336459817996</v>
      </c>
      <c r="F16" s="5"/>
      <c r="G16" s="5">
        <f t="shared" si="1"/>
        <v>2133.1231698371994</v>
      </c>
      <c r="H16" s="119">
        <v>1026.1990000000001</v>
      </c>
      <c r="I16" s="6">
        <f t="shared" si="2"/>
        <v>1106.9241698371993</v>
      </c>
      <c r="J16" s="6">
        <f>(44789.3*2204.622)/1000000</f>
        <v>98.74347614460001</v>
      </c>
      <c r="K16" s="6">
        <f t="shared" si="3"/>
        <v>2231.8666459817996</v>
      </c>
      <c r="L16" s="5">
        <v>2368.567</v>
      </c>
      <c r="M16" s="136"/>
      <c r="N16" s="83"/>
      <c r="P16" s="34"/>
    </row>
    <row r="17" spans="1:17" ht="14.25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2186.8431246112</v>
      </c>
      <c r="H17" s="119">
        <v>1070.029</v>
      </c>
      <c r="I17" s="6">
        <f t="shared" si="2"/>
        <v>1116.8141246112</v>
      </c>
      <c r="J17" s="6">
        <f>(10067.3*2204.622)/1000000</f>
        <v>22.194591060599997</v>
      </c>
      <c r="K17" s="6">
        <f t="shared" si="3"/>
        <v>2209.0377156718</v>
      </c>
      <c r="L17" s="5">
        <v>2310.846</v>
      </c>
      <c r="M17" s="136"/>
      <c r="N17" s="83"/>
      <c r="P17" s="34"/>
    </row>
    <row r="18" spans="1:17" ht="14.25">
      <c r="A18" s="15" t="s">
        <v>48</v>
      </c>
      <c r="B18" s="5">
        <f t="shared" si="4"/>
        <v>2310.846</v>
      </c>
      <c r="C18" s="6">
        <v>2267.1660000000002</v>
      </c>
      <c r="D18" s="6">
        <f>(40376.9*2204.622)/1000000</f>
        <v>89.015802031800007</v>
      </c>
      <c r="E18" s="6">
        <f t="shared" si="0"/>
        <v>4667.027802031801</v>
      </c>
      <c r="F18" s="5"/>
      <c r="G18" s="5">
        <f t="shared" si="1"/>
        <v>2385.3173101740008</v>
      </c>
      <c r="H18" s="119">
        <v>1076.011</v>
      </c>
      <c r="I18" s="6">
        <f t="shared" si="2"/>
        <v>1309.3063101740008</v>
      </c>
      <c r="J18" s="6">
        <f>(42559.9*2204.622)/1000000</f>
        <v>93.828491857799989</v>
      </c>
      <c r="K18" s="6">
        <f t="shared" si="3"/>
        <v>2479.1458020318009</v>
      </c>
      <c r="L18" s="5">
        <v>2187.8820000000001</v>
      </c>
      <c r="M18" s="136"/>
      <c r="N18" s="83"/>
      <c r="P18" s="34"/>
    </row>
    <row r="19" spans="1:17" ht="14.25">
      <c r="A19" s="15" t="s">
        <v>50</v>
      </c>
      <c r="B19" s="5">
        <f t="shared" si="4"/>
        <v>2187.8820000000001</v>
      </c>
      <c r="C19" s="6">
        <v>2182.25</v>
      </c>
      <c r="D19" s="6">
        <f>(45967.2*2204.622)/1000000</f>
        <v>101.34030039839999</v>
      </c>
      <c r="E19" s="6">
        <f t="shared" si="0"/>
        <v>4471.4723003984</v>
      </c>
      <c r="F19" s="5"/>
      <c r="G19" s="5">
        <f t="shared" si="1"/>
        <v>2231.2033797160002</v>
      </c>
      <c r="H19" s="119">
        <v>1266.837</v>
      </c>
      <c r="I19" s="6">
        <f t="shared" si="2"/>
        <v>964.36637971600021</v>
      </c>
      <c r="J19" s="6">
        <f>(52289.2*2204.622)/1000000</f>
        <v>115.27792068239999</v>
      </c>
      <c r="K19" s="6">
        <f t="shared" si="3"/>
        <v>2346.4813003984</v>
      </c>
      <c r="L19" s="5">
        <v>2124.991</v>
      </c>
      <c r="M19" s="136"/>
      <c r="N19" s="83"/>
      <c r="P19" s="34"/>
    </row>
    <row r="20" spans="1:17" ht="14.25">
      <c r="A20" s="15" t="s">
        <v>51</v>
      </c>
      <c r="B20" s="5">
        <f t="shared" si="4"/>
        <v>2124.991</v>
      </c>
      <c r="C20" s="6">
        <v>2303.0819999999999</v>
      </c>
      <c r="D20" s="6">
        <f>(33102.1*2204.622)/1000000</f>
        <v>72.977617906199995</v>
      </c>
      <c r="E20" s="6">
        <f t="shared" si="0"/>
        <v>4501.0506179062004</v>
      </c>
      <c r="F20" s="5"/>
      <c r="G20" s="5">
        <f t="shared" si="1"/>
        <v>2395.4132623784008</v>
      </c>
      <c r="H20" s="119">
        <v>1139.1510000000001</v>
      </c>
      <c r="I20" s="6">
        <f t="shared" si="2"/>
        <v>1256.2622623784007</v>
      </c>
      <c r="J20" s="6">
        <f>(44044.9*2204.622)/1000000</f>
        <v>97.1023555278</v>
      </c>
      <c r="K20" s="6">
        <f t="shared" si="3"/>
        <v>2492.5156179062005</v>
      </c>
      <c r="L20" s="5">
        <v>2008.5349999999999</v>
      </c>
      <c r="M20" s="136"/>
      <c r="N20" s="83"/>
      <c r="P20" s="34"/>
    </row>
    <row r="21" spans="1:17" ht="14.25">
      <c r="A21" s="15" t="s">
        <v>52</v>
      </c>
      <c r="B21" s="5">
        <f t="shared" si="4"/>
        <v>2008.5349999999999</v>
      </c>
      <c r="C21" s="97">
        <v>1991.846</v>
      </c>
      <c r="D21" s="6">
        <f>(6929.9*2204.622)/1000000</f>
        <v>15.277809997799999</v>
      </c>
      <c r="E21" s="6">
        <f t="shared" si="0"/>
        <v>4015.6588099977998</v>
      </c>
      <c r="F21" s="5"/>
      <c r="G21" s="5">
        <f t="shared" si="1"/>
        <v>2322.1978709407999</v>
      </c>
      <c r="H21" s="119">
        <v>1217.0319999999999</v>
      </c>
      <c r="I21" s="6">
        <f t="shared" si="2"/>
        <v>1105.1658709408</v>
      </c>
      <c r="J21" s="6">
        <f>(29043.5*2204.622)/1000000</f>
        <v>64.029939056999993</v>
      </c>
      <c r="K21" s="6">
        <f t="shared" si="3"/>
        <v>2386.2278099977998</v>
      </c>
      <c r="L21" s="5">
        <v>1629.431</v>
      </c>
      <c r="M21" s="136"/>
      <c r="N21" s="83"/>
      <c r="P21" s="34"/>
    </row>
    <row r="22" spans="1:17" ht="14.25">
      <c r="A22" s="15" t="s">
        <v>38</v>
      </c>
      <c r="B22" s="5">
        <v>1629.431</v>
      </c>
      <c r="C22" s="97">
        <v>2201.3490000000002</v>
      </c>
      <c r="D22" s="6">
        <f>(9365.6*2204.622)/1000000</f>
        <v>20.6476078032</v>
      </c>
      <c r="E22" s="6">
        <f t="shared" si="0"/>
        <v>3851.4276078032003</v>
      </c>
      <c r="F22" s="5"/>
      <c r="G22" s="5">
        <f t="shared" si="1"/>
        <v>2240.2145531579999</v>
      </c>
      <c r="H22" s="119">
        <v>1076.2909999999999</v>
      </c>
      <c r="I22" s="6">
        <f t="shared" si="2"/>
        <v>1163.923553158</v>
      </c>
      <c r="J22" s="6">
        <f>(27376.6*2204.622)/1000000</f>
        <v>60.355054645199992</v>
      </c>
      <c r="K22" s="6">
        <f t="shared" si="3"/>
        <v>2300.5696078032001</v>
      </c>
      <c r="L22" s="5">
        <v>1550.8580000000002</v>
      </c>
      <c r="M22" s="136"/>
      <c r="N22" s="83"/>
      <c r="P22" s="34"/>
    </row>
    <row r="23" spans="1:17" ht="14.25">
      <c r="A23" s="15" t="s">
        <v>29</v>
      </c>
      <c r="B23" s="5"/>
      <c r="C23" s="97">
        <f>SUM(C11:C22)</f>
        <v>27092.798000000003</v>
      </c>
      <c r="D23" s="6">
        <f>(281548.7*2204.622)/1000000</f>
        <v>620.70845809140008</v>
      </c>
      <c r="E23" s="6">
        <f>B11+C23+D23</f>
        <v>29320.578458091404</v>
      </c>
      <c r="F23" s="5"/>
      <c r="G23" s="5">
        <f>K23-J23</f>
        <v>27152.950998127406</v>
      </c>
      <c r="H23" s="119">
        <f>SUM(H11:H22)</f>
        <v>12989.041999999999</v>
      </c>
      <c r="I23" s="99">
        <f>G23-H23</f>
        <v>14163.908998127406</v>
      </c>
      <c r="J23" s="6">
        <f>(279761.9*2204.622)/1000000</f>
        <v>616.76923950180003</v>
      </c>
      <c r="K23" s="6">
        <f>SUM(K11:K22)</f>
        <v>27769.720237629204</v>
      </c>
      <c r="L23" s="5"/>
      <c r="P23" s="34"/>
    </row>
    <row r="24" spans="1:17" ht="1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 s="149"/>
      <c r="P24" s="34"/>
    </row>
    <row r="25" spans="1:17" ht="15">
      <c r="A25" s="30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P25" s="34"/>
    </row>
    <row r="26" spans="1:17" ht="14.25">
      <c r="A26" s="15" t="s">
        <v>39</v>
      </c>
      <c r="B26" s="5">
        <f>L22</f>
        <v>1550.8580000000002</v>
      </c>
      <c r="C26" s="6">
        <v>2543.453</v>
      </c>
      <c r="D26" s="6">
        <f>(13180.2*2204.622)/1000000</f>
        <v>29.057358884399999</v>
      </c>
      <c r="E26" s="6">
        <f t="shared" ref="E26:E31" si="5">SUM(B26:D26)</f>
        <v>4123.3683588844005</v>
      </c>
      <c r="F26" s="5"/>
      <c r="G26" s="5">
        <f t="shared" ref="G26:G31" si="6">K26-J26</f>
        <v>2501.2259029592005</v>
      </c>
      <c r="H26" s="129">
        <v>1227.0820000000001</v>
      </c>
      <c r="I26" s="6">
        <f>G26-H26</f>
        <v>1274.1439029592004</v>
      </c>
      <c r="J26" s="6">
        <f>(13616.6*2204.622)/1000000</f>
        <v>30.019455925199999</v>
      </c>
      <c r="K26" s="6">
        <f t="shared" ref="K26:K31" si="7">E26-L26</f>
        <v>2531.2453588844005</v>
      </c>
      <c r="L26" s="6">
        <v>1592.123</v>
      </c>
      <c r="N26" s="34"/>
      <c r="P26" s="34"/>
    </row>
    <row r="27" spans="1:17" ht="14.25">
      <c r="A27" s="15" t="s">
        <v>40</v>
      </c>
      <c r="B27" s="5">
        <f t="shared" ref="B27:B32" si="8">L26</f>
        <v>1592.123</v>
      </c>
      <c r="C27" s="6">
        <v>2489.9409999999998</v>
      </c>
      <c r="D27" s="99">
        <f>(30584.4*2204.622)/1000000</f>
        <v>67.427041096799996</v>
      </c>
      <c r="E27" s="99">
        <f t="shared" si="5"/>
        <v>4149.4910410967996</v>
      </c>
      <c r="F27" s="5"/>
      <c r="G27" s="75">
        <f t="shared" si="6"/>
        <v>2402.7585652577995</v>
      </c>
      <c r="H27" s="129">
        <v>1191.5230000000001</v>
      </c>
      <c r="I27" s="99">
        <f t="shared" ref="I27:I32" si="9">G27-H27</f>
        <v>1211.2355652577994</v>
      </c>
      <c r="J27" s="99">
        <f>(58324.5*2204.622)/1000000</f>
        <v>128.58347583899999</v>
      </c>
      <c r="K27" s="99">
        <f t="shared" si="7"/>
        <v>2531.3420410967997</v>
      </c>
      <c r="L27" s="6">
        <v>1618.1489999999999</v>
      </c>
      <c r="N27" s="34"/>
      <c r="P27" s="34"/>
    </row>
    <row r="28" spans="1:17" ht="14.25">
      <c r="A28" s="15" t="s">
        <v>42</v>
      </c>
      <c r="B28" s="5">
        <f t="shared" si="8"/>
        <v>1618.1489999999999</v>
      </c>
      <c r="C28" s="6">
        <v>2572.6219999999998</v>
      </c>
      <c r="D28" s="99">
        <f>(12365.1*2204.622)/1000000</f>
        <v>27.260371492199997</v>
      </c>
      <c r="E28" s="99">
        <f t="shared" si="5"/>
        <v>4218.0313714921995</v>
      </c>
      <c r="F28" s="75"/>
      <c r="G28" s="75">
        <f t="shared" si="6"/>
        <v>2251.2077308781995</v>
      </c>
      <c r="H28" s="145">
        <v>1096.6990000000001</v>
      </c>
      <c r="I28" s="138">
        <f t="shared" si="9"/>
        <v>1154.5087308781995</v>
      </c>
      <c r="J28" s="99">
        <f>(126837*2204.622)/1000000</f>
        <v>279.62764061399997</v>
      </c>
      <c r="K28" s="99">
        <f t="shared" si="7"/>
        <v>2530.8353714921996</v>
      </c>
      <c r="L28" s="6">
        <v>1687.1959999999999</v>
      </c>
      <c r="N28" s="34"/>
      <c r="P28" s="34"/>
    </row>
    <row r="29" spans="1:17" ht="14.25">
      <c r="A29" s="15" t="s">
        <v>43</v>
      </c>
      <c r="B29" s="5">
        <f t="shared" si="8"/>
        <v>1687.1959999999999</v>
      </c>
      <c r="C29" s="6">
        <v>2526.6570000000002</v>
      </c>
      <c r="D29" s="99">
        <f>(13775.3*2204.622)/1000000</f>
        <v>30.369329436599998</v>
      </c>
      <c r="E29" s="99">
        <f t="shared" si="5"/>
        <v>4244.2223294366004</v>
      </c>
      <c r="F29" s="75"/>
      <c r="G29" s="75">
        <f t="shared" si="6"/>
        <v>1958.7118062530008</v>
      </c>
      <c r="H29" s="145">
        <v>654.25386278320002</v>
      </c>
      <c r="I29" s="138">
        <f t="shared" si="9"/>
        <v>1304.4579434698007</v>
      </c>
      <c r="J29" s="99">
        <f>(212713.8*2204.622)/1000000</f>
        <v>468.95352318359994</v>
      </c>
      <c r="K29" s="99">
        <f t="shared" si="7"/>
        <v>2427.6653294366006</v>
      </c>
      <c r="L29" s="6">
        <v>1816.557</v>
      </c>
      <c r="N29" s="34"/>
      <c r="P29" s="34"/>
    </row>
    <row r="30" spans="1:17" s="123" customFormat="1" ht="14.25">
      <c r="A30" s="118" t="s">
        <v>44</v>
      </c>
      <c r="B30" s="146">
        <f t="shared" si="8"/>
        <v>1816.557</v>
      </c>
      <c r="C30" s="102">
        <v>2245.19</v>
      </c>
      <c r="D30" s="99">
        <f>(11981.2*2204.622)/1000000</f>
        <v>26.414017106399999</v>
      </c>
      <c r="E30" s="138">
        <f t="shared" si="5"/>
        <v>4088.1610171064003</v>
      </c>
      <c r="F30" s="147"/>
      <c r="G30" s="147">
        <f t="shared" si="6"/>
        <v>1864.1661514552004</v>
      </c>
      <c r="H30" s="129">
        <v>576.33199999999999</v>
      </c>
      <c r="I30" s="99">
        <f t="shared" si="9"/>
        <v>1287.8341514552003</v>
      </c>
      <c r="J30" s="99">
        <f>(136249.6*2204.622)/1000000</f>
        <v>300.37886565119999</v>
      </c>
      <c r="K30" s="138">
        <f t="shared" si="7"/>
        <v>2164.5450171064003</v>
      </c>
      <c r="L30" s="6">
        <v>1923.616</v>
      </c>
      <c r="N30" s="141"/>
      <c r="O30"/>
      <c r="P30" s="34"/>
      <c r="Q30"/>
    </row>
    <row r="31" spans="1:17" ht="14.25">
      <c r="A31" s="15" t="s">
        <v>46</v>
      </c>
      <c r="B31" s="5">
        <f t="shared" si="8"/>
        <v>1923.616</v>
      </c>
      <c r="C31" s="6">
        <v>2475.2069999999999</v>
      </c>
      <c r="D31" s="99">
        <f>(12692.6*2204.622)/1000000</f>
        <v>27.982385197199999</v>
      </c>
      <c r="E31" s="99">
        <f t="shared" si="5"/>
        <v>4426.8053851971999</v>
      </c>
      <c r="F31" s="75"/>
      <c r="G31" s="75">
        <f t="shared" si="6"/>
        <v>2003.3059631614001</v>
      </c>
      <c r="H31" s="129">
        <v>832.27700000000004</v>
      </c>
      <c r="I31" s="99">
        <f t="shared" si="9"/>
        <v>1171.0289631614</v>
      </c>
      <c r="J31" s="99">
        <f>(155958.9*2204.622)/1000000</f>
        <v>343.83042203579998</v>
      </c>
      <c r="K31" s="99">
        <f t="shared" si="7"/>
        <v>2347.1363851972001</v>
      </c>
      <c r="L31" s="6">
        <v>2079.6689999999999</v>
      </c>
      <c r="N31" s="34"/>
      <c r="P31" s="34"/>
    </row>
    <row r="32" spans="1:17" ht="14.25">
      <c r="A32" s="15" t="s">
        <v>47</v>
      </c>
      <c r="B32" s="5">
        <f t="shared" si="8"/>
        <v>2079.6689999999999</v>
      </c>
      <c r="C32" s="6">
        <v>2402.8789999999999</v>
      </c>
      <c r="D32" s="99">
        <f>(12042.9*2204.622)/1000000</f>
        <v>26.5500422838</v>
      </c>
      <c r="E32" s="99">
        <f>SUM(B32:D32)</f>
        <v>4509.0980422838002</v>
      </c>
      <c r="F32" s="75"/>
      <c r="G32" s="75">
        <f>K32-J32</f>
        <v>2182.6129131838002</v>
      </c>
      <c r="H32" s="129">
        <v>829.46</v>
      </c>
      <c r="I32" s="99">
        <f t="shared" si="9"/>
        <v>1353.1529131838001</v>
      </c>
      <c r="J32" s="99">
        <f>(159050*2204.622)/1000000</f>
        <v>350.64512909999996</v>
      </c>
      <c r="K32" s="99">
        <f>E32-L32</f>
        <v>2533.2580422838</v>
      </c>
      <c r="L32" s="6">
        <v>1975.84</v>
      </c>
      <c r="N32" s="34"/>
      <c r="P32" s="34"/>
    </row>
    <row r="33" spans="1:16" ht="14.25">
      <c r="A33" s="15" t="s">
        <v>48</v>
      </c>
      <c r="B33" s="5">
        <f>L32</f>
        <v>1975.84</v>
      </c>
      <c r="C33" s="6">
        <v>2415.5070000000001</v>
      </c>
      <c r="D33" s="99">
        <f>(14753*2204.622)/1000000</f>
        <v>32.524788365999996</v>
      </c>
      <c r="E33" s="99">
        <f>SUM(B33:D33)</f>
        <v>4423.8717883660001</v>
      </c>
      <c r="F33" s="75"/>
      <c r="G33" s="75">
        <f>K33-J33</f>
        <v>2234.2212434378002</v>
      </c>
      <c r="H33" s="129">
        <v>1024.8389999999999</v>
      </c>
      <c r="I33" s="99">
        <f>G33-H33</f>
        <v>1209.3822434378003</v>
      </c>
      <c r="J33" s="99">
        <f>(142303.1*2204.622)/1000000</f>
        <v>313.72454492820003</v>
      </c>
      <c r="K33" s="99">
        <f>E33-L33</f>
        <v>2547.9457883660002</v>
      </c>
      <c r="L33" s="6">
        <v>1875.9259999999999</v>
      </c>
      <c r="N33" s="34"/>
      <c r="P33" s="34"/>
    </row>
    <row r="34" spans="1:16" ht="14.25">
      <c r="A34" s="15" t="s">
        <v>50</v>
      </c>
      <c r="B34" s="5">
        <f>L33</f>
        <v>1875.9259999999999</v>
      </c>
      <c r="C34" s="6">
        <v>2351.509</v>
      </c>
      <c r="D34" s="99">
        <f>(12449.7*2204.622)/1000000</f>
        <v>27.446882513399999</v>
      </c>
      <c r="E34" s="99">
        <f>SUM(B34:D34)</f>
        <v>4254.8818825133994</v>
      </c>
      <c r="F34" s="75"/>
      <c r="G34" s="75">
        <f>K34-J34</f>
        <v>2266.7094825617996</v>
      </c>
      <c r="H34" s="129" t="s">
        <v>77</v>
      </c>
      <c r="I34" s="99" t="s">
        <v>77</v>
      </c>
      <c r="J34" s="99">
        <f>(42457.8*2204.622)/1000000</f>
        <v>93.603399951599997</v>
      </c>
      <c r="K34" s="99">
        <f>E34-L34</f>
        <v>2360.3128825133995</v>
      </c>
      <c r="L34" s="6">
        <v>1894.569</v>
      </c>
      <c r="N34" s="34"/>
      <c r="P34" s="34"/>
    </row>
    <row r="35" spans="1:16" ht="16.5">
      <c r="A35" s="173" t="s">
        <v>158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</row>
    <row r="36" spans="1:16" ht="14.25">
      <c r="A36" s="15" t="s">
        <v>68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6" ht="14.25">
      <c r="A37" s="20" t="s">
        <v>57</v>
      </c>
      <c r="B37" s="36">
        <f>Contents!A17</f>
        <v>45883</v>
      </c>
      <c r="K37" s="34"/>
    </row>
    <row r="38" spans="1:16">
      <c r="E38" s="34"/>
    </row>
    <row r="39" spans="1:16">
      <c r="C39" s="133"/>
      <c r="D39" s="133"/>
      <c r="E39" s="134"/>
      <c r="F39" s="133"/>
      <c r="G39" s="133"/>
      <c r="H39" s="133"/>
      <c r="I39" s="133"/>
      <c r="J39" s="133"/>
      <c r="K39" s="135"/>
    </row>
    <row r="40" spans="1:16">
      <c r="C40" s="133"/>
      <c r="D40" s="133"/>
      <c r="E40" s="134"/>
      <c r="F40" s="133"/>
      <c r="G40" s="133"/>
      <c r="H40" s="133"/>
      <c r="I40" s="133"/>
      <c r="J40" s="133"/>
      <c r="K40" s="135"/>
    </row>
    <row r="41" spans="1:16">
      <c r="C41" s="133"/>
      <c r="D41" s="133"/>
      <c r="E41" s="134"/>
      <c r="F41" s="133"/>
      <c r="G41" s="133"/>
      <c r="H41" s="133"/>
      <c r="I41" s="133"/>
      <c r="J41" s="133"/>
      <c r="K41" s="135"/>
    </row>
    <row r="42" spans="1:16">
      <c r="C42" s="133"/>
      <c r="D42" s="133"/>
      <c r="E42" s="134"/>
      <c r="F42" s="133"/>
      <c r="G42" s="133"/>
      <c r="H42" s="133"/>
      <c r="I42" s="133"/>
      <c r="J42" s="133"/>
      <c r="K42" s="135"/>
    </row>
    <row r="43" spans="1:16">
      <c r="C43" s="133"/>
      <c r="D43" s="133"/>
      <c r="E43" s="134"/>
      <c r="F43" s="133"/>
      <c r="G43" s="133"/>
      <c r="H43" s="133"/>
      <c r="I43" s="133"/>
      <c r="J43" s="133"/>
      <c r="K43" s="135"/>
    </row>
    <row r="44" spans="1:16">
      <c r="C44" s="133"/>
      <c r="D44" s="133"/>
      <c r="E44" s="134"/>
      <c r="F44" s="133"/>
      <c r="G44" s="133"/>
      <c r="H44" s="133"/>
      <c r="I44" s="133"/>
      <c r="J44" s="133"/>
      <c r="K44" s="135"/>
    </row>
    <row r="45" spans="1:16">
      <c r="C45" s="133"/>
      <c r="D45" s="133"/>
      <c r="E45" s="134"/>
      <c r="F45" s="133"/>
      <c r="G45" s="133"/>
      <c r="H45" s="133"/>
      <c r="I45" s="133"/>
      <c r="J45" s="133"/>
      <c r="K45" s="135"/>
    </row>
    <row r="46" spans="1:16">
      <c r="C46" s="133"/>
      <c r="D46" s="133"/>
      <c r="E46" s="134"/>
      <c r="F46" s="133"/>
      <c r="G46" s="133"/>
      <c r="H46" s="133"/>
      <c r="I46" s="133"/>
      <c r="J46" s="133"/>
      <c r="K46" s="135"/>
    </row>
    <row r="47" spans="1:16">
      <c r="C47" s="133"/>
      <c r="D47" s="133"/>
      <c r="E47" s="134"/>
      <c r="F47" s="133"/>
      <c r="G47" s="133"/>
      <c r="H47" s="133"/>
      <c r="I47" s="133"/>
      <c r="J47" s="133"/>
      <c r="K47" s="135"/>
    </row>
    <row r="48" spans="1:16">
      <c r="C48" s="133"/>
      <c r="D48" s="133"/>
      <c r="E48" s="134"/>
      <c r="F48" s="133"/>
      <c r="G48" s="133"/>
      <c r="H48" s="133"/>
      <c r="I48" s="133"/>
      <c r="J48" s="133"/>
      <c r="K48" s="135"/>
    </row>
    <row r="49" spans="3:11">
      <c r="C49" s="133"/>
      <c r="D49" s="133"/>
      <c r="E49" s="134"/>
      <c r="F49" s="133"/>
      <c r="G49" s="133"/>
      <c r="H49" s="133"/>
      <c r="I49" s="133"/>
      <c r="J49" s="133"/>
      <c r="K49" s="135"/>
    </row>
    <row r="50" spans="3:11">
      <c r="C50" s="133"/>
      <c r="D50" s="133"/>
      <c r="E50" s="134"/>
      <c r="F50" s="133"/>
      <c r="G50" s="133"/>
      <c r="H50" s="133"/>
      <c r="I50" s="133"/>
      <c r="J50" s="133"/>
      <c r="K50" s="135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  <row r="58" spans="3:11">
      <c r="C58" s="34"/>
      <c r="D58" s="34"/>
      <c r="E58" s="34"/>
      <c r="F58" s="34"/>
      <c r="G58" s="34"/>
      <c r="H58" s="34"/>
      <c r="I58" s="34"/>
      <c r="J58" s="34"/>
      <c r="K58" s="34"/>
    </row>
    <row r="59" spans="3:11">
      <c r="C59" s="34"/>
      <c r="D59" s="34"/>
      <c r="E59" s="34"/>
      <c r="F59" s="34"/>
      <c r="G59" s="34"/>
      <c r="H59" s="34"/>
      <c r="I59" s="34"/>
      <c r="J59" s="34"/>
      <c r="K59" s="34"/>
    </row>
    <row r="60" spans="3:11">
      <c r="C60" s="34"/>
      <c r="D60" s="34"/>
      <c r="E60" s="34"/>
      <c r="F60" s="34"/>
      <c r="G60" s="34"/>
      <c r="H60" s="34"/>
      <c r="I60" s="34"/>
      <c r="J60" s="34"/>
      <c r="K60" s="34"/>
    </row>
    <row r="61" spans="3:11">
      <c r="C61" s="34"/>
      <c r="D61" s="34"/>
      <c r="E61" s="34"/>
      <c r="F61" s="34"/>
      <c r="G61" s="34"/>
      <c r="H61" s="34"/>
      <c r="I61" s="34"/>
      <c r="J61" s="34"/>
      <c r="K61" s="34"/>
    </row>
    <row r="62" spans="3:11">
      <c r="C62" s="34"/>
      <c r="D62" s="34"/>
      <c r="E62" s="34"/>
      <c r="F62" s="34"/>
      <c r="G62" s="34"/>
      <c r="H62" s="34"/>
      <c r="I62" s="34"/>
      <c r="J62" s="34"/>
      <c r="K62" s="34"/>
    </row>
  </sheetData>
  <mergeCells count="3">
    <mergeCell ref="B5:L5"/>
    <mergeCell ref="G2:I2"/>
    <mergeCell ref="B2:E2"/>
  </mergeCells>
  <phoneticPr fontId="61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28515625" defaultRowHeight="12.75"/>
  <cols>
    <col min="1" max="1" width="15.42578125" customWidth="1"/>
    <col min="2" max="2" width="13.28515625" customWidth="1"/>
    <col min="3" max="3" width="12.28515625" customWidth="1"/>
    <col min="4" max="4" width="16.5703125" customWidth="1"/>
    <col min="5" max="5" width="15.42578125" customWidth="1"/>
    <col min="6" max="6" width="11.42578125" customWidth="1"/>
    <col min="7" max="7" width="11.5703125" customWidth="1"/>
    <col min="8" max="8" width="14" customWidth="1"/>
    <col min="9" max="9" width="9.5703125" customWidth="1"/>
    <col min="10" max="11" width="7.5703125" customWidth="1"/>
    <col min="12" max="12" width="10" customWidth="1"/>
    <col min="13" max="13" width="9.5703125" customWidth="1"/>
    <col min="14" max="14" width="9.5703125" bestFit="1" customWidth="1"/>
    <col min="15" max="15" width="8.42578125" bestFit="1" customWidth="1"/>
    <col min="19" max="19" width="17.42578125" bestFit="1" customWidth="1"/>
    <col min="21" max="21" width="28.42578125" bestFit="1" customWidth="1"/>
  </cols>
  <sheetData>
    <row r="1" spans="1:15" ht="14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4.25">
      <c r="A2" s="15"/>
      <c r="B2" s="216" t="s">
        <v>58</v>
      </c>
      <c r="C2" s="216"/>
      <c r="D2" s="216"/>
      <c r="E2" s="216"/>
      <c r="F2" s="66"/>
      <c r="G2" s="216" t="s">
        <v>59</v>
      </c>
      <c r="H2" s="216"/>
      <c r="I2" s="216"/>
      <c r="J2" s="216"/>
      <c r="K2" s="66"/>
      <c r="L2" s="15"/>
      <c r="M2" s="15"/>
      <c r="N2" s="15"/>
      <c r="O2" s="15"/>
    </row>
    <row r="3" spans="1:15" ht="14.25">
      <c r="A3" s="15" t="s">
        <v>18</v>
      </c>
      <c r="B3" s="20" t="s">
        <v>69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4.25">
      <c r="A4" s="21" t="s">
        <v>78</v>
      </c>
      <c r="B4" s="23" t="s">
        <v>79</v>
      </c>
      <c r="C4" s="52" t="s">
        <v>27</v>
      </c>
      <c r="D4" s="25" t="s">
        <v>70</v>
      </c>
      <c r="E4" s="23" t="s">
        <v>80</v>
      </c>
      <c r="F4" s="24"/>
      <c r="G4" s="23" t="s">
        <v>81</v>
      </c>
      <c r="H4" s="23" t="s">
        <v>31</v>
      </c>
      <c r="I4" s="23" t="s">
        <v>82</v>
      </c>
      <c r="J4" s="23" t="s">
        <v>83</v>
      </c>
      <c r="K4" s="23" t="s">
        <v>62</v>
      </c>
      <c r="L4" s="15"/>
      <c r="M4" s="15"/>
      <c r="N4" s="15"/>
      <c r="O4" s="15"/>
    </row>
    <row r="5" spans="1:15" ht="14.25">
      <c r="A5" s="15"/>
      <c r="B5" s="221" t="s">
        <v>84</v>
      </c>
      <c r="C5" s="221"/>
      <c r="D5" s="221"/>
      <c r="E5" s="221"/>
      <c r="F5" s="221"/>
      <c r="G5" s="221"/>
      <c r="H5" s="221"/>
      <c r="I5" s="221"/>
      <c r="J5" s="221"/>
      <c r="K5" s="221"/>
      <c r="L5" s="15"/>
      <c r="M5" s="15"/>
      <c r="N5" s="15"/>
      <c r="O5" s="15"/>
    </row>
    <row r="6" spans="1:15" ht="14.25">
      <c r="A6" s="15" t="s">
        <v>35</v>
      </c>
      <c r="B6" s="68">
        <v>385.13499999999999</v>
      </c>
      <c r="C6" s="68">
        <v>3644</v>
      </c>
      <c r="D6" s="152">
        <v>24.143999999999998</v>
      </c>
      <c r="E6" s="68">
        <f>B6+C6+D6</f>
        <v>4053.279</v>
      </c>
      <c r="F6" s="69"/>
      <c r="G6" s="68">
        <v>1371.923</v>
      </c>
      <c r="H6" s="153">
        <v>389.28699999999998</v>
      </c>
      <c r="I6" s="68">
        <f>J6-G6-H6</f>
        <v>1921.8943148147448</v>
      </c>
      <c r="J6" s="68">
        <f>E6-K6</f>
        <v>3683.1043148147451</v>
      </c>
      <c r="K6" s="68">
        <v>370.17468518525493</v>
      </c>
      <c r="L6" s="115"/>
      <c r="M6" s="115"/>
      <c r="N6" s="115"/>
      <c r="O6" s="15"/>
    </row>
    <row r="7" spans="1:15" ht="15" customHeight="1">
      <c r="A7" s="15" t="s">
        <v>36</v>
      </c>
      <c r="B7" s="68">
        <f>K6</f>
        <v>370.17468518525493</v>
      </c>
      <c r="C7" s="68">
        <v>4262</v>
      </c>
      <c r="D7" s="152">
        <v>50</v>
      </c>
      <c r="E7" s="68">
        <f>B7+C7+D7</f>
        <v>4682.1746851852549</v>
      </c>
      <c r="F7" s="69"/>
      <c r="G7" s="68">
        <v>1200</v>
      </c>
      <c r="H7" s="153">
        <v>250</v>
      </c>
      <c r="I7" s="68">
        <v>2832</v>
      </c>
      <c r="J7" s="68">
        <f>SUM(G7:I7)</f>
        <v>4282</v>
      </c>
      <c r="K7" s="68">
        <f>E7-J7</f>
        <v>400.17468518525493</v>
      </c>
      <c r="L7" s="115"/>
      <c r="M7" s="15"/>
      <c r="N7" s="115"/>
      <c r="O7" s="15"/>
    </row>
    <row r="8" spans="1:15" ht="15" customHeight="1">
      <c r="A8" s="14" t="s">
        <v>37</v>
      </c>
      <c r="B8" s="204">
        <f>K7</f>
        <v>400.17468518525493</v>
      </c>
      <c r="C8" s="204">
        <v>3999</v>
      </c>
      <c r="D8" s="205">
        <v>50</v>
      </c>
      <c r="E8" s="204">
        <f>B8+C8+D8</f>
        <v>4449.1746851852549</v>
      </c>
      <c r="F8" s="206"/>
      <c r="G8" s="204">
        <v>1250</v>
      </c>
      <c r="H8" s="207">
        <v>200</v>
      </c>
      <c r="I8" s="204">
        <v>2619</v>
      </c>
      <c r="J8" s="204">
        <f>SUM(G8:I8)</f>
        <v>4069</v>
      </c>
      <c r="K8" s="204">
        <f>E8-J8</f>
        <v>380.17468518525493</v>
      </c>
      <c r="L8" s="15"/>
      <c r="M8" s="15"/>
      <c r="N8" s="15"/>
      <c r="O8" s="15"/>
    </row>
    <row r="9" spans="1:15" ht="16.5">
      <c r="A9" s="172" t="s">
        <v>159</v>
      </c>
      <c r="B9" s="15"/>
      <c r="C9" s="67"/>
      <c r="D9" s="67"/>
      <c r="E9" s="67"/>
      <c r="F9" s="67"/>
      <c r="G9" s="70"/>
      <c r="H9" s="67"/>
      <c r="I9" s="67"/>
      <c r="J9" s="67"/>
      <c r="K9" s="15"/>
      <c r="L9" s="15"/>
      <c r="M9" s="15"/>
      <c r="N9" s="15"/>
      <c r="O9" s="15"/>
    </row>
    <row r="10" spans="1:15" ht="14.25">
      <c r="A10" s="15" t="s">
        <v>85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25">
      <c r="A11" s="15" t="s">
        <v>86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4.25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4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4.25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4.25">
      <c r="A15" s="15"/>
      <c r="B15" s="216" t="s">
        <v>58</v>
      </c>
      <c r="C15" s="216"/>
      <c r="D15" s="216"/>
      <c r="E15" s="216"/>
      <c r="F15" s="15"/>
      <c r="G15" s="216" t="s">
        <v>59</v>
      </c>
      <c r="H15" s="216"/>
      <c r="I15" s="216"/>
      <c r="J15" s="15"/>
      <c r="K15" s="15"/>
      <c r="L15" s="15"/>
      <c r="M15" s="15"/>
      <c r="N15" s="15"/>
      <c r="O15" s="15"/>
    </row>
    <row r="16" spans="1:15" ht="14.25">
      <c r="A16" s="15" t="s">
        <v>18</v>
      </c>
      <c r="B16" s="17" t="s">
        <v>69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4.25">
      <c r="A17" s="21" t="s">
        <v>61</v>
      </c>
      <c r="B17" s="23" t="s">
        <v>62</v>
      </c>
      <c r="C17" s="52" t="s">
        <v>27</v>
      </c>
      <c r="D17" s="25" t="s">
        <v>70</v>
      </c>
      <c r="E17" s="23" t="s">
        <v>83</v>
      </c>
      <c r="F17" s="24"/>
      <c r="G17" s="68" t="s">
        <v>87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25">
      <c r="A18" s="15"/>
      <c r="B18" s="221" t="s">
        <v>88</v>
      </c>
      <c r="C18" s="221"/>
      <c r="D18" s="221"/>
      <c r="E18" s="221"/>
      <c r="F18" s="221"/>
      <c r="G18" s="221"/>
      <c r="H18" s="221"/>
      <c r="I18" s="221"/>
      <c r="J18" s="221"/>
      <c r="K18" s="15"/>
      <c r="L18" s="15"/>
      <c r="M18" s="15"/>
      <c r="N18" s="15"/>
      <c r="O18" s="15"/>
    </row>
    <row r="19" spans="1:15" ht="14.25">
      <c r="A19" s="15" t="s">
        <v>35</v>
      </c>
      <c r="B19" s="68">
        <v>32.561</v>
      </c>
      <c r="C19" s="153">
        <v>568.43899999999996</v>
      </c>
      <c r="D19" s="152">
        <v>0.05</v>
      </c>
      <c r="E19" s="153">
        <f>B19+C19+D19</f>
        <v>601.04999999999995</v>
      </c>
      <c r="F19" s="69"/>
      <c r="G19" s="153">
        <f>I19-H19</f>
        <v>515.85099999999989</v>
      </c>
      <c r="H19" s="153">
        <v>50.69</v>
      </c>
      <c r="I19" s="153">
        <f>E19-J19</f>
        <v>566.54099999999994</v>
      </c>
      <c r="J19" s="68">
        <v>34.509</v>
      </c>
      <c r="K19" s="15"/>
      <c r="L19" s="115"/>
      <c r="M19" s="15"/>
      <c r="N19" s="15"/>
      <c r="O19" s="15"/>
    </row>
    <row r="20" spans="1:15" ht="16.5">
      <c r="A20" s="15" t="s">
        <v>36</v>
      </c>
      <c r="B20" s="68">
        <f>J19</f>
        <v>34.509</v>
      </c>
      <c r="C20" s="153">
        <v>575</v>
      </c>
      <c r="D20" s="152">
        <v>0</v>
      </c>
      <c r="E20" s="153">
        <f>B20+C20+D20</f>
        <v>609.50900000000001</v>
      </c>
      <c r="F20" s="69"/>
      <c r="G20" s="153">
        <v>520</v>
      </c>
      <c r="H20" s="153">
        <v>50</v>
      </c>
      <c r="I20" s="153">
        <f>SUM(G20:H20)</f>
        <v>570</v>
      </c>
      <c r="J20" s="68">
        <f>E20-I20</f>
        <v>39.509000000000015</v>
      </c>
      <c r="K20" s="15"/>
      <c r="L20" s="115"/>
      <c r="M20" s="15"/>
      <c r="N20" s="15"/>
      <c r="O20" s="15"/>
    </row>
    <row r="21" spans="1:15" ht="16.5">
      <c r="A21" s="14" t="s">
        <v>37</v>
      </c>
      <c r="B21" s="68">
        <f>J20</f>
        <v>39.509000000000015</v>
      </c>
      <c r="C21" s="153">
        <v>550</v>
      </c>
      <c r="D21" s="152">
        <v>0</v>
      </c>
      <c r="E21" s="153">
        <f>B21+C21+D21</f>
        <v>589.50900000000001</v>
      </c>
      <c r="F21" s="69"/>
      <c r="G21" s="153">
        <v>500</v>
      </c>
      <c r="H21" s="153">
        <v>50</v>
      </c>
      <c r="I21" s="153">
        <f>SUM(G21:H21)</f>
        <v>550</v>
      </c>
      <c r="J21" s="68">
        <f>E21-I21</f>
        <v>39.509000000000015</v>
      </c>
      <c r="K21" s="15"/>
      <c r="L21" s="15"/>
      <c r="M21" s="15"/>
      <c r="N21" s="15"/>
      <c r="O21" s="15"/>
    </row>
    <row r="22" spans="1:15" ht="16.5">
      <c r="A22" s="172" t="s">
        <v>159</v>
      </c>
      <c r="B22" s="66"/>
      <c r="C22" s="150"/>
      <c r="D22" s="150"/>
      <c r="E22" s="150"/>
      <c r="F22" s="150"/>
      <c r="G22" s="150"/>
      <c r="H22" s="150"/>
      <c r="I22" s="66"/>
      <c r="J22" s="66"/>
      <c r="K22" s="15"/>
      <c r="L22" s="15"/>
      <c r="M22" s="15"/>
      <c r="N22" s="15"/>
      <c r="O22" s="15"/>
    </row>
    <row r="23" spans="1:15" ht="14.25">
      <c r="A23" s="15" t="s">
        <v>89</v>
      </c>
      <c r="B23" s="69"/>
      <c r="C23" s="69"/>
      <c r="D23" s="69"/>
      <c r="E23" s="69"/>
      <c r="F23" s="69"/>
      <c r="G23" s="69"/>
      <c r="H23" s="69"/>
      <c r="I23" s="15"/>
      <c r="J23" s="15"/>
      <c r="K23" s="15"/>
      <c r="L23" s="15"/>
      <c r="M23" s="15"/>
      <c r="N23" s="15"/>
      <c r="O23" s="15"/>
    </row>
    <row r="24" spans="1:15" ht="14.25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4.25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4.25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4.25">
      <c r="A27" s="15"/>
      <c r="B27" s="216" t="s">
        <v>58</v>
      </c>
      <c r="C27" s="216"/>
      <c r="D27" s="216"/>
      <c r="E27" s="216"/>
      <c r="F27" s="15"/>
      <c r="G27" s="216" t="s">
        <v>59</v>
      </c>
      <c r="H27" s="216"/>
      <c r="I27" s="216"/>
      <c r="J27" s="15"/>
      <c r="K27" s="15"/>
      <c r="L27" s="15"/>
      <c r="M27" s="15"/>
      <c r="N27" s="15"/>
      <c r="O27" s="15"/>
    </row>
    <row r="28" spans="1:15" ht="14.25">
      <c r="A28" s="15" t="s">
        <v>18</v>
      </c>
      <c r="B28" s="17" t="s">
        <v>69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4.25">
      <c r="A29" s="21" t="s">
        <v>61</v>
      </c>
      <c r="B29" s="23" t="s">
        <v>62</v>
      </c>
      <c r="C29" s="23" t="s">
        <v>27</v>
      </c>
      <c r="D29" s="25" t="s">
        <v>70</v>
      </c>
      <c r="E29" s="23" t="s">
        <v>83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25">
      <c r="A30" s="15"/>
      <c r="B30" s="221" t="s">
        <v>74</v>
      </c>
      <c r="C30" s="221"/>
      <c r="D30" s="221"/>
      <c r="E30" s="221"/>
      <c r="F30" s="221"/>
      <c r="G30" s="221"/>
      <c r="H30" s="221"/>
      <c r="I30" s="221"/>
      <c r="J30" s="221"/>
      <c r="K30" s="15"/>
      <c r="L30" s="15"/>
      <c r="M30" s="15"/>
      <c r="N30" s="15"/>
      <c r="O30" s="15"/>
    </row>
    <row r="31" spans="1:15" ht="14.25">
      <c r="A31" s="15" t="s">
        <v>35</v>
      </c>
      <c r="B31" s="152">
        <v>50.117999999999995</v>
      </c>
      <c r="C31" s="153">
        <v>358.70499999999998</v>
      </c>
      <c r="D31" s="152">
        <v>1.9690000000000001</v>
      </c>
      <c r="E31" s="154">
        <f>B31+C31+D31</f>
        <v>410.79199999999997</v>
      </c>
      <c r="F31" s="69"/>
      <c r="G31" s="153">
        <f>I31-H31</f>
        <v>338.35299999999995</v>
      </c>
      <c r="H31" s="153">
        <v>22.446000000000002</v>
      </c>
      <c r="I31" s="153">
        <f>E31-J31</f>
        <v>360.79899999999998</v>
      </c>
      <c r="J31" s="153">
        <v>49.993000000000002</v>
      </c>
      <c r="K31" s="15"/>
      <c r="L31" s="115"/>
      <c r="M31" s="15"/>
      <c r="N31" s="15"/>
      <c r="O31" s="15"/>
    </row>
    <row r="32" spans="1:15" ht="16.5">
      <c r="A32" s="15" t="s">
        <v>36</v>
      </c>
      <c r="B32" s="152">
        <f>J31</f>
        <v>49.993000000000002</v>
      </c>
      <c r="C32" s="153">
        <v>320</v>
      </c>
      <c r="D32" s="152">
        <v>5</v>
      </c>
      <c r="E32" s="154">
        <f>B32+C32+D32</f>
        <v>374.99299999999999</v>
      </c>
      <c r="F32" s="69"/>
      <c r="G32" s="153">
        <v>290</v>
      </c>
      <c r="H32" s="153">
        <v>35</v>
      </c>
      <c r="I32" s="153">
        <f>SUM(G32:H32)</f>
        <v>325</v>
      </c>
      <c r="J32" s="153">
        <f>E32-I32</f>
        <v>49.992999999999995</v>
      </c>
      <c r="K32" s="15"/>
      <c r="L32" s="15"/>
      <c r="M32" s="15"/>
      <c r="N32" s="15"/>
      <c r="O32" s="15"/>
    </row>
    <row r="33" spans="1:18" ht="16.5">
      <c r="A33" s="14" t="s">
        <v>37</v>
      </c>
      <c r="B33" s="205">
        <f>J32</f>
        <v>49.992999999999995</v>
      </c>
      <c r="C33" s="207">
        <v>335</v>
      </c>
      <c r="D33" s="205">
        <v>5</v>
      </c>
      <c r="E33" s="208">
        <f>B33+C33+D33</f>
        <v>389.99299999999999</v>
      </c>
      <c r="F33" s="206"/>
      <c r="G33" s="207">
        <v>290</v>
      </c>
      <c r="H33" s="207">
        <v>50</v>
      </c>
      <c r="I33" s="207">
        <f>SUM(G33:H33)</f>
        <v>340</v>
      </c>
      <c r="J33" s="207">
        <f>E33-I33</f>
        <v>49.992999999999995</v>
      </c>
      <c r="K33" s="15"/>
      <c r="L33" s="15"/>
      <c r="M33" s="15"/>
      <c r="N33" s="15"/>
      <c r="O33" s="15"/>
    </row>
    <row r="34" spans="1:18" ht="16.5">
      <c r="A34" s="172" t="s">
        <v>159</v>
      </c>
      <c r="B34" s="15"/>
      <c r="C34" s="67"/>
      <c r="D34" s="67"/>
      <c r="E34" s="67"/>
      <c r="F34" s="67"/>
      <c r="G34" s="67"/>
      <c r="H34" s="67"/>
      <c r="I34" s="15"/>
      <c r="J34" s="15"/>
      <c r="K34" s="15"/>
      <c r="L34" s="15"/>
      <c r="M34" s="15"/>
      <c r="N34" s="15"/>
      <c r="O34" s="15"/>
      <c r="R34" s="105"/>
    </row>
    <row r="35" spans="1:18" ht="14.25">
      <c r="A35" s="15" t="s">
        <v>89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5"/>
    </row>
    <row r="36" spans="1:18" ht="14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4.25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4.25">
      <c r="A39" s="15"/>
      <c r="B39" s="216" t="s">
        <v>14</v>
      </c>
      <c r="C39" s="216"/>
      <c r="D39" s="17" t="s">
        <v>15</v>
      </c>
      <c r="E39" s="216" t="s">
        <v>16</v>
      </c>
      <c r="F39" s="216"/>
      <c r="G39" s="216"/>
      <c r="H39" s="216"/>
      <c r="I39" s="15"/>
      <c r="J39" s="216" t="s">
        <v>59</v>
      </c>
      <c r="K39" s="216"/>
      <c r="L39" s="216"/>
      <c r="M39" s="216"/>
      <c r="N39" s="216"/>
      <c r="O39" s="66"/>
    </row>
    <row r="40" spans="1:18" ht="14.25">
      <c r="A40" s="15" t="s">
        <v>18</v>
      </c>
      <c r="B40" s="17" t="s">
        <v>19</v>
      </c>
      <c r="C40" s="17" t="s">
        <v>20</v>
      </c>
      <c r="D40" s="15"/>
      <c r="E40" s="17" t="s">
        <v>69</v>
      </c>
      <c r="F40" s="17"/>
      <c r="G40" s="17"/>
      <c r="H40" s="17"/>
      <c r="I40" s="15"/>
      <c r="J40" s="49" t="s">
        <v>87</v>
      </c>
      <c r="K40" s="17"/>
      <c r="L40" s="17" t="s">
        <v>23</v>
      </c>
      <c r="M40" s="17"/>
      <c r="N40" s="17"/>
      <c r="O40" s="17" t="s">
        <v>60</v>
      </c>
    </row>
    <row r="41" spans="1:18" ht="14.25">
      <c r="A41" s="21" t="s">
        <v>78</v>
      </c>
      <c r="B41" s="22"/>
      <c r="C41" s="22"/>
      <c r="D41" s="22"/>
      <c r="E41" s="23" t="s">
        <v>62</v>
      </c>
      <c r="F41" s="23" t="s">
        <v>27</v>
      </c>
      <c r="G41" s="23" t="s">
        <v>70</v>
      </c>
      <c r="H41" s="23" t="s">
        <v>83</v>
      </c>
      <c r="I41" s="23"/>
      <c r="J41" s="23" t="s">
        <v>90</v>
      </c>
      <c r="K41" s="23" t="s">
        <v>81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25">
      <c r="A42" s="15"/>
      <c r="B42" s="219" t="s">
        <v>91</v>
      </c>
      <c r="C42" s="220"/>
      <c r="D42" s="71" t="s">
        <v>92</v>
      </c>
      <c r="E42" s="222" t="s">
        <v>93</v>
      </c>
      <c r="F42" s="221"/>
      <c r="G42" s="221"/>
      <c r="H42" s="221"/>
      <c r="I42" s="221"/>
      <c r="J42" s="221"/>
      <c r="K42" s="221"/>
      <c r="L42" s="221"/>
      <c r="M42" s="221"/>
      <c r="N42" s="221"/>
      <c r="O42" s="220"/>
    </row>
    <row r="43" spans="1:18" ht="14.25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4.25">
      <c r="A44" s="15" t="s">
        <v>35</v>
      </c>
      <c r="B44" s="68">
        <v>1645</v>
      </c>
      <c r="C44" s="68">
        <v>1557</v>
      </c>
      <c r="D44" s="68">
        <v>3774.9261400128453</v>
      </c>
      <c r="E44" s="68">
        <v>2033.086</v>
      </c>
      <c r="F44" s="68">
        <v>5877.56</v>
      </c>
      <c r="G44" s="153">
        <v>104.29</v>
      </c>
      <c r="H44" s="68">
        <v>8014.9596675784951</v>
      </c>
      <c r="I44" s="68"/>
      <c r="J44" s="68">
        <v>3123.4</v>
      </c>
      <c r="K44" s="68">
        <v>654.23564369999997</v>
      </c>
      <c r="L44" s="153">
        <f>N44-M44-J44-K44</f>
        <v>1301.3553895999735</v>
      </c>
      <c r="M44" s="153">
        <v>1455.3466342785212</v>
      </c>
      <c r="N44" s="68">
        <f>H44-O44</f>
        <v>6534.3376675784948</v>
      </c>
      <c r="O44" s="68">
        <v>1480.6220000000001</v>
      </c>
      <c r="P44" s="105"/>
      <c r="Q44" s="105"/>
    </row>
    <row r="45" spans="1:18" ht="16.5">
      <c r="A45" s="15" t="s">
        <v>36</v>
      </c>
      <c r="B45" s="68">
        <v>1801</v>
      </c>
      <c r="C45" s="68">
        <v>1758</v>
      </c>
      <c r="D45" s="68">
        <f>F45*1000/C45</f>
        <v>3667.8156996587031</v>
      </c>
      <c r="E45" s="68">
        <f>O44</f>
        <v>1480.6220000000001</v>
      </c>
      <c r="F45" s="68">
        <v>6448.02</v>
      </c>
      <c r="G45" s="153">
        <v>110</v>
      </c>
      <c r="H45" s="68">
        <f>SUM(E45:G45)</f>
        <v>8038.6420000000007</v>
      </c>
      <c r="I45" s="68"/>
      <c r="J45" s="68">
        <v>3111.34</v>
      </c>
      <c r="K45" s="68">
        <v>720</v>
      </c>
      <c r="L45" s="153">
        <v>1317.625</v>
      </c>
      <c r="M45" s="153">
        <v>1210</v>
      </c>
      <c r="N45" s="68">
        <f>SUM(J45:M45)</f>
        <v>6358.9650000000001</v>
      </c>
      <c r="O45" s="68">
        <f>H45-N45</f>
        <v>1679.6770000000006</v>
      </c>
      <c r="P45" s="105"/>
      <c r="Q45" s="105"/>
    </row>
    <row r="46" spans="1:18" ht="16.5">
      <c r="A46" s="14" t="s">
        <v>37</v>
      </c>
      <c r="B46" s="204">
        <v>1941</v>
      </c>
      <c r="C46" s="204">
        <v>1888</v>
      </c>
      <c r="D46" s="204">
        <v>3838</v>
      </c>
      <c r="E46" s="204">
        <f>O45</f>
        <v>1679.6770000000006</v>
      </c>
      <c r="F46" s="204">
        <v>7245.6</v>
      </c>
      <c r="G46" s="207">
        <v>105</v>
      </c>
      <c r="H46" s="204">
        <f>SUM(E46:G46)</f>
        <v>9030.2770000000019</v>
      </c>
      <c r="I46" s="204"/>
      <c r="J46" s="204">
        <v>3153</v>
      </c>
      <c r="K46" s="204">
        <v>875</v>
      </c>
      <c r="L46" s="207">
        <v>1452.546</v>
      </c>
      <c r="M46" s="207">
        <v>1450</v>
      </c>
      <c r="N46" s="204">
        <f>SUM(J46:M46)</f>
        <v>6930.5460000000003</v>
      </c>
      <c r="O46" s="204">
        <f>H46-N46</f>
        <v>2099.7310000000016</v>
      </c>
      <c r="P46" s="105"/>
      <c r="Q46" s="105"/>
    </row>
    <row r="47" spans="1:18" ht="16.5">
      <c r="A47" s="172" t="s">
        <v>159</v>
      </c>
      <c r="B47" s="15"/>
      <c r="C47" s="67"/>
      <c r="D47" s="67"/>
      <c r="E47" s="67"/>
      <c r="F47" s="67"/>
      <c r="G47" s="67"/>
      <c r="H47" s="67"/>
      <c r="I47" s="15"/>
      <c r="J47" s="15"/>
      <c r="K47" s="15"/>
      <c r="L47" s="15"/>
      <c r="M47" s="15"/>
      <c r="N47" s="15"/>
      <c r="O47" s="15"/>
    </row>
    <row r="48" spans="1:18" ht="14.25">
      <c r="A48" s="15" t="s">
        <v>94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25">
      <c r="A49" s="15" t="s">
        <v>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4.25">
      <c r="A50" s="20" t="s">
        <v>57</v>
      </c>
      <c r="B50" s="72">
        <f>Contents!A17</f>
        <v>45883</v>
      </c>
      <c r="C50" s="15"/>
      <c r="D50" s="15"/>
      <c r="E50" s="15"/>
      <c r="F50" s="15"/>
      <c r="G50" s="15"/>
      <c r="H50" s="15"/>
      <c r="I50" s="15"/>
      <c r="J50" s="115"/>
      <c r="K50" s="15"/>
      <c r="L50" s="15"/>
      <c r="M50" s="15"/>
      <c r="N50" s="15"/>
      <c r="O50" s="15"/>
    </row>
    <row r="51" spans="1:15" ht="18" customHeight="1">
      <c r="A51" s="73"/>
      <c r="B51" s="74"/>
      <c r="C51" s="74"/>
      <c r="D51" s="74"/>
      <c r="E51" s="74"/>
      <c r="F51" s="74"/>
      <c r="G51" s="74"/>
      <c r="H51" s="74"/>
      <c r="I51" s="74"/>
      <c r="J51" s="86"/>
      <c r="K51" s="74"/>
      <c r="L51" s="74"/>
      <c r="M51" s="74"/>
      <c r="N51" s="74"/>
      <c r="O51" s="74"/>
    </row>
    <row r="52" spans="1:15" ht="15.75">
      <c r="G52" s="57"/>
      <c r="H52" s="57"/>
    </row>
    <row r="53" spans="1:15" ht="15.75">
      <c r="G53" s="57"/>
      <c r="H53" s="57"/>
    </row>
    <row r="54" spans="1:15" ht="15.75">
      <c r="G54" s="57"/>
      <c r="H54" s="57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61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50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2" width="18.7109375" bestFit="1" customWidth="1"/>
    <col min="3" max="3" width="22.28515625" bestFit="1" customWidth="1"/>
    <col min="4" max="4" width="23.7109375" customWidth="1"/>
    <col min="5" max="5" width="25.42578125" customWidth="1"/>
    <col min="6" max="6" width="16.5703125" bestFit="1" customWidth="1"/>
    <col min="7" max="7" width="18.71093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95</v>
      </c>
      <c r="B2" s="17" t="s">
        <v>96</v>
      </c>
      <c r="C2" s="17" t="s">
        <v>97</v>
      </c>
      <c r="D2" s="17" t="s">
        <v>98</v>
      </c>
      <c r="E2" s="17" t="s">
        <v>99</v>
      </c>
      <c r="F2" s="17" t="s">
        <v>100</v>
      </c>
      <c r="G2" s="17" t="s">
        <v>101</v>
      </c>
    </row>
    <row r="3" spans="1:10" ht="15.6" customHeight="1">
      <c r="A3" s="14" t="s">
        <v>102</v>
      </c>
      <c r="B3" s="24"/>
      <c r="C3" s="43"/>
      <c r="D3" s="43"/>
      <c r="E3" s="43"/>
      <c r="F3" s="43"/>
      <c r="G3" s="43"/>
    </row>
    <row r="4" spans="1:10" ht="14.25">
      <c r="A4" s="44"/>
      <c r="B4" s="45" t="s">
        <v>103</v>
      </c>
      <c r="C4" s="45" t="s">
        <v>104</v>
      </c>
      <c r="D4" s="45" t="s">
        <v>105</v>
      </c>
      <c r="E4" s="45" t="s">
        <v>105</v>
      </c>
      <c r="F4" s="45" t="s">
        <v>106</v>
      </c>
      <c r="G4" s="45" t="s">
        <v>103</v>
      </c>
    </row>
    <row r="5" spans="1:10" ht="14.25">
      <c r="A5" s="15"/>
      <c r="B5" s="15"/>
      <c r="C5" s="15"/>
      <c r="D5" s="17"/>
      <c r="E5" s="15"/>
      <c r="F5" s="15"/>
      <c r="G5" s="15"/>
    </row>
    <row r="6" spans="1:10" ht="14.25">
      <c r="A6" s="15" t="s">
        <v>107</v>
      </c>
      <c r="B6" s="46">
        <v>11.3</v>
      </c>
      <c r="C6" s="46">
        <v>161</v>
      </c>
      <c r="D6" s="46">
        <v>23.3</v>
      </c>
      <c r="E6" s="46">
        <v>19.3</v>
      </c>
      <c r="F6" s="46">
        <v>22.5</v>
      </c>
      <c r="G6" s="46">
        <v>12.2</v>
      </c>
      <c r="J6" s="58"/>
    </row>
    <row r="7" spans="1:10" ht="14.25">
      <c r="A7" s="15" t="s">
        <v>108</v>
      </c>
      <c r="B7" s="46">
        <v>12.5</v>
      </c>
      <c r="C7" s="46">
        <v>260</v>
      </c>
      <c r="D7" s="46">
        <v>29.1</v>
      </c>
      <c r="E7" s="46">
        <v>24</v>
      </c>
      <c r="F7" s="46">
        <v>31.8</v>
      </c>
      <c r="G7" s="46">
        <v>13.9</v>
      </c>
      <c r="J7" s="58"/>
    </row>
    <row r="8" spans="1:10" ht="14.25">
      <c r="A8" s="15" t="s">
        <v>109</v>
      </c>
      <c r="B8" s="46">
        <v>14.4</v>
      </c>
      <c r="C8" s="46">
        <v>252</v>
      </c>
      <c r="D8" s="46">
        <v>25.4</v>
      </c>
      <c r="E8" s="46">
        <v>26.5</v>
      </c>
      <c r="F8" s="46">
        <v>30.1</v>
      </c>
      <c r="G8" s="46">
        <v>13.8</v>
      </c>
      <c r="J8" s="58"/>
    </row>
    <row r="9" spans="1:10" ht="14.25">
      <c r="A9" s="15" t="s">
        <v>110</v>
      </c>
      <c r="B9" s="46">
        <v>13</v>
      </c>
      <c r="C9" s="46">
        <v>246</v>
      </c>
      <c r="D9" s="46">
        <v>21.4</v>
      </c>
      <c r="E9" s="46">
        <v>20.6</v>
      </c>
      <c r="F9" s="46">
        <v>24.9</v>
      </c>
      <c r="G9" s="46">
        <v>13.8</v>
      </c>
      <c r="J9" s="58"/>
    </row>
    <row r="10" spans="1:10" ht="14.25">
      <c r="A10" s="15" t="s">
        <v>111</v>
      </c>
      <c r="B10" s="46">
        <v>10.1</v>
      </c>
      <c r="C10" s="46">
        <v>194</v>
      </c>
      <c r="D10" s="46">
        <v>21.7</v>
      </c>
      <c r="E10" s="46">
        <v>16.899999999999999</v>
      </c>
      <c r="F10" s="46">
        <v>22</v>
      </c>
      <c r="G10" s="46">
        <v>11.8</v>
      </c>
      <c r="J10" s="58"/>
    </row>
    <row r="11" spans="1:10" ht="14.25">
      <c r="A11" s="15" t="s">
        <v>112</v>
      </c>
      <c r="B11" s="46">
        <v>8.9499999999999993</v>
      </c>
      <c r="C11" s="46">
        <v>227</v>
      </c>
      <c r="D11" s="46">
        <v>19.600000000000001</v>
      </c>
      <c r="E11" s="46">
        <v>15.6</v>
      </c>
      <c r="F11" s="46">
        <v>19.3</v>
      </c>
      <c r="G11" s="46">
        <v>8.9499999999999993</v>
      </c>
      <c r="J11" s="58"/>
    </row>
    <row r="12" spans="1:10" ht="14.25">
      <c r="A12" s="15" t="s">
        <v>113</v>
      </c>
      <c r="B12" s="46">
        <v>9.4700000000000006</v>
      </c>
      <c r="C12" s="46">
        <v>195</v>
      </c>
      <c r="D12" s="46">
        <v>17.399999999999999</v>
      </c>
      <c r="E12" s="46">
        <v>16.600000000000001</v>
      </c>
      <c r="F12" s="46">
        <v>19.7</v>
      </c>
      <c r="G12" s="46">
        <v>8</v>
      </c>
      <c r="J12" s="58"/>
    </row>
    <row r="13" spans="1:10" ht="14.25">
      <c r="A13" s="15" t="s">
        <v>114</v>
      </c>
      <c r="B13" s="46">
        <v>9.33</v>
      </c>
      <c r="C13" s="46">
        <v>142</v>
      </c>
      <c r="D13" s="46">
        <v>17.2</v>
      </c>
      <c r="E13" s="46">
        <v>17.5</v>
      </c>
      <c r="F13" s="46">
        <v>22.9</v>
      </c>
      <c r="G13" s="46">
        <v>9.5299999999999994</v>
      </c>
      <c r="J13" s="58"/>
    </row>
    <row r="14" spans="1:10" ht="14.25">
      <c r="A14" s="15" t="s">
        <v>115</v>
      </c>
      <c r="B14" s="46">
        <v>8.48</v>
      </c>
      <c r="C14" s="46">
        <v>155</v>
      </c>
      <c r="D14" s="46">
        <v>17.399999999999999</v>
      </c>
      <c r="E14" s="46">
        <v>15.8</v>
      </c>
      <c r="F14" s="46">
        <v>21.5</v>
      </c>
      <c r="G14" s="46">
        <v>9.89</v>
      </c>
      <c r="J14" s="58"/>
    </row>
    <row r="15" spans="1:10" ht="14.25">
      <c r="A15" s="15" t="s">
        <v>116</v>
      </c>
      <c r="B15" s="46">
        <v>8.57</v>
      </c>
      <c r="C15" s="46">
        <v>161</v>
      </c>
      <c r="D15" s="46">
        <v>19.5</v>
      </c>
      <c r="E15" s="46">
        <v>14.8</v>
      </c>
      <c r="F15" s="46">
        <v>20.5</v>
      </c>
      <c r="G15" s="46">
        <v>9.15</v>
      </c>
      <c r="J15" s="58"/>
    </row>
    <row r="16" spans="1:10" ht="14.25">
      <c r="A16" s="15" t="s">
        <v>117</v>
      </c>
      <c r="B16" s="46">
        <v>10.8</v>
      </c>
      <c r="C16" s="46">
        <v>194</v>
      </c>
      <c r="D16" s="46">
        <v>21.3</v>
      </c>
      <c r="E16" s="46">
        <v>18.400000000000002</v>
      </c>
      <c r="F16" s="46">
        <v>21</v>
      </c>
      <c r="G16" s="46">
        <v>11.1</v>
      </c>
      <c r="J16" s="58"/>
    </row>
    <row r="17" spans="1:10" ht="14.25">
      <c r="A17" s="15" t="s">
        <v>118</v>
      </c>
      <c r="B17" s="46">
        <v>13.3</v>
      </c>
      <c r="C17" s="46">
        <v>243</v>
      </c>
      <c r="D17" s="88">
        <v>32.9</v>
      </c>
      <c r="E17" s="46">
        <v>32.9</v>
      </c>
      <c r="F17" s="46">
        <v>24.3</v>
      </c>
      <c r="G17" s="46">
        <v>25.9</v>
      </c>
      <c r="J17" s="58"/>
    </row>
    <row r="18" spans="1:10" ht="14.25">
      <c r="A18" s="15" t="s">
        <v>119</v>
      </c>
      <c r="B18" s="46">
        <v>14.2</v>
      </c>
      <c r="C18" s="88">
        <v>306</v>
      </c>
      <c r="D18" s="46">
        <v>27.8</v>
      </c>
      <c r="E18" s="46">
        <v>29.8</v>
      </c>
      <c r="F18" s="46">
        <v>26.8</v>
      </c>
      <c r="G18" s="88">
        <v>17.5</v>
      </c>
      <c r="H18" s="98"/>
      <c r="J18" s="58"/>
    </row>
    <row r="19" spans="1:10" ht="14.25">
      <c r="A19" s="15" t="s">
        <v>35</v>
      </c>
      <c r="B19" s="46">
        <v>12.4</v>
      </c>
      <c r="C19" s="46">
        <v>223</v>
      </c>
      <c r="D19" s="88">
        <v>21.2</v>
      </c>
      <c r="E19" s="46">
        <v>24.3</v>
      </c>
      <c r="F19" s="46">
        <v>26.9</v>
      </c>
      <c r="G19" s="88">
        <v>12.1</v>
      </c>
      <c r="H19" s="98"/>
      <c r="J19" s="58"/>
    </row>
    <row r="20" spans="1:10" ht="16.5">
      <c r="A20" s="15" t="s">
        <v>120</v>
      </c>
      <c r="B20" s="46">
        <v>10</v>
      </c>
      <c r="C20" s="46">
        <v>225</v>
      </c>
      <c r="D20" s="88">
        <v>23.3</v>
      </c>
      <c r="E20" s="46">
        <v>20.2</v>
      </c>
      <c r="F20" s="46">
        <v>25.9</v>
      </c>
      <c r="G20" s="88">
        <v>12.5</v>
      </c>
      <c r="H20" s="98"/>
      <c r="J20" s="58"/>
    </row>
    <row r="21" spans="1:10" ht="16.5">
      <c r="A21" s="15" t="s">
        <v>121</v>
      </c>
      <c r="B21" s="46">
        <v>10.1</v>
      </c>
      <c r="C21" s="46">
        <v>224</v>
      </c>
      <c r="D21" s="88">
        <v>22.6</v>
      </c>
      <c r="E21" s="46">
        <v>21</v>
      </c>
      <c r="F21" s="46">
        <v>25</v>
      </c>
      <c r="G21" s="88">
        <v>12.8</v>
      </c>
      <c r="H21" s="98"/>
      <c r="J21" s="58"/>
    </row>
    <row r="22" spans="1:10" ht="14.25">
      <c r="A22" s="15"/>
      <c r="B22" s="155"/>
      <c r="C22" s="155"/>
      <c r="D22" s="155"/>
      <c r="E22" s="155"/>
      <c r="F22" s="155"/>
      <c r="G22" s="155"/>
      <c r="H22" s="40"/>
      <c r="J22" s="58"/>
    </row>
    <row r="23" spans="1:10" ht="15">
      <c r="A23" s="48" t="s">
        <v>35</v>
      </c>
      <c r="B23" s="46"/>
      <c r="C23" s="46"/>
      <c r="D23" s="46"/>
      <c r="E23" s="117"/>
      <c r="F23" s="46"/>
      <c r="G23" s="117"/>
    </row>
    <row r="24" spans="1:10" ht="14.25">
      <c r="A24" s="15" t="s">
        <v>38</v>
      </c>
      <c r="B24" s="46">
        <v>13.2</v>
      </c>
      <c r="C24" s="46">
        <v>242</v>
      </c>
      <c r="D24" s="46">
        <v>24.2</v>
      </c>
      <c r="E24" s="117">
        <v>25</v>
      </c>
      <c r="F24" s="46">
        <v>26.9</v>
      </c>
      <c r="G24" s="117">
        <v>12</v>
      </c>
    </row>
    <row r="25" spans="1:10" ht="14.25">
      <c r="A25" s="15" t="s">
        <v>39</v>
      </c>
      <c r="B25" s="46">
        <v>12.7</v>
      </c>
      <c r="C25" s="46">
        <v>233</v>
      </c>
      <c r="D25" s="46">
        <v>20</v>
      </c>
      <c r="E25" s="117">
        <v>23.7</v>
      </c>
      <c r="F25" s="46">
        <v>26.7</v>
      </c>
      <c r="G25" s="117">
        <v>13</v>
      </c>
    </row>
    <row r="26" spans="1:10" ht="14.25">
      <c r="A26" s="15" t="s">
        <v>40</v>
      </c>
      <c r="B26" s="46">
        <v>13</v>
      </c>
      <c r="C26" s="46">
        <v>227</v>
      </c>
      <c r="D26" s="46">
        <v>22.6</v>
      </c>
      <c r="E26" s="117">
        <v>25.6</v>
      </c>
      <c r="F26" s="46">
        <v>29.4</v>
      </c>
      <c r="G26" s="117">
        <v>12.2</v>
      </c>
    </row>
    <row r="27" spans="1:10" ht="14.25">
      <c r="A27" s="15" t="s">
        <v>42</v>
      </c>
      <c r="B27" s="46">
        <v>13.1</v>
      </c>
      <c r="C27" s="46">
        <v>209</v>
      </c>
      <c r="D27" s="46">
        <v>24</v>
      </c>
      <c r="E27" s="117">
        <v>23.9</v>
      </c>
      <c r="F27" s="46">
        <v>23.7</v>
      </c>
      <c r="G27" s="117">
        <v>13.4</v>
      </c>
    </row>
    <row r="28" spans="1:10" ht="14.25">
      <c r="A28" s="15" t="s">
        <v>43</v>
      </c>
      <c r="B28" s="46">
        <v>12.8</v>
      </c>
      <c r="C28" s="46">
        <v>174</v>
      </c>
      <c r="D28" s="46">
        <v>21.4</v>
      </c>
      <c r="E28" s="117">
        <v>24.4</v>
      </c>
      <c r="F28" s="46">
        <v>27.1</v>
      </c>
      <c r="G28" s="117">
        <v>12.1</v>
      </c>
    </row>
    <row r="29" spans="1:10" ht="14.25">
      <c r="A29" s="15" t="s">
        <v>44</v>
      </c>
      <c r="B29" s="46">
        <v>11.9</v>
      </c>
      <c r="C29" s="46">
        <v>177</v>
      </c>
      <c r="D29" s="46">
        <v>22.4</v>
      </c>
      <c r="E29" s="117">
        <v>22.8</v>
      </c>
      <c r="F29" s="46">
        <v>26.4</v>
      </c>
      <c r="G29" s="117">
        <v>12.3</v>
      </c>
    </row>
    <row r="30" spans="1:10" ht="14.25">
      <c r="A30" s="15" t="s">
        <v>46</v>
      </c>
      <c r="B30" s="46">
        <v>11.8</v>
      </c>
      <c r="C30" s="46" t="s">
        <v>77</v>
      </c>
      <c r="D30" s="46">
        <v>22.5</v>
      </c>
      <c r="E30" s="117">
        <v>21.6</v>
      </c>
      <c r="F30" s="46">
        <v>27</v>
      </c>
      <c r="G30" s="117">
        <v>11.5</v>
      </c>
    </row>
    <row r="31" spans="1:10" ht="14.25">
      <c r="A31" s="15" t="s">
        <v>47</v>
      </c>
      <c r="B31" s="46">
        <v>11.8</v>
      </c>
      <c r="C31" s="46" t="s">
        <v>77</v>
      </c>
      <c r="D31" s="46">
        <v>20</v>
      </c>
      <c r="E31" s="117">
        <v>21.9</v>
      </c>
      <c r="F31" s="46">
        <v>27.2</v>
      </c>
      <c r="G31" s="117">
        <v>12.1</v>
      </c>
    </row>
    <row r="32" spans="1:10" ht="14.25">
      <c r="A32" s="15" t="s">
        <v>48</v>
      </c>
      <c r="B32" s="46">
        <v>11.9</v>
      </c>
      <c r="C32" s="46" t="s">
        <v>77</v>
      </c>
      <c r="D32" s="46">
        <v>23</v>
      </c>
      <c r="E32" s="117">
        <v>25.1</v>
      </c>
      <c r="F32" s="46">
        <v>26.7</v>
      </c>
      <c r="G32" s="117">
        <v>12.2</v>
      </c>
    </row>
    <row r="33" spans="1:12" ht="14.25">
      <c r="A33" s="118" t="s">
        <v>50</v>
      </c>
      <c r="B33" s="117">
        <v>11.8</v>
      </c>
      <c r="C33" s="117" t="s">
        <v>77</v>
      </c>
      <c r="D33" s="46">
        <v>17</v>
      </c>
      <c r="E33" s="117">
        <v>20.6</v>
      </c>
      <c r="F33" s="117">
        <v>26.2</v>
      </c>
      <c r="G33" s="117">
        <v>12</v>
      </c>
    </row>
    <row r="34" spans="1:12" ht="14.25">
      <c r="A34" s="15" t="s">
        <v>51</v>
      </c>
      <c r="B34" s="46">
        <v>11.3</v>
      </c>
      <c r="C34" s="46" t="s">
        <v>77</v>
      </c>
      <c r="D34" s="46">
        <v>20.9</v>
      </c>
      <c r="E34" s="46">
        <v>20.3</v>
      </c>
      <c r="F34" s="46">
        <v>27.3</v>
      </c>
      <c r="G34" s="46">
        <v>12.2</v>
      </c>
    </row>
    <row r="35" spans="1:12" ht="14.25">
      <c r="A35" s="15" t="s">
        <v>52</v>
      </c>
      <c r="B35" s="46">
        <v>10.3</v>
      </c>
      <c r="C35" s="46">
        <v>226</v>
      </c>
      <c r="D35" s="46">
        <v>18</v>
      </c>
      <c r="E35" s="46">
        <v>20</v>
      </c>
      <c r="F35" s="46">
        <v>26.8</v>
      </c>
      <c r="G35" s="46">
        <v>12</v>
      </c>
    </row>
    <row r="36" spans="1:12" ht="14.25">
      <c r="A36" s="15"/>
      <c r="B36" s="46"/>
      <c r="C36" s="46"/>
      <c r="D36" s="46"/>
      <c r="E36" s="117"/>
      <c r="F36" s="46"/>
      <c r="G36" s="117"/>
    </row>
    <row r="37" spans="1:12" ht="15">
      <c r="A37" s="48" t="s">
        <v>54</v>
      </c>
      <c r="B37" s="46"/>
      <c r="C37" s="46"/>
      <c r="D37" s="46"/>
      <c r="E37" s="117"/>
      <c r="F37" s="46"/>
      <c r="G37" s="117"/>
    </row>
    <row r="38" spans="1:12" ht="14.25">
      <c r="A38" s="15" t="s">
        <v>38</v>
      </c>
      <c r="B38" s="46">
        <v>10.199999999999999</v>
      </c>
      <c r="C38" s="46">
        <v>229</v>
      </c>
      <c r="D38" s="46">
        <v>18.2</v>
      </c>
      <c r="E38" s="46">
        <v>19</v>
      </c>
      <c r="F38" s="46">
        <v>26.7</v>
      </c>
      <c r="G38" s="46">
        <v>12</v>
      </c>
      <c r="L38" s="58"/>
    </row>
    <row r="39" spans="1:12" ht="14.25">
      <c r="A39" s="15" t="s">
        <v>39</v>
      </c>
      <c r="B39" s="46">
        <v>9.91</v>
      </c>
      <c r="C39" s="46">
        <v>223</v>
      </c>
      <c r="D39" s="46">
        <v>21</v>
      </c>
      <c r="E39" s="46">
        <v>20.3</v>
      </c>
      <c r="F39" s="46">
        <v>26</v>
      </c>
      <c r="G39" s="46">
        <v>11.9</v>
      </c>
      <c r="L39" s="58"/>
    </row>
    <row r="40" spans="1:12" ht="14.25">
      <c r="A40" s="15" t="s">
        <v>40</v>
      </c>
      <c r="B40" s="46">
        <v>9.84</v>
      </c>
      <c r="C40" s="46">
        <v>221</v>
      </c>
      <c r="D40" s="46">
        <v>18.5</v>
      </c>
      <c r="E40" s="46">
        <v>19.7</v>
      </c>
      <c r="F40" s="46">
        <v>25.2</v>
      </c>
      <c r="G40" s="46">
        <v>11.7</v>
      </c>
      <c r="H40" s="46"/>
      <c r="L40" s="58"/>
    </row>
    <row r="41" spans="1:12" ht="14.25">
      <c r="A41" s="15" t="s">
        <v>42</v>
      </c>
      <c r="B41" s="46">
        <v>9.7899999999999991</v>
      </c>
      <c r="C41" s="46">
        <v>224</v>
      </c>
      <c r="D41" s="46">
        <v>21.5</v>
      </c>
      <c r="E41" s="46">
        <v>19.3</v>
      </c>
      <c r="F41" s="46">
        <v>23.9</v>
      </c>
      <c r="G41" s="46">
        <v>12.3</v>
      </c>
      <c r="L41" s="58"/>
    </row>
    <row r="42" spans="1:12" ht="14.25">
      <c r="A42" s="15" t="s">
        <v>43</v>
      </c>
      <c r="B42" s="46">
        <v>10</v>
      </c>
      <c r="C42" s="46">
        <v>217</v>
      </c>
      <c r="D42" s="46">
        <v>23.1</v>
      </c>
      <c r="E42" s="46">
        <v>20.100000000000001</v>
      </c>
      <c r="F42" s="46">
        <v>25.9</v>
      </c>
      <c r="G42" s="46">
        <v>12.8</v>
      </c>
      <c r="L42" s="58"/>
    </row>
    <row r="43" spans="1:12" s="123" customFormat="1" ht="14.25">
      <c r="A43" s="118" t="s">
        <v>44</v>
      </c>
      <c r="B43" s="117">
        <v>10.199999999999999</v>
      </c>
      <c r="C43" s="117">
        <v>250</v>
      </c>
      <c r="D43" s="117">
        <v>25.2</v>
      </c>
      <c r="E43" s="117">
        <v>20.9</v>
      </c>
      <c r="F43" s="117">
        <v>25.3</v>
      </c>
      <c r="G43" s="117">
        <v>12.5</v>
      </c>
      <c r="L43" s="148"/>
    </row>
    <row r="44" spans="1:12" ht="14.25">
      <c r="A44" s="15" t="s">
        <v>46</v>
      </c>
      <c r="B44" s="46">
        <v>10.199999999999999</v>
      </c>
      <c r="C44" s="46" t="s">
        <v>77</v>
      </c>
      <c r="D44" s="46">
        <v>26.5</v>
      </c>
      <c r="E44" s="46">
        <v>20</v>
      </c>
      <c r="F44" s="46">
        <v>26.4</v>
      </c>
      <c r="G44" s="46">
        <v>13</v>
      </c>
      <c r="L44" s="58"/>
    </row>
    <row r="45" spans="1:12" ht="14.25">
      <c r="A45" s="15" t="s">
        <v>47</v>
      </c>
      <c r="B45" s="46">
        <v>10.199999999999999</v>
      </c>
      <c r="C45" s="46" t="s">
        <v>77</v>
      </c>
      <c r="D45" s="46">
        <v>26.9</v>
      </c>
      <c r="E45" s="46">
        <v>20.7</v>
      </c>
      <c r="F45" s="46">
        <v>25.6</v>
      </c>
      <c r="G45" s="46">
        <v>13.4</v>
      </c>
      <c r="L45" s="58"/>
    </row>
    <row r="46" spans="1:12" ht="14.25">
      <c r="A46" s="15" t="s">
        <v>48</v>
      </c>
      <c r="B46" s="46">
        <v>10.4</v>
      </c>
      <c r="C46" s="46" t="s">
        <v>77</v>
      </c>
      <c r="D46" s="46">
        <v>28.7</v>
      </c>
      <c r="E46" s="46">
        <v>23.6</v>
      </c>
      <c r="F46" s="46">
        <v>25.9</v>
      </c>
      <c r="G46" s="46">
        <v>13.1</v>
      </c>
      <c r="L46" s="58"/>
    </row>
    <row r="47" spans="1:12" ht="14.25">
      <c r="A47" s="15" t="s">
        <v>50</v>
      </c>
      <c r="B47" s="46">
        <v>10.4</v>
      </c>
      <c r="C47" s="46" t="s">
        <v>77</v>
      </c>
      <c r="D47" s="46">
        <v>30.7</v>
      </c>
      <c r="E47" s="46">
        <v>22.2</v>
      </c>
      <c r="F47" s="46">
        <v>26.5</v>
      </c>
      <c r="G47" s="46">
        <v>14.6</v>
      </c>
      <c r="L47" s="58"/>
    </row>
    <row r="48" spans="1:12" ht="16.5">
      <c r="A48" s="174" t="s">
        <v>160</v>
      </c>
      <c r="B48" s="66"/>
      <c r="C48" s="66"/>
      <c r="D48" s="66"/>
      <c r="E48" s="66"/>
      <c r="F48" s="66"/>
      <c r="G48" s="66"/>
      <c r="H48" s="89"/>
    </row>
    <row r="49" spans="1:7" ht="14.25">
      <c r="A49" s="15" t="s">
        <v>122</v>
      </c>
      <c r="B49" s="15"/>
      <c r="C49" s="15"/>
      <c r="D49" s="15"/>
      <c r="E49" s="15"/>
      <c r="F49" s="15"/>
      <c r="G49" s="15"/>
    </row>
    <row r="50" spans="1:7" ht="14.25">
      <c r="A50" s="20" t="s">
        <v>57</v>
      </c>
      <c r="B50" s="36">
        <f>Contents!A17</f>
        <v>45883</v>
      </c>
      <c r="C50" s="15"/>
      <c r="D50" s="15"/>
      <c r="E50" s="15"/>
      <c r="F50" s="15"/>
      <c r="G50" s="15"/>
    </row>
  </sheetData>
  <phoneticPr fontId="61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N71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 activeCell="I38" sqref="I38:I46"/>
    </sheetView>
  </sheetViews>
  <sheetFormatPr defaultColWidth="9.28515625" defaultRowHeight="12.75"/>
  <cols>
    <col min="1" max="2" width="11.5703125" customWidth="1"/>
    <col min="3" max="3" width="12.28515625" bestFit="1" customWidth="1"/>
    <col min="4" max="4" width="13.5703125" customWidth="1"/>
    <col min="5" max="5" width="11.5703125" customWidth="1"/>
    <col min="6" max="7" width="13.28515625" customWidth="1"/>
    <col min="8" max="8" width="12" customWidth="1"/>
    <col min="9" max="9" width="13.42578125" customWidth="1"/>
  </cols>
  <sheetData>
    <row r="1" spans="1:14" ht="14.25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4" ht="15.6" customHeight="1">
      <c r="A2" s="49" t="s">
        <v>95</v>
      </c>
      <c r="B2" s="17" t="s">
        <v>123</v>
      </c>
      <c r="C2" s="17" t="s">
        <v>124</v>
      </c>
      <c r="D2" s="17" t="s">
        <v>125</v>
      </c>
      <c r="E2" s="50" t="s">
        <v>126</v>
      </c>
      <c r="F2" s="50" t="s">
        <v>127</v>
      </c>
      <c r="G2" s="17" t="s">
        <v>128</v>
      </c>
      <c r="H2" s="17" t="s">
        <v>129</v>
      </c>
      <c r="I2" s="51" t="s">
        <v>130</v>
      </c>
    </row>
    <row r="3" spans="1:14" ht="15.6" customHeight="1">
      <c r="A3" s="52" t="s">
        <v>102</v>
      </c>
      <c r="B3" s="23" t="s">
        <v>131</v>
      </c>
      <c r="C3" s="23" t="s">
        <v>132</v>
      </c>
      <c r="D3" s="23" t="s">
        <v>133</v>
      </c>
      <c r="E3" s="23" t="s">
        <v>133</v>
      </c>
      <c r="F3" s="23" t="s">
        <v>134</v>
      </c>
      <c r="G3" s="23" t="s">
        <v>135</v>
      </c>
      <c r="H3" s="23"/>
      <c r="I3" s="23" t="s">
        <v>136</v>
      </c>
    </row>
    <row r="4" spans="1:14" ht="14.25">
      <c r="A4" s="53" t="s">
        <v>137</v>
      </c>
      <c r="C4" s="54"/>
      <c r="D4" s="54"/>
      <c r="E4" s="54"/>
      <c r="F4" s="54"/>
      <c r="G4" s="54"/>
      <c r="H4" s="54"/>
      <c r="I4" s="54"/>
    </row>
    <row r="5" spans="1:14" ht="14.25">
      <c r="A5" s="15"/>
      <c r="B5" s="15"/>
      <c r="C5" s="15"/>
      <c r="D5" s="15"/>
      <c r="E5" s="15"/>
      <c r="F5" s="15"/>
      <c r="G5" s="15"/>
      <c r="H5" s="15"/>
      <c r="I5" s="15"/>
    </row>
    <row r="6" spans="1:14" ht="14.25">
      <c r="A6" s="15" t="s">
        <v>107</v>
      </c>
      <c r="B6" s="46">
        <v>53.2</v>
      </c>
      <c r="C6" s="46">
        <v>54.5</v>
      </c>
      <c r="D6" s="46">
        <v>86.12</v>
      </c>
      <c r="E6" s="46">
        <v>58.68</v>
      </c>
      <c r="F6" s="46">
        <v>77.239999999999995</v>
      </c>
      <c r="G6" s="46">
        <v>60.76</v>
      </c>
      <c r="H6" s="46">
        <v>51.52</v>
      </c>
      <c r="I6" s="46">
        <v>51.34</v>
      </c>
    </row>
    <row r="7" spans="1:14" ht="14.25">
      <c r="A7" s="15" t="s">
        <v>108</v>
      </c>
      <c r="B7" s="46">
        <v>51.9</v>
      </c>
      <c r="C7" s="46">
        <v>53.22</v>
      </c>
      <c r="D7" s="46">
        <v>83.2</v>
      </c>
      <c r="E7" s="46">
        <v>57.19</v>
      </c>
      <c r="F7" s="46">
        <v>100.15</v>
      </c>
      <c r="G7" s="46">
        <v>56.09</v>
      </c>
      <c r="H7" s="46">
        <v>48.11</v>
      </c>
      <c r="I7" s="46">
        <v>50.33</v>
      </c>
    </row>
    <row r="8" spans="1:14" ht="14.25">
      <c r="A8" s="15" t="s">
        <v>109</v>
      </c>
      <c r="B8" s="46">
        <v>47.13</v>
      </c>
      <c r="C8" s="46">
        <v>48.6</v>
      </c>
      <c r="D8" s="46">
        <v>65.87</v>
      </c>
      <c r="E8" s="46">
        <v>56.17</v>
      </c>
      <c r="F8" s="46">
        <v>91.83</v>
      </c>
      <c r="G8" s="46">
        <v>46.66</v>
      </c>
      <c r="H8" s="46">
        <v>51.8</v>
      </c>
      <c r="I8" s="46">
        <v>43.24</v>
      </c>
    </row>
    <row r="9" spans="1:14" ht="14.25">
      <c r="A9" s="15" t="s">
        <v>110</v>
      </c>
      <c r="B9" s="46">
        <v>38.229999999999997</v>
      </c>
      <c r="C9" s="46">
        <v>60.66</v>
      </c>
      <c r="D9" s="46">
        <v>59.12</v>
      </c>
      <c r="E9" s="46">
        <v>43.7</v>
      </c>
      <c r="F9" s="46">
        <v>68.23</v>
      </c>
      <c r="G9" s="46">
        <v>39.43</v>
      </c>
      <c r="H9" s="46">
        <v>43.93</v>
      </c>
      <c r="I9" s="46">
        <v>39.76</v>
      </c>
    </row>
    <row r="10" spans="1:14" ht="14.25">
      <c r="A10" s="15" t="s">
        <v>111</v>
      </c>
      <c r="B10" s="46">
        <v>31.6</v>
      </c>
      <c r="C10" s="46">
        <v>45.74</v>
      </c>
      <c r="D10" s="46">
        <v>66.72</v>
      </c>
      <c r="E10" s="46">
        <v>37.81</v>
      </c>
      <c r="F10" s="46">
        <v>57.96</v>
      </c>
      <c r="G10" s="46">
        <v>37.479999999999997</v>
      </c>
      <c r="H10" s="46">
        <v>33.43</v>
      </c>
      <c r="I10" s="46">
        <v>31.36</v>
      </c>
    </row>
    <row r="11" spans="1:14" ht="14.25">
      <c r="A11" s="15" t="s">
        <v>112</v>
      </c>
      <c r="B11" s="46">
        <v>29.86</v>
      </c>
      <c r="C11" s="46">
        <v>45.87</v>
      </c>
      <c r="D11" s="46">
        <v>57.81</v>
      </c>
      <c r="E11" s="46">
        <v>35.270000000000003</v>
      </c>
      <c r="F11" s="46">
        <v>58.26</v>
      </c>
      <c r="G11" s="46">
        <v>39.25</v>
      </c>
      <c r="H11" s="46">
        <v>32.229999999999997</v>
      </c>
      <c r="I11" s="46">
        <v>30.07</v>
      </c>
    </row>
    <row r="12" spans="1:14" ht="14.25">
      <c r="A12" s="15" t="s">
        <v>113</v>
      </c>
      <c r="B12" s="46">
        <v>32.549999999999997</v>
      </c>
      <c r="C12" s="46">
        <v>40.92</v>
      </c>
      <c r="D12" s="46">
        <v>53.54</v>
      </c>
      <c r="E12" s="46">
        <v>38.729999999999997</v>
      </c>
      <c r="F12" s="46">
        <v>66.73</v>
      </c>
      <c r="G12" s="46">
        <v>37.43</v>
      </c>
      <c r="H12" s="46">
        <v>33.07</v>
      </c>
      <c r="I12" s="46">
        <v>34.75</v>
      </c>
    </row>
    <row r="13" spans="1:14" ht="14.25">
      <c r="A13" s="15" t="s">
        <v>114</v>
      </c>
      <c r="B13" s="46">
        <v>30.04</v>
      </c>
      <c r="C13" s="46">
        <v>31.87</v>
      </c>
      <c r="D13" s="46">
        <v>54.57</v>
      </c>
      <c r="E13" s="46">
        <v>38.270000000000003</v>
      </c>
      <c r="F13" s="46">
        <v>66.72</v>
      </c>
      <c r="G13" s="46">
        <v>30.35</v>
      </c>
      <c r="H13" s="46">
        <v>34.159999999999997</v>
      </c>
      <c r="I13" s="46">
        <v>31.21</v>
      </c>
    </row>
    <row r="14" spans="1:14" ht="14.25">
      <c r="A14" s="15" t="s">
        <v>115</v>
      </c>
      <c r="B14" s="46">
        <v>28.26</v>
      </c>
      <c r="C14" s="46">
        <v>35.14</v>
      </c>
      <c r="D14" s="46">
        <v>53.28</v>
      </c>
      <c r="E14" s="46">
        <v>36.090000000000003</v>
      </c>
      <c r="F14" s="46">
        <v>64.72</v>
      </c>
      <c r="G14" s="46">
        <v>26.93</v>
      </c>
      <c r="H14" s="46">
        <v>31.65</v>
      </c>
      <c r="I14" s="46">
        <v>33.11</v>
      </c>
    </row>
    <row r="15" spans="1:14" ht="14.25">
      <c r="A15" s="15" t="s">
        <v>116</v>
      </c>
      <c r="B15" s="46">
        <v>29.65</v>
      </c>
      <c r="C15" s="46">
        <v>40.18</v>
      </c>
      <c r="D15" s="46">
        <v>65.03</v>
      </c>
      <c r="E15" s="46">
        <v>37.869999999999997</v>
      </c>
      <c r="F15" s="46">
        <v>65.599999999999994</v>
      </c>
      <c r="G15" s="46">
        <v>39.47</v>
      </c>
      <c r="H15" s="46">
        <v>35.75</v>
      </c>
      <c r="I15" s="46">
        <v>38.369999999999997</v>
      </c>
      <c r="M15" s="58"/>
      <c r="N15" s="58"/>
    </row>
    <row r="16" spans="1:14" ht="14.25">
      <c r="A16" s="15" t="s">
        <v>117</v>
      </c>
      <c r="B16" s="46">
        <v>56.87</v>
      </c>
      <c r="C16" s="46">
        <v>80.94</v>
      </c>
      <c r="D16" s="46">
        <v>79</v>
      </c>
      <c r="E16" s="46">
        <v>70.459999999999994</v>
      </c>
      <c r="F16" s="46">
        <v>99.4</v>
      </c>
      <c r="G16" s="46">
        <v>53.88</v>
      </c>
      <c r="H16" s="46">
        <v>55.89</v>
      </c>
      <c r="I16" s="46">
        <v>54.98</v>
      </c>
      <c r="M16" s="58"/>
      <c r="N16" s="58"/>
    </row>
    <row r="17" spans="1:14" ht="14.25">
      <c r="A17" s="15" t="s">
        <v>118</v>
      </c>
      <c r="B17" s="46">
        <v>72.98</v>
      </c>
      <c r="C17" s="46">
        <v>107.15</v>
      </c>
      <c r="D17" s="46">
        <v>111.39</v>
      </c>
      <c r="E17" s="46">
        <v>90.52</v>
      </c>
      <c r="F17" s="46">
        <v>106.8</v>
      </c>
      <c r="G17" s="46">
        <v>64.28</v>
      </c>
      <c r="H17" s="46">
        <v>82</v>
      </c>
      <c r="I17" s="46">
        <v>81.84</v>
      </c>
      <c r="M17" s="58"/>
      <c r="N17" s="58"/>
    </row>
    <row r="18" spans="1:14" ht="14.25">
      <c r="A18" s="15" t="s">
        <v>119</v>
      </c>
      <c r="B18" s="46">
        <v>65.260000000000005</v>
      </c>
      <c r="C18" s="46">
        <v>102.53</v>
      </c>
      <c r="D18" s="46">
        <v>80.11</v>
      </c>
      <c r="E18" s="46">
        <v>73.14</v>
      </c>
      <c r="F18" s="46">
        <v>96.5</v>
      </c>
      <c r="G18" s="46">
        <v>61.62</v>
      </c>
      <c r="H18" s="46">
        <v>84.25</v>
      </c>
      <c r="I18" s="46">
        <v>76.95</v>
      </c>
      <c r="M18" s="58"/>
      <c r="N18" s="58"/>
    </row>
    <row r="19" spans="1:14" ht="14.25">
      <c r="A19" s="15" t="s">
        <v>35</v>
      </c>
      <c r="B19" s="46">
        <v>47.28</v>
      </c>
      <c r="C19" s="46">
        <v>78.94</v>
      </c>
      <c r="D19" s="46">
        <v>58.65</v>
      </c>
      <c r="E19" s="46">
        <v>55.48</v>
      </c>
      <c r="F19" s="88">
        <v>80.099999999999994</v>
      </c>
      <c r="G19" s="46" t="s">
        <v>77</v>
      </c>
      <c r="H19" s="46">
        <v>55.041249999999998</v>
      </c>
      <c r="I19" s="46">
        <v>53.968000000000004</v>
      </c>
      <c r="M19" s="58"/>
      <c r="N19" s="58"/>
    </row>
    <row r="20" spans="1:14" ht="16.5">
      <c r="A20" s="15" t="s">
        <v>138</v>
      </c>
      <c r="B20" s="46">
        <v>47.5</v>
      </c>
      <c r="C20" s="46">
        <v>79</v>
      </c>
      <c r="D20" s="46">
        <v>61</v>
      </c>
      <c r="E20" s="46">
        <v>55</v>
      </c>
      <c r="F20" s="88">
        <v>82.5</v>
      </c>
      <c r="G20" s="88" t="s">
        <v>77</v>
      </c>
      <c r="H20" s="88">
        <v>54</v>
      </c>
      <c r="I20" s="88">
        <v>57</v>
      </c>
      <c r="M20" s="209"/>
      <c r="N20" s="209"/>
    </row>
    <row r="21" spans="1:14" ht="16.5">
      <c r="A21" s="15" t="s">
        <v>139</v>
      </c>
      <c r="B21" s="46">
        <v>53</v>
      </c>
      <c r="C21" s="46">
        <v>85</v>
      </c>
      <c r="D21" s="46">
        <v>65</v>
      </c>
      <c r="E21" s="46">
        <v>58</v>
      </c>
      <c r="F21" s="88">
        <v>88</v>
      </c>
      <c r="G21" s="88" t="s">
        <v>77</v>
      </c>
      <c r="H21" s="88">
        <v>59</v>
      </c>
      <c r="I21" s="88">
        <v>60</v>
      </c>
      <c r="M21" s="209"/>
      <c r="N21" s="209"/>
    </row>
    <row r="22" spans="1:14" ht="14.25">
      <c r="A22" s="131"/>
      <c r="B22" s="130"/>
      <c r="C22" s="130"/>
      <c r="D22" s="130"/>
      <c r="E22" s="130"/>
      <c r="F22" s="130"/>
      <c r="G22" s="130"/>
      <c r="H22" s="130"/>
      <c r="I22" s="130"/>
    </row>
    <row r="23" spans="1:14" ht="15">
      <c r="A23" s="30" t="s">
        <v>35</v>
      </c>
      <c r="B23" s="46"/>
      <c r="C23" s="46"/>
      <c r="D23" s="46"/>
      <c r="E23" s="46"/>
      <c r="F23" s="46"/>
      <c r="G23" s="46"/>
      <c r="H23" s="46"/>
      <c r="I23" s="46"/>
    </row>
    <row r="24" spans="1:14" ht="14.25">
      <c r="A24" s="15" t="s">
        <v>39</v>
      </c>
      <c r="B24" s="46">
        <v>56.599999999999994</v>
      </c>
      <c r="C24" s="46">
        <v>92</v>
      </c>
      <c r="D24" s="46">
        <v>64.75</v>
      </c>
      <c r="E24" s="46">
        <v>65.1875</v>
      </c>
      <c r="F24" s="46">
        <v>83.25</v>
      </c>
      <c r="G24" s="46" t="s">
        <v>77</v>
      </c>
      <c r="H24" s="88">
        <v>90</v>
      </c>
      <c r="I24" s="46">
        <v>65.17</v>
      </c>
    </row>
    <row r="25" spans="1:14" ht="14.25">
      <c r="A25" s="15" t="s">
        <v>40</v>
      </c>
      <c r="B25" s="46">
        <v>53.39</v>
      </c>
      <c r="C25" s="46">
        <v>86.38</v>
      </c>
      <c r="D25" s="46">
        <v>62.25</v>
      </c>
      <c r="E25" s="46">
        <v>61.63</v>
      </c>
      <c r="F25" s="46">
        <v>81.5</v>
      </c>
      <c r="G25" s="46" t="s">
        <v>77</v>
      </c>
      <c r="H25" s="88" t="s">
        <v>77</v>
      </c>
      <c r="I25" s="46">
        <v>57.024999999999999</v>
      </c>
    </row>
    <row r="26" spans="1:14" ht="14.25">
      <c r="A26" s="15" t="s">
        <v>42</v>
      </c>
      <c r="B26" s="46">
        <v>52.33</v>
      </c>
      <c r="C26" s="46">
        <v>83.1</v>
      </c>
      <c r="D26" s="46">
        <v>58.6</v>
      </c>
      <c r="E26" s="46">
        <v>59.45</v>
      </c>
      <c r="F26" s="46">
        <v>77.8</v>
      </c>
      <c r="G26" s="46" t="s">
        <v>77</v>
      </c>
      <c r="H26" s="88">
        <v>65</v>
      </c>
      <c r="I26" s="46">
        <v>50.67</v>
      </c>
    </row>
    <row r="27" spans="1:14" ht="14.25">
      <c r="A27" s="15" t="s">
        <v>43</v>
      </c>
      <c r="B27" s="46">
        <v>49.1</v>
      </c>
      <c r="C27" s="46">
        <v>79.5</v>
      </c>
      <c r="D27" s="46">
        <v>58.13</v>
      </c>
      <c r="E27" s="46">
        <v>57.25</v>
      </c>
      <c r="F27" s="46">
        <v>76.5</v>
      </c>
      <c r="G27" s="46" t="s">
        <v>77</v>
      </c>
      <c r="H27" s="88" t="s">
        <v>77</v>
      </c>
      <c r="I27" s="46" t="s">
        <v>77</v>
      </c>
    </row>
    <row r="28" spans="1:14" ht="14.25">
      <c r="A28" s="15" t="s">
        <v>44</v>
      </c>
      <c r="B28" s="46">
        <v>47.33</v>
      </c>
      <c r="C28" s="46">
        <v>76.5</v>
      </c>
      <c r="D28" s="46">
        <v>57.38</v>
      </c>
      <c r="E28" s="46">
        <v>53.06</v>
      </c>
      <c r="F28" s="46">
        <v>76.75</v>
      </c>
      <c r="G28" s="46" t="s">
        <v>77</v>
      </c>
      <c r="H28" s="88">
        <v>45.33</v>
      </c>
      <c r="I28" s="46">
        <v>52.5</v>
      </c>
    </row>
    <row r="29" spans="1:14" ht="14.25">
      <c r="A29" s="15" t="s">
        <v>46</v>
      </c>
      <c r="B29" s="46">
        <v>46.57</v>
      </c>
      <c r="C29" s="46">
        <v>79.95</v>
      </c>
      <c r="D29" s="46">
        <v>57.45</v>
      </c>
      <c r="E29" s="46">
        <v>55.55</v>
      </c>
      <c r="F29" s="46">
        <v>76</v>
      </c>
      <c r="G29" s="46" t="s">
        <v>77</v>
      </c>
      <c r="H29" s="88" t="s">
        <v>77</v>
      </c>
      <c r="I29" s="46">
        <v>52</v>
      </c>
    </row>
    <row r="30" spans="1:14" ht="14.25">
      <c r="A30" s="15" t="s">
        <v>47</v>
      </c>
      <c r="B30" s="46">
        <v>45.1325</v>
      </c>
      <c r="C30" s="46">
        <v>77.25</v>
      </c>
      <c r="D30" s="46">
        <v>56.06</v>
      </c>
      <c r="E30" s="46">
        <v>54.38</v>
      </c>
      <c r="F30" s="46">
        <v>75.13</v>
      </c>
      <c r="G30" s="46" t="s">
        <v>77</v>
      </c>
      <c r="H30" s="88">
        <v>41</v>
      </c>
      <c r="I30" s="46">
        <v>52.17</v>
      </c>
    </row>
    <row r="31" spans="1:14" ht="14.25">
      <c r="A31" s="15" t="s">
        <v>48</v>
      </c>
      <c r="B31" s="46">
        <v>43.302</v>
      </c>
      <c r="C31" s="46">
        <v>74.55</v>
      </c>
      <c r="D31" s="46">
        <v>54.6</v>
      </c>
      <c r="E31" s="46">
        <v>52.75</v>
      </c>
      <c r="F31" s="46">
        <v>73.8</v>
      </c>
      <c r="G31" s="46" t="s">
        <v>77</v>
      </c>
      <c r="H31" s="88">
        <v>42</v>
      </c>
      <c r="I31" s="46">
        <v>48.875</v>
      </c>
    </row>
    <row r="32" spans="1:14" ht="14.25">
      <c r="A32" s="15" t="s">
        <v>50</v>
      </c>
      <c r="B32" s="46">
        <v>42.51</v>
      </c>
      <c r="C32" s="46">
        <v>74.38</v>
      </c>
      <c r="D32" s="46">
        <v>58.88</v>
      </c>
      <c r="E32" s="46">
        <v>51.31</v>
      </c>
      <c r="F32" s="46">
        <v>77.5</v>
      </c>
      <c r="G32" s="46" t="s">
        <v>77</v>
      </c>
      <c r="H32" s="88">
        <v>46</v>
      </c>
      <c r="I32" s="46">
        <v>54.1</v>
      </c>
    </row>
    <row r="33" spans="1:10" ht="14.25">
      <c r="A33" s="15" t="s">
        <v>51</v>
      </c>
      <c r="B33" s="46">
        <v>45.57</v>
      </c>
      <c r="C33" s="46">
        <v>77.94</v>
      </c>
      <c r="D33" s="46">
        <v>59.69</v>
      </c>
      <c r="E33" s="46">
        <v>54.75</v>
      </c>
      <c r="F33" s="46">
        <v>79</v>
      </c>
      <c r="G33" s="46" t="s">
        <v>77</v>
      </c>
      <c r="H33" s="88">
        <v>55</v>
      </c>
      <c r="I33" s="88">
        <v>54.5</v>
      </c>
    </row>
    <row r="34" spans="1:10" ht="14.25">
      <c r="A34" s="15" t="s">
        <v>52</v>
      </c>
      <c r="B34" s="46">
        <v>42.51</v>
      </c>
      <c r="C34" s="46">
        <v>72.95</v>
      </c>
      <c r="D34" s="46">
        <v>58.1</v>
      </c>
      <c r="E34" s="46">
        <v>51.05</v>
      </c>
      <c r="F34" s="46">
        <v>78.8</v>
      </c>
      <c r="G34" s="46" t="s">
        <v>77</v>
      </c>
      <c r="H34" s="88">
        <v>56</v>
      </c>
      <c r="I34" s="88">
        <v>52.67</v>
      </c>
    </row>
    <row r="35" spans="1:10" ht="14.25">
      <c r="A35" s="15" t="s">
        <v>38</v>
      </c>
      <c r="B35" s="46">
        <v>43.04</v>
      </c>
      <c r="C35" s="46">
        <v>72.75</v>
      </c>
      <c r="D35" s="46">
        <v>57.9375</v>
      </c>
      <c r="E35" s="46">
        <v>49.4375</v>
      </c>
      <c r="F35" s="46">
        <v>79.25</v>
      </c>
      <c r="G35" s="46" t="s">
        <v>77</v>
      </c>
      <c r="H35" s="88" t="s">
        <v>77</v>
      </c>
      <c r="I35" s="88" t="s">
        <v>77</v>
      </c>
    </row>
    <row r="36" spans="1:10" ht="14.25">
      <c r="A36" s="15"/>
      <c r="B36" s="46"/>
      <c r="C36" s="46"/>
      <c r="D36" s="46"/>
      <c r="E36" s="46"/>
      <c r="F36" s="46"/>
      <c r="G36" s="46"/>
      <c r="H36" s="46"/>
      <c r="I36" s="46"/>
    </row>
    <row r="37" spans="1:10" ht="15">
      <c r="A37" s="30" t="s">
        <v>54</v>
      </c>
      <c r="B37" s="46"/>
      <c r="C37" s="46"/>
      <c r="D37" s="46"/>
      <c r="E37" s="46"/>
      <c r="F37" s="46"/>
      <c r="G37" s="46"/>
      <c r="H37" s="46"/>
      <c r="I37" s="46"/>
      <c r="J37" s="98"/>
    </row>
    <row r="38" spans="1:10" ht="14.25">
      <c r="A38" s="15" t="s">
        <v>39</v>
      </c>
      <c r="B38" s="46">
        <v>44.3</v>
      </c>
      <c r="C38" s="46">
        <v>75.06</v>
      </c>
      <c r="D38" s="46">
        <v>59.5</v>
      </c>
      <c r="E38" s="46">
        <v>50.69</v>
      </c>
      <c r="F38" s="46">
        <v>79.13</v>
      </c>
      <c r="G38" s="46" t="s">
        <v>77</v>
      </c>
      <c r="H38" s="88" t="s">
        <v>77</v>
      </c>
      <c r="I38" s="46">
        <v>49.625</v>
      </c>
      <c r="J38" s="121"/>
    </row>
    <row r="39" spans="1:10" ht="14.25">
      <c r="A39" s="15" t="s">
        <v>40</v>
      </c>
      <c r="B39" s="46">
        <v>45.604999999999997</v>
      </c>
      <c r="C39" s="46">
        <v>76.349999999999994</v>
      </c>
      <c r="D39" s="46">
        <v>59.7</v>
      </c>
      <c r="E39" s="46">
        <v>51.45</v>
      </c>
      <c r="F39" s="46">
        <v>78.2</v>
      </c>
      <c r="G39" s="46" t="s">
        <v>77</v>
      </c>
      <c r="H39" s="88" t="s">
        <v>77</v>
      </c>
      <c r="I39" s="46" t="s">
        <v>77</v>
      </c>
      <c r="J39" s="121"/>
    </row>
    <row r="40" spans="1:10" ht="14.25">
      <c r="A40" s="15" t="s">
        <v>42</v>
      </c>
      <c r="B40" s="46">
        <v>42.48</v>
      </c>
      <c r="C40" s="46">
        <v>71.56</v>
      </c>
      <c r="D40" s="46">
        <v>58.13</v>
      </c>
      <c r="E40" s="46">
        <v>46.94</v>
      </c>
      <c r="F40" s="46">
        <v>78.25</v>
      </c>
      <c r="G40" s="46" t="s">
        <v>77</v>
      </c>
      <c r="H40" s="88">
        <v>55</v>
      </c>
      <c r="I40" s="46" t="s">
        <v>77</v>
      </c>
      <c r="J40" s="121"/>
    </row>
    <row r="41" spans="1:10" ht="14.25">
      <c r="A41" s="15" t="s">
        <v>140</v>
      </c>
      <c r="B41" s="46">
        <v>43.305999999999997</v>
      </c>
      <c r="C41" s="46">
        <v>75.349999999999994</v>
      </c>
      <c r="D41" s="46">
        <v>59.5</v>
      </c>
      <c r="E41" s="46">
        <v>49.8</v>
      </c>
      <c r="F41" s="46">
        <v>79.599999999999994</v>
      </c>
      <c r="G41" s="46" t="s">
        <v>77</v>
      </c>
      <c r="H41" s="88">
        <v>45.5</v>
      </c>
      <c r="I41" s="46" t="s">
        <v>77</v>
      </c>
      <c r="J41" s="121"/>
    </row>
    <row r="42" spans="1:10" ht="14.25">
      <c r="A42" s="15" t="s">
        <v>44</v>
      </c>
      <c r="B42" s="46">
        <v>44.497500000000002</v>
      </c>
      <c r="C42" s="46">
        <v>77.19</v>
      </c>
      <c r="D42" s="46">
        <v>60.88</v>
      </c>
      <c r="E42" s="46">
        <v>50.81</v>
      </c>
      <c r="F42" s="46">
        <v>80.25</v>
      </c>
      <c r="G42" s="46" t="s">
        <v>77</v>
      </c>
      <c r="H42" s="88" t="s">
        <v>77</v>
      </c>
      <c r="I42" s="46">
        <v>57</v>
      </c>
      <c r="J42" s="121"/>
    </row>
    <row r="43" spans="1:10" ht="14.25">
      <c r="A43" s="15" t="s">
        <v>46</v>
      </c>
      <c r="B43" s="46">
        <v>41.994999999999997</v>
      </c>
      <c r="C43" s="46">
        <v>74.13</v>
      </c>
      <c r="D43" s="46">
        <v>60.3125</v>
      </c>
      <c r="E43" s="46">
        <v>47.88</v>
      </c>
      <c r="F43" s="46">
        <v>78.88</v>
      </c>
      <c r="G43" s="46" t="s">
        <v>77</v>
      </c>
      <c r="H43" s="88" t="s">
        <v>77</v>
      </c>
      <c r="I43" s="46">
        <v>50.33</v>
      </c>
      <c r="J43" s="121"/>
    </row>
    <row r="44" spans="1:10" ht="14.25">
      <c r="A44" s="15" t="s">
        <v>47</v>
      </c>
      <c r="B44" s="46">
        <v>47.142499999999998</v>
      </c>
      <c r="C44" s="46">
        <v>79.75</v>
      </c>
      <c r="D44" s="46">
        <v>61.75</v>
      </c>
      <c r="E44" s="46">
        <v>53.88</v>
      </c>
      <c r="F44" s="46">
        <v>80.13</v>
      </c>
      <c r="G44" s="46" t="s">
        <v>77</v>
      </c>
      <c r="H44" s="88" t="s">
        <v>77</v>
      </c>
      <c r="I44" s="46">
        <v>56</v>
      </c>
      <c r="J44" s="121"/>
    </row>
    <row r="45" spans="1:10" ht="14.25">
      <c r="A45" s="15" t="s">
        <v>48</v>
      </c>
      <c r="B45" s="46">
        <v>48.514000000000003</v>
      </c>
      <c r="C45" s="46">
        <v>80.2</v>
      </c>
      <c r="D45" s="46">
        <v>60.7</v>
      </c>
      <c r="E45" s="46">
        <v>56.3</v>
      </c>
      <c r="F45" s="46">
        <v>79.2</v>
      </c>
      <c r="G45" s="46" t="s">
        <v>77</v>
      </c>
      <c r="H45" s="88">
        <v>57</v>
      </c>
      <c r="I45" s="46">
        <v>58</v>
      </c>
      <c r="J45" s="121"/>
    </row>
    <row r="46" spans="1:10" ht="14.25">
      <c r="A46" s="15" t="s">
        <v>50</v>
      </c>
      <c r="B46" s="46">
        <v>50.792499999999997</v>
      </c>
      <c r="C46" s="46">
        <v>83.13</v>
      </c>
      <c r="D46" s="46">
        <v>59.19</v>
      </c>
      <c r="E46" s="46">
        <v>62.75</v>
      </c>
      <c r="F46" s="46">
        <v>79.25</v>
      </c>
      <c r="G46" s="46" t="s">
        <v>77</v>
      </c>
      <c r="H46" s="88">
        <v>60</v>
      </c>
      <c r="I46" s="46">
        <v>72</v>
      </c>
      <c r="J46" s="121"/>
    </row>
    <row r="47" spans="1:10" ht="14.25">
      <c r="A47" s="15" t="s">
        <v>51</v>
      </c>
      <c r="B47" s="46">
        <v>56.52</v>
      </c>
      <c r="C47" s="46">
        <v>88.0625</v>
      </c>
      <c r="D47" s="46">
        <v>61.375</v>
      </c>
      <c r="E47" s="46">
        <v>66.25</v>
      </c>
      <c r="F47" s="46">
        <v>80.125</v>
      </c>
      <c r="G47" s="46" t="s">
        <v>77</v>
      </c>
      <c r="H47" s="88" t="s">
        <v>77</v>
      </c>
      <c r="I47" s="46" t="s">
        <v>77</v>
      </c>
      <c r="J47" s="121"/>
    </row>
    <row r="48" spans="1:10" ht="16.5">
      <c r="A48" s="173" t="s">
        <v>161</v>
      </c>
      <c r="B48" s="106"/>
      <c r="C48" s="106"/>
      <c r="D48" s="106"/>
      <c r="E48" s="106"/>
      <c r="F48" s="106"/>
      <c r="G48" s="106"/>
      <c r="H48" s="106"/>
      <c r="I48" s="107"/>
    </row>
    <row r="49" spans="1:9" ht="16.5">
      <c r="A49" s="15" t="s">
        <v>162</v>
      </c>
      <c r="B49" s="56"/>
      <c r="C49" s="56"/>
      <c r="D49" s="56"/>
      <c r="E49" s="56"/>
      <c r="F49" s="56"/>
      <c r="G49" s="56"/>
      <c r="H49" s="56"/>
      <c r="I49" s="56"/>
    </row>
    <row r="50" spans="1:9" ht="14.25">
      <c r="A50" s="15" t="s">
        <v>141</v>
      </c>
      <c r="B50" s="15"/>
      <c r="C50" s="15"/>
      <c r="D50" s="15"/>
      <c r="E50" s="15"/>
      <c r="F50" s="56"/>
      <c r="G50" s="15"/>
      <c r="H50" s="15"/>
      <c r="I50" s="15"/>
    </row>
    <row r="51" spans="1:9" ht="14.25">
      <c r="A51" s="49" t="s">
        <v>57</v>
      </c>
      <c r="B51" s="36">
        <f>Contents!A17</f>
        <v>45883</v>
      </c>
      <c r="C51" s="15"/>
      <c r="D51" s="15"/>
      <c r="E51" s="15"/>
      <c r="F51" s="15"/>
      <c r="G51" s="15"/>
      <c r="H51" s="15"/>
      <c r="I51" s="15"/>
    </row>
    <row r="52" spans="1:9" ht="15.75">
      <c r="C52" s="57"/>
      <c r="G52" s="57"/>
      <c r="H52" s="57"/>
      <c r="I52" s="57"/>
    </row>
    <row r="53" spans="1:9">
      <c r="B53" s="89"/>
      <c r="C53" s="89"/>
      <c r="D53" s="89"/>
      <c r="E53" s="89"/>
      <c r="F53" s="89"/>
      <c r="G53" s="89"/>
      <c r="H53" s="89"/>
      <c r="I53" s="89"/>
    </row>
    <row r="54" spans="1:9" ht="15.75">
      <c r="B54" s="82"/>
      <c r="C54" s="82"/>
      <c r="D54" s="82"/>
      <c r="E54" s="82"/>
      <c r="F54" s="82"/>
      <c r="G54" s="82"/>
      <c r="H54" s="57"/>
      <c r="I54" s="57"/>
    </row>
    <row r="55" spans="1:9" ht="15.75">
      <c r="B55" s="89"/>
      <c r="C55" s="57"/>
      <c r="G55" s="57"/>
      <c r="H55" s="57"/>
      <c r="I55" s="57"/>
    </row>
    <row r="56" spans="1:9" ht="15.75">
      <c r="C56" s="57"/>
      <c r="G56" s="57"/>
      <c r="H56" s="57"/>
      <c r="I56" s="57"/>
    </row>
    <row r="57" spans="1:9" ht="15.75">
      <c r="C57" s="57"/>
      <c r="G57" s="57"/>
      <c r="H57" s="57"/>
      <c r="I57" s="57"/>
    </row>
    <row r="58" spans="1:9" ht="15.75">
      <c r="C58" s="57"/>
      <c r="G58" s="57"/>
      <c r="H58" s="57"/>
      <c r="I58" s="57"/>
    </row>
    <row r="59" spans="1:9" ht="15.75">
      <c r="C59" s="57"/>
      <c r="G59" s="57"/>
      <c r="H59" s="57"/>
      <c r="I59" s="57"/>
    </row>
    <row r="60" spans="1:9" ht="15.75">
      <c r="C60" s="57"/>
      <c r="G60" s="57"/>
      <c r="H60" s="57"/>
      <c r="I60" s="57"/>
    </row>
    <row r="61" spans="1:9" ht="15.75">
      <c r="C61" s="57"/>
      <c r="G61" s="57"/>
      <c r="H61" s="57"/>
      <c r="I61" s="57"/>
    </row>
    <row r="62" spans="1:9" ht="15.75">
      <c r="C62" s="57"/>
      <c r="G62" s="57"/>
      <c r="H62" s="57"/>
      <c r="I62" s="57"/>
    </row>
    <row r="63" spans="1:9" ht="15.75">
      <c r="C63" s="57"/>
      <c r="G63" s="57"/>
      <c r="H63" s="57"/>
      <c r="I63" s="57"/>
    </row>
    <row r="64" spans="1:9" ht="15.75">
      <c r="C64" s="57"/>
      <c r="G64" s="57"/>
      <c r="H64" s="57"/>
      <c r="I64" s="57"/>
    </row>
    <row r="65" spans="3:9" ht="15.75">
      <c r="C65" s="57"/>
      <c r="G65" s="57"/>
      <c r="H65" s="57"/>
      <c r="I65" s="57"/>
    </row>
    <row r="66" spans="3:9" ht="15.75">
      <c r="C66" s="57"/>
      <c r="G66" s="57"/>
      <c r="H66" s="57"/>
      <c r="I66" s="57"/>
    </row>
    <row r="67" spans="3:9" ht="15.75">
      <c r="C67" s="57"/>
      <c r="G67" s="57"/>
      <c r="H67" s="57"/>
      <c r="I67" s="57"/>
    </row>
    <row r="68" spans="3:9" ht="15.75">
      <c r="C68" s="57"/>
      <c r="H68" s="57"/>
      <c r="I68" s="57"/>
    </row>
    <row r="69" spans="3:9" ht="15.75">
      <c r="C69" s="57"/>
      <c r="H69" s="57"/>
      <c r="I69" s="57"/>
    </row>
    <row r="70" spans="3:9" ht="15.75">
      <c r="C70" s="57"/>
      <c r="F70" s="58"/>
      <c r="H70" s="57"/>
      <c r="I70" s="57"/>
    </row>
    <row r="71" spans="3:9" ht="15.75">
      <c r="F71" s="58"/>
      <c r="H71" s="57"/>
      <c r="I71" s="57"/>
    </row>
  </sheetData>
  <phoneticPr fontId="61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61"/>
  <sheetViews>
    <sheetView showGridLines="0" zoomScale="70" zoomScaleNormal="70" workbookViewId="0">
      <pane xSplit="1" ySplit="4" topLeftCell="B5" activePane="bottomRight" state="frozen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7" width="13.5703125" customWidth="1"/>
    <col min="8" max="8" width="12.42578125" bestFit="1" customWidth="1"/>
    <col min="9" max="9" width="11.42578125" customWidth="1"/>
    <col min="11" max="11" width="8.7109375" customWidth="1"/>
    <col min="12" max="12" width="18" bestFit="1" customWidth="1"/>
  </cols>
  <sheetData>
    <row r="1" spans="1:28" ht="14.25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95</v>
      </c>
      <c r="B2" s="17" t="s">
        <v>123</v>
      </c>
      <c r="C2" s="59" t="s">
        <v>124</v>
      </c>
      <c r="D2" s="59" t="s">
        <v>125</v>
      </c>
      <c r="E2" s="59" t="s">
        <v>127</v>
      </c>
      <c r="F2" s="17" t="s">
        <v>142</v>
      </c>
      <c r="G2" s="17" t="s">
        <v>143</v>
      </c>
      <c r="AB2" s="60"/>
    </row>
    <row r="3" spans="1:28" ht="15.6" customHeight="1">
      <c r="A3" s="14" t="s">
        <v>102</v>
      </c>
      <c r="B3" s="23" t="s">
        <v>144</v>
      </c>
      <c r="C3" s="23" t="s">
        <v>145</v>
      </c>
      <c r="D3" s="23" t="s">
        <v>146</v>
      </c>
      <c r="E3" s="23" t="s">
        <v>147</v>
      </c>
      <c r="F3" s="23" t="s">
        <v>148</v>
      </c>
      <c r="G3" s="23" t="s">
        <v>149</v>
      </c>
      <c r="AB3" s="60"/>
    </row>
    <row r="4" spans="1:28" ht="14.25">
      <c r="A4" s="53" t="s">
        <v>150</v>
      </c>
      <c r="C4" s="54"/>
      <c r="D4" s="54"/>
      <c r="E4" s="54"/>
      <c r="F4" s="54"/>
      <c r="G4" s="54"/>
      <c r="AB4" s="60"/>
    </row>
    <row r="5" spans="1:28" ht="14.25">
      <c r="A5" s="15"/>
      <c r="B5" s="15"/>
      <c r="C5" s="15"/>
      <c r="D5" s="15"/>
      <c r="E5" s="15"/>
      <c r="F5" s="15"/>
      <c r="G5" s="15"/>
      <c r="AB5" s="60"/>
    </row>
    <row r="6" spans="1:28" ht="14.25">
      <c r="A6" s="15" t="s">
        <v>107</v>
      </c>
      <c r="B6" s="55">
        <v>345.52</v>
      </c>
      <c r="C6" s="55">
        <v>273.83999999999997</v>
      </c>
      <c r="D6" s="55">
        <v>219.72</v>
      </c>
      <c r="E6" s="47" t="s">
        <v>77</v>
      </c>
      <c r="F6" s="55">
        <v>263.63</v>
      </c>
      <c r="G6" s="55">
        <v>240.65</v>
      </c>
      <c r="H6" s="58"/>
      <c r="I6" s="58"/>
      <c r="J6" s="58"/>
      <c r="AB6" s="60"/>
    </row>
    <row r="7" spans="1:28" ht="14.25">
      <c r="A7" s="15" t="s">
        <v>108</v>
      </c>
      <c r="B7" s="55">
        <v>393.53</v>
      </c>
      <c r="C7" s="55">
        <v>275.13</v>
      </c>
      <c r="D7" s="55">
        <v>246.75</v>
      </c>
      <c r="E7" s="47" t="s">
        <v>77</v>
      </c>
      <c r="F7" s="55">
        <v>307.58999999999997</v>
      </c>
      <c r="G7" s="55">
        <v>265.68</v>
      </c>
      <c r="H7" s="58"/>
      <c r="I7" s="58"/>
      <c r="J7" s="58"/>
      <c r="AB7" s="60"/>
    </row>
    <row r="8" spans="1:28" ht="14.25">
      <c r="A8" s="15" t="s">
        <v>109</v>
      </c>
      <c r="B8" s="55">
        <v>468.11</v>
      </c>
      <c r="C8" s="55">
        <v>331.52</v>
      </c>
      <c r="D8" s="55">
        <v>241.57</v>
      </c>
      <c r="E8" s="47" t="s">
        <v>77</v>
      </c>
      <c r="F8" s="55">
        <v>354.22</v>
      </c>
      <c r="G8" s="55">
        <v>329.31</v>
      </c>
      <c r="H8" s="58"/>
      <c r="I8" s="58"/>
      <c r="J8" s="58"/>
      <c r="AB8" s="60"/>
    </row>
    <row r="9" spans="1:28" ht="14.25">
      <c r="A9" s="15" t="s">
        <v>110</v>
      </c>
      <c r="B9" s="55">
        <v>489.94</v>
      </c>
      <c r="C9" s="55">
        <v>377.71</v>
      </c>
      <c r="D9" s="55">
        <v>238.87</v>
      </c>
      <c r="E9" s="47" t="s">
        <v>77</v>
      </c>
      <c r="F9" s="55">
        <v>359.7</v>
      </c>
      <c r="G9" s="55">
        <v>337.23</v>
      </c>
      <c r="H9" s="58"/>
      <c r="I9" s="58"/>
      <c r="J9" s="58"/>
      <c r="AB9" s="60"/>
    </row>
    <row r="10" spans="1:28" ht="14.25">
      <c r="A10" s="15" t="s">
        <v>111</v>
      </c>
      <c r="B10" s="55">
        <v>368.49</v>
      </c>
      <c r="C10" s="55">
        <v>304.27</v>
      </c>
      <c r="D10" s="55">
        <v>209.97</v>
      </c>
      <c r="E10" s="47" t="s">
        <v>77</v>
      </c>
      <c r="F10" s="55">
        <v>301.2</v>
      </c>
      <c r="G10" s="55">
        <v>256.58</v>
      </c>
      <c r="H10" s="58"/>
      <c r="I10" s="58"/>
      <c r="J10" s="58"/>
      <c r="AB10" s="60"/>
    </row>
    <row r="11" spans="1:28" ht="14.25">
      <c r="A11" s="15" t="s">
        <v>112</v>
      </c>
      <c r="B11" s="55">
        <v>324.56</v>
      </c>
      <c r="C11" s="55">
        <v>261.19</v>
      </c>
      <c r="D11" s="55">
        <v>153.16999999999999</v>
      </c>
      <c r="E11" s="47" t="s">
        <v>77</v>
      </c>
      <c r="F11" s="55">
        <v>262.2</v>
      </c>
      <c r="G11" s="55">
        <v>260.23</v>
      </c>
      <c r="H11" s="58"/>
      <c r="I11" s="58"/>
      <c r="J11" s="58"/>
      <c r="AB11" s="60"/>
    </row>
    <row r="12" spans="1:28" ht="14.25">
      <c r="A12" s="15" t="s">
        <v>113</v>
      </c>
      <c r="B12" s="55">
        <v>316.88</v>
      </c>
      <c r="C12" s="55">
        <v>208.61</v>
      </c>
      <c r="D12" s="55">
        <v>145.1</v>
      </c>
      <c r="E12" s="47" t="s">
        <v>77</v>
      </c>
      <c r="F12" s="55">
        <v>267.94</v>
      </c>
      <c r="G12" s="55">
        <v>282.49</v>
      </c>
      <c r="H12" s="58"/>
      <c r="I12" s="58"/>
      <c r="J12" s="58"/>
      <c r="AB12" s="60"/>
    </row>
    <row r="13" spans="1:28" ht="14.25">
      <c r="A13" s="15" t="s">
        <v>114</v>
      </c>
      <c r="B13" s="55">
        <v>345.02</v>
      </c>
      <c r="C13" s="55">
        <v>260.88</v>
      </c>
      <c r="D13" s="55">
        <v>173.53</v>
      </c>
      <c r="E13" s="47" t="s">
        <v>77</v>
      </c>
      <c r="F13" s="55">
        <v>291.14999999999998</v>
      </c>
      <c r="G13" s="55">
        <v>239.15</v>
      </c>
      <c r="H13" s="58"/>
      <c r="I13" s="58"/>
      <c r="J13" s="58"/>
    </row>
    <row r="14" spans="1:28" ht="14.25">
      <c r="A14" s="15" t="s">
        <v>115</v>
      </c>
      <c r="B14" s="55">
        <v>308.27999999999997</v>
      </c>
      <c r="C14" s="55">
        <v>228.64</v>
      </c>
      <c r="D14" s="55">
        <v>164.16</v>
      </c>
      <c r="E14" s="47" t="s">
        <v>77</v>
      </c>
      <c r="F14" s="55">
        <v>272.38</v>
      </c>
      <c r="G14" s="55">
        <v>225.77</v>
      </c>
      <c r="H14" s="58"/>
      <c r="I14" s="58"/>
      <c r="J14" s="58"/>
    </row>
    <row r="15" spans="1:28" ht="14.25">
      <c r="A15" s="15" t="s">
        <v>116</v>
      </c>
      <c r="B15" s="55">
        <v>299.5</v>
      </c>
      <c r="C15" s="55">
        <v>247.04</v>
      </c>
      <c r="D15" s="55">
        <v>187.7</v>
      </c>
      <c r="E15" s="47" t="s">
        <v>77</v>
      </c>
      <c r="F15" s="55">
        <v>273.99</v>
      </c>
      <c r="G15" s="55">
        <v>245.88</v>
      </c>
      <c r="H15" s="58"/>
      <c r="I15" s="58"/>
      <c r="J15" s="58"/>
    </row>
    <row r="16" spans="1:28" ht="14.25">
      <c r="A16" s="15" t="s">
        <v>117</v>
      </c>
      <c r="B16" s="55">
        <v>392.31</v>
      </c>
      <c r="C16" s="55">
        <v>375.51</v>
      </c>
      <c r="D16" s="85">
        <v>246.22</v>
      </c>
      <c r="E16" s="47" t="s">
        <v>77</v>
      </c>
      <c r="F16" s="55">
        <v>351.87</v>
      </c>
      <c r="G16" s="55">
        <v>288.12</v>
      </c>
      <c r="H16" s="58"/>
      <c r="I16" s="58"/>
      <c r="J16" s="58"/>
    </row>
    <row r="17" spans="1:13" ht="14.25">
      <c r="A17" s="15" t="s">
        <v>118</v>
      </c>
      <c r="B17" s="55">
        <v>439.81</v>
      </c>
      <c r="C17" s="55">
        <v>355.33</v>
      </c>
      <c r="D17" s="55">
        <v>279.98</v>
      </c>
      <c r="E17" s="47" t="s">
        <v>77</v>
      </c>
      <c r="F17" s="55">
        <v>439.1</v>
      </c>
      <c r="G17" s="55">
        <v>332.21</v>
      </c>
      <c r="H17" s="58"/>
      <c r="I17" s="58"/>
      <c r="J17" s="58"/>
    </row>
    <row r="18" spans="1:13" ht="14.25">
      <c r="A18" s="15" t="s">
        <v>119</v>
      </c>
      <c r="B18" s="55">
        <v>451.91</v>
      </c>
      <c r="C18" s="55">
        <v>379.13</v>
      </c>
      <c r="D18" s="55">
        <v>244.34</v>
      </c>
      <c r="E18" s="47" t="s">
        <v>77</v>
      </c>
      <c r="F18" s="55">
        <v>431.34</v>
      </c>
      <c r="G18" s="85">
        <v>359.06</v>
      </c>
      <c r="H18" s="58"/>
      <c r="I18" s="58"/>
      <c r="J18" s="58"/>
    </row>
    <row r="19" spans="1:13" ht="14.25">
      <c r="A19" s="15" t="s">
        <v>35</v>
      </c>
      <c r="B19" s="55">
        <v>384.11</v>
      </c>
      <c r="C19" s="55">
        <v>343.08</v>
      </c>
      <c r="D19" s="55">
        <v>194.19</v>
      </c>
      <c r="E19" s="47" t="s">
        <v>77</v>
      </c>
      <c r="F19" s="55">
        <v>378.28</v>
      </c>
      <c r="G19" s="85">
        <v>297.39368181818185</v>
      </c>
      <c r="H19" s="58"/>
      <c r="I19" s="58"/>
      <c r="J19" s="58"/>
    </row>
    <row r="20" spans="1:13" ht="16.5">
      <c r="A20" s="15" t="s">
        <v>138</v>
      </c>
      <c r="B20" s="55">
        <v>295</v>
      </c>
      <c r="C20" s="55">
        <v>287</v>
      </c>
      <c r="D20" s="55">
        <v>150</v>
      </c>
      <c r="E20" s="47" t="s">
        <v>77</v>
      </c>
      <c r="F20" s="55">
        <v>270</v>
      </c>
      <c r="G20" s="85">
        <v>195</v>
      </c>
      <c r="H20" s="58"/>
      <c r="I20" s="58"/>
      <c r="J20" s="58"/>
    </row>
    <row r="21" spans="1:13" ht="16.5">
      <c r="A21" s="15" t="s">
        <v>139</v>
      </c>
      <c r="B21" s="55">
        <v>280</v>
      </c>
      <c r="C21" s="55">
        <v>268</v>
      </c>
      <c r="D21" s="55">
        <v>140</v>
      </c>
      <c r="E21" s="47" t="s">
        <v>77</v>
      </c>
      <c r="F21" s="55">
        <v>255</v>
      </c>
      <c r="G21" s="85">
        <v>180</v>
      </c>
      <c r="H21" s="58"/>
      <c r="I21" s="58"/>
      <c r="J21" s="58"/>
    </row>
    <row r="22" spans="1:13" ht="14.25">
      <c r="A22" s="131"/>
      <c r="B22" s="130"/>
      <c r="C22" s="130"/>
      <c r="D22" s="130"/>
      <c r="E22" s="130"/>
      <c r="F22" s="130"/>
      <c r="G22" s="130"/>
      <c r="H22" s="130"/>
      <c r="I22" s="130"/>
      <c r="J22" s="62"/>
      <c r="K22" s="62"/>
      <c r="L22" s="62"/>
      <c r="M22" s="62"/>
    </row>
    <row r="23" spans="1:13" ht="15">
      <c r="A23" s="30" t="s">
        <v>35</v>
      </c>
      <c r="B23" s="85"/>
      <c r="C23" s="55"/>
      <c r="D23" s="55"/>
      <c r="E23" s="47"/>
      <c r="F23" s="55"/>
      <c r="G23" s="55"/>
      <c r="H23" s="46"/>
      <c r="I23" s="58"/>
    </row>
    <row r="24" spans="1:13" ht="14.25">
      <c r="A24" s="15" t="s">
        <v>39</v>
      </c>
      <c r="B24" s="85">
        <v>416.16</v>
      </c>
      <c r="C24" s="55">
        <v>348.75</v>
      </c>
      <c r="D24" s="55">
        <v>229.16500000000002</v>
      </c>
      <c r="E24" s="47" t="s">
        <v>77</v>
      </c>
      <c r="F24" s="55">
        <v>407.1</v>
      </c>
      <c r="G24" s="55">
        <v>325</v>
      </c>
      <c r="H24" s="46"/>
      <c r="I24" s="58"/>
    </row>
    <row r="25" spans="1:13" ht="14.25">
      <c r="A25" s="15" t="s">
        <v>40</v>
      </c>
      <c r="B25" s="85">
        <v>464.27</v>
      </c>
      <c r="C25" s="55">
        <v>350</v>
      </c>
      <c r="D25" s="55">
        <v>266.67</v>
      </c>
      <c r="E25" s="47" t="s">
        <v>77</v>
      </c>
      <c r="F25" s="55">
        <v>441.77</v>
      </c>
      <c r="G25" s="85">
        <v>348.33</v>
      </c>
      <c r="H25" s="46"/>
      <c r="I25" s="58"/>
    </row>
    <row r="26" spans="1:13" ht="14.25">
      <c r="A26" s="15" t="s">
        <v>42</v>
      </c>
      <c r="B26" s="85">
        <v>440.6</v>
      </c>
      <c r="C26" s="55">
        <v>358.75</v>
      </c>
      <c r="D26" s="55">
        <v>270</v>
      </c>
      <c r="E26" s="47" t="s">
        <v>77</v>
      </c>
      <c r="F26" s="55">
        <v>395.04999999999995</v>
      </c>
      <c r="G26" s="85">
        <v>365</v>
      </c>
      <c r="H26" s="46"/>
      <c r="I26" s="58"/>
    </row>
    <row r="27" spans="1:13" ht="14.25">
      <c r="A27" s="15" t="s">
        <v>43</v>
      </c>
      <c r="B27" s="85">
        <v>378.4</v>
      </c>
      <c r="C27" s="55">
        <v>352.5</v>
      </c>
      <c r="D27" s="55">
        <v>270</v>
      </c>
      <c r="E27" s="47" t="s">
        <v>77</v>
      </c>
      <c r="F27" s="55">
        <v>349.3</v>
      </c>
      <c r="G27" s="85">
        <v>365</v>
      </c>
      <c r="H27" s="46"/>
      <c r="I27" s="58"/>
    </row>
    <row r="28" spans="1:13" ht="14.25">
      <c r="A28" s="15" t="s">
        <v>44</v>
      </c>
      <c r="B28" s="85">
        <v>363.625</v>
      </c>
      <c r="C28" s="55">
        <v>355</v>
      </c>
      <c r="D28" s="55">
        <v>210</v>
      </c>
      <c r="E28" s="47" t="s">
        <v>77</v>
      </c>
      <c r="F28" s="55">
        <v>357.75</v>
      </c>
      <c r="G28" s="85" t="s">
        <v>77</v>
      </c>
      <c r="H28" s="46"/>
      <c r="I28" s="58"/>
    </row>
    <row r="29" spans="1:13" ht="14.25">
      <c r="A29" s="15" t="s">
        <v>46</v>
      </c>
      <c r="B29" s="85">
        <v>361.75</v>
      </c>
      <c r="C29" s="55">
        <v>343.33</v>
      </c>
      <c r="D29" s="55">
        <v>140</v>
      </c>
      <c r="E29" s="47" t="s">
        <v>77</v>
      </c>
      <c r="F29" s="55">
        <v>348.34</v>
      </c>
      <c r="G29" s="85">
        <v>331</v>
      </c>
      <c r="H29" s="46"/>
      <c r="I29" s="58"/>
    </row>
    <row r="30" spans="1:13" ht="14.25">
      <c r="A30" s="15" t="s">
        <v>47</v>
      </c>
      <c r="B30" s="85">
        <v>357.67500000000001</v>
      </c>
      <c r="C30" s="55">
        <v>333.75</v>
      </c>
      <c r="D30" s="55">
        <v>142.5</v>
      </c>
      <c r="E30" s="47" t="s">
        <v>77</v>
      </c>
      <c r="F30" s="55">
        <v>357.17500000000001</v>
      </c>
      <c r="G30" s="85">
        <v>292.5</v>
      </c>
      <c r="H30" s="46"/>
      <c r="I30" s="58"/>
    </row>
    <row r="31" spans="1:13" ht="14.25">
      <c r="A31" s="15" t="s">
        <v>48</v>
      </c>
      <c r="B31" s="85">
        <v>388.65</v>
      </c>
      <c r="C31" s="55">
        <v>330</v>
      </c>
      <c r="D31" s="55">
        <v>170</v>
      </c>
      <c r="E31" s="47" t="s">
        <v>77</v>
      </c>
      <c r="F31" s="55">
        <v>411.82</v>
      </c>
      <c r="G31" s="85">
        <v>259</v>
      </c>
      <c r="H31" s="46"/>
      <c r="I31" s="58"/>
    </row>
    <row r="32" spans="1:13" ht="14.25">
      <c r="A32" s="15" t="s">
        <v>50</v>
      </c>
      <c r="B32" s="85">
        <v>384.1</v>
      </c>
      <c r="C32" s="55" t="s">
        <v>77</v>
      </c>
      <c r="D32" s="55">
        <v>166.25</v>
      </c>
      <c r="E32" s="47" t="s">
        <v>77</v>
      </c>
      <c r="F32" s="55">
        <v>416.6</v>
      </c>
      <c r="G32" s="85">
        <v>253.54249999999999</v>
      </c>
      <c r="H32" s="46"/>
      <c r="I32" s="58"/>
    </row>
    <row r="33" spans="1:9" ht="14.25">
      <c r="A33" s="15" t="s">
        <v>51</v>
      </c>
      <c r="B33" s="85">
        <v>364.3</v>
      </c>
      <c r="C33" s="55">
        <v>335</v>
      </c>
      <c r="D33" s="55">
        <v>155</v>
      </c>
      <c r="E33" s="47" t="s">
        <v>77</v>
      </c>
      <c r="F33" s="55">
        <v>387.87</v>
      </c>
      <c r="G33" s="85">
        <v>250.833</v>
      </c>
      <c r="H33" s="46"/>
      <c r="I33" s="58"/>
    </row>
    <row r="34" spans="1:9" ht="14.25">
      <c r="A34" s="15" t="s">
        <v>52</v>
      </c>
      <c r="B34" s="85">
        <v>343.4</v>
      </c>
      <c r="C34" s="55" t="s">
        <v>77</v>
      </c>
      <c r="D34" s="55">
        <v>154.5</v>
      </c>
      <c r="E34" s="47" t="s">
        <v>77</v>
      </c>
      <c r="F34" s="55">
        <v>341.42500000000001</v>
      </c>
      <c r="G34" s="85">
        <v>244.5</v>
      </c>
      <c r="H34" s="46"/>
      <c r="I34" s="58"/>
    </row>
    <row r="35" spans="1:9" ht="14.25">
      <c r="A35" s="15" t="s">
        <v>38</v>
      </c>
      <c r="B35" s="85">
        <v>346.33749999999998</v>
      </c>
      <c r="C35" s="55">
        <v>323.75</v>
      </c>
      <c r="D35" s="55">
        <v>156.25</v>
      </c>
      <c r="E35" s="47" t="s">
        <v>77</v>
      </c>
      <c r="F35" s="55">
        <v>325.10000000000002</v>
      </c>
      <c r="G35" s="85">
        <v>236.625</v>
      </c>
      <c r="H35" s="46"/>
      <c r="I35" s="58"/>
    </row>
    <row r="36" spans="1:9" ht="14.25">
      <c r="A36" s="15"/>
      <c r="B36" s="85"/>
      <c r="C36" s="55"/>
      <c r="D36" s="55"/>
      <c r="E36" s="47"/>
      <c r="F36" s="55"/>
      <c r="G36" s="55"/>
      <c r="H36" s="46"/>
      <c r="I36" s="58"/>
    </row>
    <row r="37" spans="1:9" ht="15">
      <c r="A37" s="30" t="s">
        <v>54</v>
      </c>
      <c r="B37" s="85"/>
      <c r="C37" s="55"/>
      <c r="D37" s="55"/>
      <c r="E37" s="47"/>
      <c r="F37" s="55"/>
      <c r="G37" s="55"/>
      <c r="H37" s="46"/>
      <c r="I37" s="58"/>
    </row>
    <row r="38" spans="1:9" ht="14.25">
      <c r="A38" s="15" t="s">
        <v>39</v>
      </c>
      <c r="B38" s="85">
        <v>342.85</v>
      </c>
      <c r="C38" s="55">
        <v>322.5</v>
      </c>
      <c r="D38" s="55">
        <v>173.75</v>
      </c>
      <c r="E38" s="47" t="s">
        <v>77</v>
      </c>
      <c r="F38" s="55">
        <v>314.27499999999998</v>
      </c>
      <c r="G38" s="55">
        <v>240</v>
      </c>
      <c r="H38" s="46"/>
      <c r="I38" s="58"/>
    </row>
    <row r="39" spans="1:9" ht="14.25">
      <c r="A39" s="15" t="s">
        <v>40</v>
      </c>
      <c r="B39" s="85">
        <v>316.17500000000001</v>
      </c>
      <c r="C39" s="55">
        <v>315</v>
      </c>
      <c r="D39" s="55">
        <v>177.5</v>
      </c>
      <c r="E39" s="47" t="s">
        <v>77</v>
      </c>
      <c r="F39" s="55">
        <v>283.17500000000001</v>
      </c>
      <c r="G39" s="55">
        <v>225</v>
      </c>
      <c r="H39" s="46"/>
      <c r="I39" s="58"/>
    </row>
    <row r="40" spans="1:9" ht="14.25">
      <c r="A40" s="15" t="s">
        <v>42</v>
      </c>
      <c r="B40" s="85">
        <v>303.63299999999998</v>
      </c>
      <c r="C40" s="55">
        <v>301.25</v>
      </c>
      <c r="D40" s="55">
        <v>175</v>
      </c>
      <c r="E40" s="47" t="s">
        <v>77</v>
      </c>
      <c r="F40" s="55">
        <v>275.89999999999998</v>
      </c>
      <c r="G40" s="55">
        <v>268.33</v>
      </c>
      <c r="H40" s="46"/>
      <c r="I40" s="58"/>
    </row>
    <row r="41" spans="1:9" ht="14.25">
      <c r="A41" s="15" t="s">
        <v>43</v>
      </c>
      <c r="B41" s="85">
        <v>316.97000000000003</v>
      </c>
      <c r="C41" s="55">
        <v>272.5</v>
      </c>
      <c r="D41" s="55">
        <v>173</v>
      </c>
      <c r="E41" s="47" t="s">
        <v>77</v>
      </c>
      <c r="F41" s="55">
        <v>288.92</v>
      </c>
      <c r="G41" s="55">
        <v>266.5</v>
      </c>
      <c r="H41" s="46"/>
      <c r="I41" s="58"/>
    </row>
    <row r="42" spans="1:9" ht="14.25">
      <c r="A42" s="15" t="s">
        <v>44</v>
      </c>
      <c r="B42" s="85">
        <v>304.77499999999998</v>
      </c>
      <c r="C42" s="55">
        <v>265</v>
      </c>
      <c r="D42" s="55">
        <v>182.5</v>
      </c>
      <c r="E42" s="47" t="s">
        <v>77</v>
      </c>
      <c r="F42" s="55">
        <v>288.52499999999998</v>
      </c>
      <c r="G42" s="55">
        <v>255.625</v>
      </c>
      <c r="H42" s="46"/>
      <c r="I42" s="58"/>
    </row>
    <row r="43" spans="1:9" ht="14.25">
      <c r="A43" s="15" t="s">
        <v>46</v>
      </c>
      <c r="B43" s="85">
        <v>303.8</v>
      </c>
      <c r="C43" s="55">
        <v>265</v>
      </c>
      <c r="D43" s="55">
        <v>156.25</v>
      </c>
      <c r="E43" s="47" t="s">
        <v>77</v>
      </c>
      <c r="F43" s="55">
        <v>304.39999999999998</v>
      </c>
      <c r="G43" s="55">
        <v>250.625</v>
      </c>
      <c r="H43" s="46"/>
      <c r="I43" s="58"/>
    </row>
    <row r="44" spans="1:9" ht="14.25">
      <c r="A44" s="15" t="s">
        <v>47</v>
      </c>
      <c r="B44" s="85">
        <v>295.02500000000003</v>
      </c>
      <c r="C44" s="55" t="s">
        <v>77</v>
      </c>
      <c r="D44" s="55">
        <v>143.125</v>
      </c>
      <c r="E44" s="47" t="s">
        <v>77</v>
      </c>
      <c r="F44" s="55" t="s">
        <v>77</v>
      </c>
      <c r="G44" s="55">
        <v>232.5</v>
      </c>
      <c r="H44" s="46"/>
      <c r="I44" s="58"/>
    </row>
    <row r="45" spans="1:9" ht="14.25">
      <c r="A45" s="15" t="s">
        <v>48</v>
      </c>
      <c r="B45" s="85">
        <v>288.74599999999998</v>
      </c>
      <c r="C45" s="55">
        <v>270</v>
      </c>
      <c r="D45" s="55">
        <v>126</v>
      </c>
      <c r="E45" s="47" t="s">
        <v>77</v>
      </c>
      <c r="F45" s="55" t="s">
        <v>77</v>
      </c>
      <c r="G45" s="55">
        <v>218.125</v>
      </c>
      <c r="H45" s="46"/>
      <c r="I45" s="58"/>
    </row>
    <row r="46" spans="1:9" ht="14.25">
      <c r="A46" s="15" t="s">
        <v>50</v>
      </c>
      <c r="B46" s="85">
        <v>280.7</v>
      </c>
      <c r="C46" s="55" t="s">
        <v>77</v>
      </c>
      <c r="D46" s="55">
        <v>135</v>
      </c>
      <c r="E46" s="47" t="s">
        <v>77</v>
      </c>
      <c r="F46" s="55" t="s">
        <v>77</v>
      </c>
      <c r="G46" s="55">
        <v>266.25</v>
      </c>
      <c r="H46" s="46"/>
      <c r="I46" s="58"/>
    </row>
    <row r="47" spans="1:9" ht="14.25">
      <c r="A47" s="15" t="s">
        <v>51</v>
      </c>
      <c r="B47" s="85">
        <v>259.09999999999997</v>
      </c>
      <c r="C47" s="55" t="s">
        <v>77</v>
      </c>
      <c r="D47" s="55">
        <v>115</v>
      </c>
      <c r="E47" s="47" t="s">
        <v>77</v>
      </c>
      <c r="F47" s="55" t="s">
        <v>77</v>
      </c>
      <c r="G47" s="55">
        <v>235</v>
      </c>
      <c r="H47" s="46"/>
      <c r="I47" s="58"/>
    </row>
    <row r="48" spans="1:9" ht="16.5">
      <c r="A48" s="76" t="s">
        <v>151</v>
      </c>
      <c r="B48" s="108"/>
      <c r="C48" s="108"/>
      <c r="D48" s="108"/>
      <c r="E48" s="108"/>
      <c r="F48" s="108"/>
      <c r="G48" s="108"/>
      <c r="I48" s="61"/>
    </row>
    <row r="49" spans="1:10" ht="16.5">
      <c r="A49" s="172" t="s">
        <v>152</v>
      </c>
      <c r="B49" s="63"/>
      <c r="C49" s="63"/>
      <c r="D49" s="63"/>
      <c r="E49" s="63"/>
      <c r="F49" s="63"/>
      <c r="G49" s="63"/>
      <c r="I49" s="61"/>
      <c r="J49" s="61"/>
    </row>
    <row r="50" spans="1:10" ht="14.25">
      <c r="A50" s="15" t="s">
        <v>153</v>
      </c>
      <c r="B50" s="15"/>
      <c r="C50" s="15"/>
      <c r="D50" s="15"/>
      <c r="E50" s="15"/>
      <c r="F50" s="63"/>
      <c r="G50" s="63"/>
      <c r="I50" s="61"/>
      <c r="J50" s="61"/>
    </row>
    <row r="51" spans="1:10" ht="14.25">
      <c r="A51" s="49" t="s">
        <v>57</v>
      </c>
      <c r="B51" s="36">
        <f>Contents!A17</f>
        <v>45883</v>
      </c>
      <c r="C51" s="15"/>
      <c r="D51" s="15"/>
      <c r="E51" s="15"/>
      <c r="F51" s="63"/>
      <c r="G51" s="63"/>
      <c r="I51" s="64"/>
      <c r="J51" s="64"/>
    </row>
    <row r="52" spans="1:10" ht="14.25">
      <c r="F52" s="63"/>
      <c r="G52" s="63"/>
      <c r="I52" s="64"/>
      <c r="J52" s="64"/>
    </row>
    <row r="53" spans="1:10" ht="14.25">
      <c r="B53" s="132"/>
      <c r="F53" s="63"/>
      <c r="G53" s="63"/>
      <c r="I53" s="61"/>
      <c r="J53" s="61"/>
    </row>
    <row r="54" spans="1:10">
      <c r="B54" s="87"/>
      <c r="C54" s="89"/>
      <c r="D54" s="89"/>
      <c r="E54" s="89"/>
      <c r="F54" s="89"/>
      <c r="G54" s="89"/>
      <c r="I54" s="61"/>
      <c r="J54" s="61"/>
    </row>
    <row r="55" spans="1:10">
      <c r="I55" s="61"/>
      <c r="J55" s="61"/>
    </row>
    <row r="56" spans="1:10">
      <c r="B56" s="87"/>
      <c r="I56" s="61"/>
      <c r="J56" s="61"/>
    </row>
    <row r="57" spans="1:10">
      <c r="I57" s="61"/>
      <c r="J57" s="61"/>
    </row>
    <row r="58" spans="1:10">
      <c r="I58" s="61"/>
      <c r="J58" s="61"/>
    </row>
    <row r="60" spans="1:10">
      <c r="I60" s="65"/>
      <c r="J60" s="65"/>
    </row>
    <row r="61" spans="1:10">
      <c r="I61" s="65"/>
      <c r="J61" s="65"/>
    </row>
  </sheetData>
  <phoneticPr fontId="6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B89A2-FB5B-4386-83ED-E13F4E3EE5CD}">
  <sheetPr codeName="Sheet8"/>
  <dimension ref="A1:E91"/>
  <sheetViews>
    <sheetView zoomScaleNormal="100" workbookViewId="0">
      <selection activeCell="E9" sqref="E9"/>
    </sheetView>
  </sheetViews>
  <sheetFormatPr defaultColWidth="9.140625" defaultRowHeight="12.75"/>
  <cols>
    <col min="1" max="1" width="14.7109375" style="176" bestFit="1" customWidth="1"/>
    <col min="2" max="3" width="12.28515625" style="176" customWidth="1"/>
    <col min="4" max="4" width="10" style="176" customWidth="1"/>
    <col min="5" max="16384" width="9.140625" style="176"/>
  </cols>
  <sheetData>
    <row r="1" spans="1:5">
      <c r="A1" s="175" t="s">
        <v>154</v>
      </c>
      <c r="B1" s="185" t="s">
        <v>54</v>
      </c>
      <c r="C1" s="185" t="s">
        <v>155</v>
      </c>
      <c r="D1" s="196"/>
      <c r="E1" s="196"/>
    </row>
    <row r="2" spans="1:5">
      <c r="A2" s="177" t="s">
        <v>163</v>
      </c>
      <c r="B2" s="184">
        <v>348.34</v>
      </c>
      <c r="C2" s="184">
        <v>285.08999999999997</v>
      </c>
      <c r="D2" s="197"/>
      <c r="E2" s="198"/>
    </row>
    <row r="3" spans="1:5">
      <c r="A3" s="179" t="s">
        <v>164</v>
      </c>
      <c r="B3" s="184">
        <v>1489.1</v>
      </c>
      <c r="C3" s="184">
        <v>1487.94</v>
      </c>
      <c r="D3" s="197"/>
      <c r="E3" s="198"/>
    </row>
    <row r="4" spans="1:5">
      <c r="A4" s="179" t="s">
        <v>165</v>
      </c>
      <c r="B4" s="184">
        <v>1213.1600000000001</v>
      </c>
      <c r="C4" s="184">
        <v>1248.7</v>
      </c>
      <c r="D4" s="197"/>
      <c r="E4" s="198"/>
    </row>
    <row r="5" spans="1:5">
      <c r="A5" s="179" t="s">
        <v>166</v>
      </c>
      <c r="B5" s="184">
        <v>456</v>
      </c>
      <c r="C5" s="184">
        <v>416.55</v>
      </c>
      <c r="D5" s="197"/>
      <c r="E5" s="198"/>
    </row>
    <row r="6" spans="1:5">
      <c r="A6" s="179" t="s">
        <v>167</v>
      </c>
      <c r="B6" s="184">
        <v>476.96499999999997</v>
      </c>
      <c r="C6" s="184">
        <v>473.62</v>
      </c>
      <c r="D6" s="197"/>
      <c r="E6" s="198"/>
    </row>
    <row r="7" spans="1:5">
      <c r="A7" s="179" t="s">
        <v>168</v>
      </c>
      <c r="B7" s="184">
        <f>B8-SUM(B2:B6)</f>
        <v>382.92700000000013</v>
      </c>
      <c r="C7" s="184">
        <v>380.31</v>
      </c>
      <c r="D7" s="197"/>
      <c r="E7" s="198"/>
    </row>
    <row r="8" spans="1:5">
      <c r="A8" s="179" t="s">
        <v>198</v>
      </c>
      <c r="B8" s="184">
        <v>4366.4920000000002</v>
      </c>
      <c r="C8" s="184">
        <v>4292.21</v>
      </c>
      <c r="D8" s="197"/>
      <c r="E8" s="198"/>
    </row>
    <row r="9" spans="1:5">
      <c r="B9" s="180"/>
      <c r="C9" s="180"/>
    </row>
    <row r="10" spans="1:5">
      <c r="A10" s="177"/>
      <c r="B10" s="180"/>
      <c r="C10" s="180"/>
    </row>
    <row r="11" spans="1:5">
      <c r="A11" s="179"/>
      <c r="B11" s="180"/>
      <c r="C11" s="180"/>
    </row>
    <row r="12" spans="1:5">
      <c r="A12" s="179"/>
      <c r="B12" s="180"/>
      <c r="C12" s="180"/>
    </row>
    <row r="13" spans="1:5">
      <c r="A13" s="179"/>
      <c r="B13" s="180"/>
      <c r="C13" s="180"/>
    </row>
    <row r="14" spans="1:5">
      <c r="A14" s="179"/>
      <c r="B14" s="178"/>
      <c r="C14" s="178"/>
    </row>
    <row r="15" spans="1:5">
      <c r="A15" s="179"/>
      <c r="B15" s="181"/>
      <c r="C15" s="181"/>
    </row>
    <row r="16" spans="1:5">
      <c r="A16" s="179"/>
      <c r="B16" s="182"/>
      <c r="C16" s="182"/>
    </row>
    <row r="17" spans="1:3">
      <c r="A17" s="179"/>
      <c r="B17" s="183"/>
      <c r="C17" s="183"/>
    </row>
    <row r="18" spans="1:3">
      <c r="A18" s="179"/>
      <c r="B18" s="183"/>
      <c r="C18" s="183"/>
    </row>
    <row r="19" spans="1:3">
      <c r="A19" s="179"/>
      <c r="B19" s="183"/>
      <c r="C19" s="183"/>
    </row>
    <row r="20" spans="1:3">
      <c r="A20" s="179"/>
      <c r="B20" s="183"/>
      <c r="C20" s="183"/>
    </row>
    <row r="21" spans="1:3">
      <c r="A21" s="179"/>
      <c r="B21" s="183"/>
      <c r="C21" s="183"/>
    </row>
    <row r="22" spans="1:3">
      <c r="A22" s="179"/>
      <c r="B22" s="183"/>
      <c r="C22" s="183"/>
    </row>
    <row r="23" spans="1:3">
      <c r="A23" s="179"/>
      <c r="B23" s="179"/>
      <c r="C23" s="179"/>
    </row>
    <row r="24" spans="1:3">
      <c r="A24" s="179"/>
      <c r="B24" s="179"/>
      <c r="C24" s="179"/>
    </row>
    <row r="25" spans="1:3">
      <c r="A25" s="179"/>
      <c r="B25" s="179"/>
      <c r="C25" s="179"/>
    </row>
    <row r="26" spans="1:3">
      <c r="A26" s="179"/>
      <c r="B26" s="179"/>
      <c r="C26" s="179"/>
    </row>
    <row r="27" spans="1:3">
      <c r="A27" s="179"/>
      <c r="B27" s="179"/>
      <c r="C27" s="179"/>
    </row>
    <row r="28" spans="1:3">
      <c r="A28" s="179"/>
      <c r="B28" s="179"/>
      <c r="C28" s="179"/>
    </row>
    <row r="29" spans="1:3">
      <c r="A29" s="179"/>
      <c r="B29" s="179"/>
      <c r="C29" s="179"/>
    </row>
    <row r="30" spans="1:3">
      <c r="A30" s="179"/>
      <c r="B30" s="179"/>
      <c r="C30" s="179"/>
    </row>
    <row r="31" spans="1:3">
      <c r="A31" s="179"/>
      <c r="B31" s="179"/>
      <c r="C31" s="179"/>
    </row>
    <row r="32" spans="1:3">
      <c r="A32" s="179"/>
      <c r="B32" s="179"/>
      <c r="C32" s="179"/>
    </row>
    <row r="33" spans="1:3">
      <c r="A33" s="179"/>
      <c r="B33" s="179"/>
      <c r="C33" s="179"/>
    </row>
    <row r="34" spans="1:3">
      <c r="A34" s="179"/>
      <c r="B34" s="179"/>
      <c r="C34" s="179"/>
    </row>
    <row r="35" spans="1:3">
      <c r="A35" s="179"/>
      <c r="B35" s="179"/>
      <c r="C35" s="179"/>
    </row>
    <row r="36" spans="1:3">
      <c r="A36" s="179"/>
      <c r="B36" s="179"/>
      <c r="C36" s="179"/>
    </row>
    <row r="37" spans="1:3">
      <c r="A37" s="179"/>
      <c r="B37" s="179"/>
      <c r="C37" s="179"/>
    </row>
    <row r="38" spans="1:3">
      <c r="A38" s="179"/>
      <c r="B38" s="179"/>
      <c r="C38" s="179"/>
    </row>
    <row r="39" spans="1:3">
      <c r="A39" s="179"/>
      <c r="B39" s="179"/>
      <c r="C39" s="179"/>
    </row>
    <row r="40" spans="1:3">
      <c r="A40" s="179"/>
      <c r="B40" s="179"/>
      <c r="C40" s="179"/>
    </row>
    <row r="41" spans="1:3">
      <c r="A41" s="179"/>
      <c r="B41" s="179"/>
      <c r="C41" s="179"/>
    </row>
    <row r="42" spans="1:3">
      <c r="A42" s="179"/>
      <c r="B42" s="179"/>
      <c r="C42" s="179"/>
    </row>
    <row r="43" spans="1:3">
      <c r="A43" s="179"/>
      <c r="B43" s="179"/>
      <c r="C43" s="179"/>
    </row>
    <row r="44" spans="1:3">
      <c r="A44" s="179"/>
      <c r="B44" s="179"/>
      <c r="C44" s="179"/>
    </row>
    <row r="45" spans="1:3">
      <c r="A45" s="179"/>
      <c r="B45" s="179"/>
      <c r="C45" s="179"/>
    </row>
    <row r="46" spans="1:3">
      <c r="A46" s="179"/>
      <c r="B46" s="179"/>
      <c r="C46" s="179"/>
    </row>
    <row r="47" spans="1:3">
      <c r="A47" s="179"/>
      <c r="B47" s="179"/>
      <c r="C47" s="179"/>
    </row>
    <row r="48" spans="1:3">
      <c r="A48" s="179"/>
      <c r="B48" s="179"/>
      <c r="C48" s="179"/>
    </row>
    <row r="49" spans="1:3">
      <c r="A49" s="179"/>
      <c r="B49" s="179"/>
      <c r="C49" s="179"/>
    </row>
    <row r="50" spans="1:3">
      <c r="A50" s="179"/>
      <c r="B50" s="179"/>
      <c r="C50" s="179"/>
    </row>
    <row r="51" spans="1:3">
      <c r="A51" s="179"/>
      <c r="B51" s="179"/>
      <c r="C51" s="179"/>
    </row>
    <row r="52" spans="1:3">
      <c r="A52" s="179"/>
      <c r="B52" s="179"/>
      <c r="C52" s="179"/>
    </row>
    <row r="53" spans="1:3">
      <c r="A53" s="179"/>
      <c r="B53" s="179"/>
      <c r="C53" s="179"/>
    </row>
    <row r="54" spans="1:3">
      <c r="A54" s="179"/>
      <c r="B54" s="179"/>
      <c r="C54" s="179"/>
    </row>
    <row r="55" spans="1:3">
      <c r="A55" s="179"/>
      <c r="B55" s="179"/>
      <c r="C55" s="179"/>
    </row>
    <row r="56" spans="1:3">
      <c r="A56" s="179"/>
      <c r="B56" s="179"/>
      <c r="C56" s="179"/>
    </row>
    <row r="57" spans="1:3">
      <c r="A57" s="179"/>
      <c r="B57" s="179"/>
      <c r="C57" s="179"/>
    </row>
    <row r="58" spans="1:3">
      <c r="A58" s="179"/>
      <c r="B58" s="179"/>
      <c r="C58" s="179"/>
    </row>
    <row r="59" spans="1:3">
      <c r="A59" s="179"/>
      <c r="B59" s="179"/>
      <c r="C59" s="179"/>
    </row>
    <row r="60" spans="1:3">
      <c r="A60" s="179"/>
      <c r="B60" s="179"/>
      <c r="C60" s="179"/>
    </row>
    <row r="61" spans="1:3">
      <c r="A61" s="179"/>
      <c r="B61" s="179"/>
      <c r="C61" s="179"/>
    </row>
    <row r="62" spans="1:3">
      <c r="A62" s="179"/>
      <c r="B62" s="179"/>
      <c r="C62" s="179"/>
    </row>
    <row r="63" spans="1:3">
      <c r="A63" s="179"/>
      <c r="B63" s="179"/>
      <c r="C63" s="179"/>
    </row>
    <row r="64" spans="1:3">
      <c r="A64" s="179"/>
      <c r="B64" s="179"/>
      <c r="C64" s="179"/>
    </row>
    <row r="65" spans="1:3">
      <c r="A65" s="179"/>
      <c r="B65" s="179"/>
      <c r="C65" s="179"/>
    </row>
    <row r="66" spans="1:3">
      <c r="A66" s="179"/>
      <c r="B66" s="179"/>
      <c r="C66" s="179"/>
    </row>
    <row r="67" spans="1:3">
      <c r="A67" s="179"/>
      <c r="B67" s="179"/>
      <c r="C67" s="179"/>
    </row>
    <row r="68" spans="1:3">
      <c r="A68" s="179"/>
      <c r="B68" s="179"/>
      <c r="C68" s="179"/>
    </row>
    <row r="69" spans="1:3">
      <c r="A69" s="179"/>
      <c r="B69" s="179"/>
      <c r="C69" s="179"/>
    </row>
    <row r="70" spans="1:3">
      <c r="A70" s="179"/>
      <c r="B70" s="179"/>
      <c r="C70" s="179"/>
    </row>
    <row r="71" spans="1:3">
      <c r="A71" s="179"/>
      <c r="B71" s="179"/>
      <c r="C71" s="179"/>
    </row>
    <row r="72" spans="1:3">
      <c r="A72" s="179"/>
      <c r="B72" s="179"/>
      <c r="C72" s="179"/>
    </row>
    <row r="73" spans="1:3">
      <c r="A73" s="179"/>
      <c r="B73" s="179"/>
      <c r="C73" s="179"/>
    </row>
    <row r="74" spans="1:3">
      <c r="A74" s="179"/>
      <c r="B74" s="179"/>
      <c r="C74" s="179"/>
    </row>
    <row r="75" spans="1:3">
      <c r="A75" s="179"/>
      <c r="B75" s="179"/>
      <c r="C75" s="179"/>
    </row>
    <row r="76" spans="1:3">
      <c r="A76" s="179"/>
      <c r="B76" s="179"/>
      <c r="C76" s="179"/>
    </row>
    <row r="77" spans="1:3">
      <c r="A77" s="179"/>
      <c r="B77" s="179"/>
      <c r="C77" s="179"/>
    </row>
    <row r="78" spans="1:3">
      <c r="A78" s="179"/>
      <c r="B78" s="179"/>
      <c r="C78" s="179"/>
    </row>
    <row r="79" spans="1:3">
      <c r="A79" s="179"/>
      <c r="B79" s="179"/>
      <c r="C79" s="179"/>
    </row>
    <row r="80" spans="1:3">
      <c r="A80" s="179"/>
      <c r="B80" s="179"/>
      <c r="C80" s="179"/>
    </row>
    <row r="81" spans="1:3">
      <c r="A81" s="179"/>
      <c r="B81" s="179"/>
      <c r="C81" s="179"/>
    </row>
    <row r="82" spans="1:3">
      <c r="A82" s="179"/>
      <c r="B82" s="179"/>
      <c r="C82" s="179"/>
    </row>
    <row r="83" spans="1:3">
      <c r="A83" s="179"/>
      <c r="B83" s="179"/>
      <c r="C83" s="179"/>
    </row>
    <row r="84" spans="1:3">
      <c r="A84" s="179"/>
      <c r="B84" s="179"/>
      <c r="C84" s="179"/>
    </row>
    <row r="85" spans="1:3">
      <c r="A85" s="179"/>
      <c r="B85" s="179"/>
      <c r="C85" s="179"/>
    </row>
    <row r="86" spans="1:3">
      <c r="A86" s="179"/>
      <c r="B86" s="179"/>
      <c r="C86" s="179"/>
    </row>
    <row r="87" spans="1:3">
      <c r="A87" s="179"/>
      <c r="B87" s="179"/>
      <c r="C87" s="179"/>
    </row>
    <row r="88" spans="1:3">
      <c r="A88" s="179"/>
      <c r="B88" s="179"/>
      <c r="C88" s="179"/>
    </row>
    <row r="89" spans="1:3">
      <c r="A89" s="179"/>
      <c r="B89" s="179"/>
      <c r="C89" s="179"/>
    </row>
    <row r="90" spans="1:3">
      <c r="A90" s="179"/>
      <c r="B90" s="179"/>
      <c r="C90" s="179"/>
    </row>
    <row r="91" spans="1:3">
      <c r="A91" s="179"/>
      <c r="B91" s="179"/>
      <c r="C91" s="179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purl.org/dc/terms/"/>
    <ds:schemaRef ds:uri="7818c5c2-d41f-4dce-801c-4e3595afcb3f"/>
    <ds:schemaRef ds:uri="http://www.w3.org/XML/1998/namespace"/>
    <ds:schemaRef ds:uri="c49de858-f9fd-4eb6-bcba-50396646711f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Osman, Adrian - REE-ERS</cp:lastModifiedBy>
  <cp:revision/>
  <dcterms:created xsi:type="dcterms:W3CDTF">2001-11-13T16:22:15Z</dcterms:created>
  <dcterms:modified xsi:type="dcterms:W3CDTF">2025-08-14T13:54:03Z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