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5/OCS-25G July 2025/"/>
    </mc:Choice>
  </mc:AlternateContent>
  <xr:revisionPtr revIDLastSave="1068" documentId="13_ncr:1_{F4AE5F82-9340-4BA8-B85A-43EB6A006020}" xr6:coauthVersionLast="47" xr6:coauthVersionMax="47" xr10:uidLastSave="{B361BF82-92C6-4769-9EC1-D51006E0186F}"/>
  <bookViews>
    <workbookView xWindow="28680" yWindow="-120" windowWidth="29040" windowHeight="15720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 " sheetId="241" r:id="rId9"/>
    <sheet name="Figure 2" sheetId="239" r:id="rId10"/>
    <sheet name="Figure 3" sheetId="240" r:id="rId11"/>
    <sheet name="Figure 4" sheetId="242" r:id="rId12"/>
    <sheet name="Figure 5" sheetId="243" r:id="rId13"/>
  </sheets>
  <definedNames>
    <definedName name="_xlnm.Print_Area" localSheetId="1">'Table 1'!$A$1:$N$43</definedName>
    <definedName name="_xlnm.Print_Area" localSheetId="7">'Table 10'!$A$1:$G$48</definedName>
    <definedName name="_xlnm.Print_Area" localSheetId="2">'Table 2'!$A$1:$J$35</definedName>
    <definedName name="_xlnm.Print_Area" localSheetId="3">'Table 3'!$A$1:$L$48</definedName>
    <definedName name="_xlnm.Print_Area" localSheetId="5">'Table 8'!$A$1:$G$47</definedName>
    <definedName name="_xlnm.Print_Area" localSheetId="6">'Table 9'!$A$1:$I$49</definedName>
    <definedName name="_xlnm.Print_Area" localSheetId="4">'Tables 4-7'!$A$1:$O$52</definedName>
    <definedName name="WASDE_Updated" localSheetId="0">Contents!#REF!</definedName>
  </definedNames>
  <calcPr calcId="191028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H15" i="2"/>
  <c r="L27" i="1" l="1"/>
  <c r="L11" i="1" l="1"/>
  <c r="D9" i="240" l="1"/>
  <c r="C9" i="240" s="1"/>
  <c r="D8" i="240"/>
  <c r="C8" i="240" s="1"/>
  <c r="D7" i="240"/>
  <c r="C7" i="240" s="1"/>
  <c r="D6" i="240"/>
  <c r="C6" i="240" s="1"/>
  <c r="D5" i="240"/>
  <c r="C5" i="240" s="1"/>
  <c r="D4" i="240"/>
  <c r="C4" i="240" s="1"/>
  <c r="D3" i="240"/>
  <c r="C3" i="240" s="1"/>
  <c r="D2" i="240"/>
  <c r="C2" i="240" s="1"/>
  <c r="J40" i="1" l="1"/>
  <c r="D33" i="9"/>
  <c r="D33" i="2"/>
  <c r="G40" i="1"/>
  <c r="J33" i="9"/>
  <c r="H33" i="2"/>
  <c r="L40" i="1"/>
  <c r="B33" i="9"/>
  <c r="E33" i="9"/>
  <c r="K33" i="9" s="1"/>
  <c r="I32" i="9"/>
  <c r="I6" i="9"/>
  <c r="J6" i="9"/>
  <c r="H6" i="2"/>
  <c r="H11" i="2"/>
  <c r="D6" i="2"/>
  <c r="L6" i="1"/>
  <c r="G6" i="1"/>
  <c r="G33" i="9" l="1"/>
  <c r="G27" i="1"/>
  <c r="D23" i="9"/>
  <c r="D23" i="2"/>
  <c r="H23" i="2"/>
  <c r="J23" i="9"/>
  <c r="L34" i="1"/>
  <c r="L32" i="1"/>
  <c r="L31" i="1"/>
  <c r="L30" i="1"/>
  <c r="L25" i="1"/>
  <c r="L24" i="1"/>
  <c r="L23" i="1"/>
  <c r="L21" i="1"/>
  <c r="L20" i="1"/>
  <c r="L19" i="1"/>
  <c r="L17" i="1"/>
  <c r="L16" i="1"/>
  <c r="L15" i="1"/>
  <c r="L13" i="1"/>
  <c r="L12" i="1"/>
  <c r="H28" i="2"/>
  <c r="H27" i="2"/>
  <c r="H26" i="2"/>
  <c r="H22" i="2"/>
  <c r="H21" i="2"/>
  <c r="H20" i="2"/>
  <c r="H19" i="2"/>
  <c r="H18" i="2"/>
  <c r="H17" i="2"/>
  <c r="H16" i="2"/>
  <c r="H14" i="2"/>
  <c r="H13" i="2"/>
  <c r="H12" i="2"/>
  <c r="J28" i="9"/>
  <c r="J27" i="9"/>
  <c r="J26" i="9"/>
  <c r="J21" i="9"/>
  <c r="J20" i="9"/>
  <c r="J19" i="9"/>
  <c r="J18" i="9"/>
  <c r="J17" i="9"/>
  <c r="J16" i="9"/>
  <c r="J15" i="9"/>
  <c r="J14" i="9"/>
  <c r="J13" i="9"/>
  <c r="D28" i="9"/>
  <c r="D27" i="9"/>
  <c r="D26" i="9"/>
  <c r="D22" i="9"/>
  <c r="D21" i="9"/>
  <c r="D20" i="9"/>
  <c r="D19" i="9"/>
  <c r="D18" i="9"/>
  <c r="D16" i="9"/>
  <c r="D15" i="9"/>
  <c r="D14" i="9"/>
  <c r="D29" i="2"/>
  <c r="D28" i="2"/>
  <c r="D27" i="2"/>
  <c r="D26" i="2"/>
  <c r="D22" i="2"/>
  <c r="D21" i="2"/>
  <c r="D20" i="2"/>
  <c r="D19" i="2"/>
  <c r="D18" i="2"/>
  <c r="D17" i="2"/>
  <c r="D15" i="2"/>
  <c r="D16" i="2"/>
  <c r="D14" i="2"/>
  <c r="D13" i="2"/>
  <c r="D12" i="2"/>
  <c r="G34" i="1"/>
  <c r="G32" i="1"/>
  <c r="G31" i="1"/>
  <c r="G30" i="1"/>
  <c r="G25" i="1"/>
  <c r="G24" i="1"/>
  <c r="G23" i="1"/>
  <c r="G21" i="1"/>
  <c r="G20" i="1"/>
  <c r="G19" i="1"/>
  <c r="G17" i="1"/>
  <c r="G16" i="1"/>
  <c r="G15" i="1"/>
  <c r="G13" i="1"/>
  <c r="B33" i="2"/>
  <c r="E33" i="2"/>
  <c r="I33" i="2" s="1"/>
  <c r="G33" i="2" s="1"/>
  <c r="L41" i="1"/>
  <c r="J41" i="1"/>
  <c r="G41" i="1"/>
  <c r="E41" i="1"/>
  <c r="E8" i="3"/>
  <c r="H41" i="1" l="1"/>
  <c r="M41" i="1" s="1"/>
  <c r="K41" i="1" s="1"/>
  <c r="J32" i="9" l="1"/>
  <c r="D32" i="9"/>
  <c r="H32" i="2"/>
  <c r="D32" i="2"/>
  <c r="D31" i="2"/>
  <c r="L39" i="1"/>
  <c r="G39" i="1"/>
  <c r="B32" i="9" l="1"/>
  <c r="B32" i="2"/>
  <c r="E32" i="2" s="1"/>
  <c r="I32" i="2" s="1"/>
  <c r="G32" i="2" s="1"/>
  <c r="J38" i="1"/>
  <c r="J39" i="1"/>
  <c r="N46" i="3"/>
  <c r="I32" i="3"/>
  <c r="E31" i="3"/>
  <c r="E19" i="3"/>
  <c r="E20" i="3"/>
  <c r="E32" i="9" l="1"/>
  <c r="K32" i="9" s="1"/>
  <c r="G32" i="9" s="1"/>
  <c r="J31" i="9"/>
  <c r="D31" i="9"/>
  <c r="B31" i="9"/>
  <c r="E31" i="9" s="1"/>
  <c r="K31" i="9" s="1"/>
  <c r="G31" i="9" s="1"/>
  <c r="I31" i="9" s="1"/>
  <c r="H31" i="2"/>
  <c r="L38" i="1"/>
  <c r="L36" i="1"/>
  <c r="J36" i="1"/>
  <c r="G38" i="1"/>
  <c r="D45" i="3" l="1"/>
  <c r="H45" i="3"/>
  <c r="L44" i="3"/>
  <c r="N44" i="3"/>
  <c r="E45" i="3"/>
  <c r="N45" i="3"/>
  <c r="O45" i="3" s="1"/>
  <c r="E32" i="3"/>
  <c r="I31" i="3"/>
  <c r="G31" i="3" s="1"/>
  <c r="B32" i="3"/>
  <c r="B20" i="3"/>
  <c r="G19" i="3"/>
  <c r="I19" i="3"/>
  <c r="I20" i="3"/>
  <c r="J20" i="3" s="1"/>
  <c r="B21" i="3" s="1"/>
  <c r="J7" i="3"/>
  <c r="E6" i="3"/>
  <c r="G7" i="9"/>
  <c r="K7" i="9" s="1"/>
  <c r="L6" i="9"/>
  <c r="B7" i="9" s="1"/>
  <c r="E7" i="9" s="1"/>
  <c r="I7" i="2"/>
  <c r="J6" i="2"/>
  <c r="B7" i="2" s="1"/>
  <c r="E7" i="2" s="1"/>
  <c r="B31" i="2"/>
  <c r="E31" i="2" s="1"/>
  <c r="I31" i="2" s="1"/>
  <c r="G31" i="2" s="1"/>
  <c r="M8" i="1"/>
  <c r="J7" i="2" l="1"/>
  <c r="B8" i="2" s="1"/>
  <c r="E46" i="3"/>
  <c r="L7" i="9"/>
  <c r="J32" i="3"/>
  <c r="D6" i="1" l="1"/>
  <c r="N6" i="1"/>
  <c r="E7" i="1" s="1"/>
  <c r="H30" i="2"/>
  <c r="D30" i="2"/>
  <c r="J30" i="9" l="1"/>
  <c r="D30" i="9"/>
  <c r="G36" i="1"/>
  <c r="B30" i="2" l="1"/>
  <c r="B30" i="9" l="1"/>
  <c r="E30" i="9" s="1"/>
  <c r="K30" i="9" s="1"/>
  <c r="G30" i="9" s="1"/>
  <c r="I30" i="9" s="1"/>
  <c r="E30" i="2"/>
  <c r="I30" i="2" s="1"/>
  <c r="G30" i="2" s="1"/>
  <c r="I37" i="1"/>
  <c r="E37" i="1"/>
  <c r="J25" i="1"/>
  <c r="J24" i="1"/>
  <c r="J23" i="1"/>
  <c r="J21" i="1"/>
  <c r="J20" i="1"/>
  <c r="J19" i="1"/>
  <c r="J17" i="1"/>
  <c r="J16" i="1"/>
  <c r="J15" i="1"/>
  <c r="J13" i="1"/>
  <c r="J12" i="1"/>
  <c r="J11" i="1"/>
  <c r="H29" i="2" l="1"/>
  <c r="J29" i="9"/>
  <c r="D29" i="9"/>
  <c r="L35" i="1" l="1"/>
  <c r="G35" i="1"/>
  <c r="B29" i="9" l="1"/>
  <c r="E29" i="9" s="1"/>
  <c r="K29" i="9" s="1"/>
  <c r="G29" i="9" s="1"/>
  <c r="I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7" i="1" s="1"/>
  <c r="J32" i="1"/>
  <c r="J31" i="1"/>
  <c r="J30" i="1"/>
  <c r="G37" i="1" l="1"/>
  <c r="H37" i="1" s="1"/>
  <c r="M37" i="1" s="1"/>
  <c r="B28" i="9" l="1"/>
  <c r="L37" i="1"/>
  <c r="K37" i="1" s="1"/>
  <c r="E28" i="9" l="1"/>
  <c r="K28" i="9" s="1"/>
  <c r="G28" i="9" s="1"/>
  <c r="I28" i="9" s="1"/>
  <c r="B28" i="2"/>
  <c r="E28" i="2" s="1"/>
  <c r="I28" i="2" s="1"/>
  <c r="G28" i="2" s="1"/>
  <c r="B26" i="2" l="1"/>
  <c r="E33" i="1" l="1"/>
  <c r="B27" i="2"/>
  <c r="E27" i="2" s="1"/>
  <c r="I27" i="2" s="1"/>
  <c r="G27" i="2" s="1"/>
  <c r="B27" i="9"/>
  <c r="E27" i="9" s="1"/>
  <c r="K27" i="9" s="1"/>
  <c r="G27" i="9" s="1"/>
  <c r="I27" i="9" s="1"/>
  <c r="J22" i="9" l="1"/>
  <c r="J12" i="9"/>
  <c r="J11" i="9"/>
  <c r="D17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H6" i="9" s="1"/>
  <c r="D6" i="9" l="1"/>
  <c r="C23" i="9"/>
  <c r="C6" i="9" s="1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C23" i="2"/>
  <c r="C6" i="2" s="1"/>
  <c r="B22" i="2"/>
  <c r="B21" i="2"/>
  <c r="B20" i="2"/>
  <c r="E20" i="2" s="1"/>
  <c r="I20" i="2" s="1"/>
  <c r="B19" i="2"/>
  <c r="B18" i="2"/>
  <c r="B17" i="2"/>
  <c r="B16" i="2"/>
  <c r="E16" i="2" s="1"/>
  <c r="I16" i="2" s="1"/>
  <c r="G16" i="2" s="1"/>
  <c r="B15" i="2"/>
  <c r="B14" i="2"/>
  <c r="B13" i="2"/>
  <c r="B12" i="2"/>
  <c r="E12" i="2" s="1"/>
  <c r="I12" i="2" s="1"/>
  <c r="D11" i="2"/>
  <c r="G12" i="2" l="1"/>
  <c r="G20" i="2"/>
  <c r="K20" i="9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K6" i="9" s="1"/>
  <c r="G6" i="9" s="1"/>
  <c r="E18" i="1"/>
  <c r="G19" i="9" l="1"/>
  <c r="G20" i="9"/>
  <c r="G18" i="9"/>
  <c r="G17" i="9"/>
  <c r="G16" i="9"/>
  <c r="G13" i="9"/>
  <c r="G15" i="9"/>
  <c r="G21" i="9"/>
  <c r="G14" i="9"/>
  <c r="G12" i="9"/>
  <c r="K23" i="9"/>
  <c r="G23" i="9" s="1"/>
  <c r="I23" i="9" s="1"/>
  <c r="E11" i="2"/>
  <c r="I11" i="2" s="1"/>
  <c r="I23" i="2" s="1"/>
  <c r="L33" i="1"/>
  <c r="J33" i="1"/>
  <c r="I14" i="9" l="1"/>
  <c r="I13" i="9"/>
  <c r="I16" i="9"/>
  <c r="I17" i="9"/>
  <c r="I18" i="9"/>
  <c r="I21" i="9"/>
  <c r="I20" i="9"/>
  <c r="I15" i="9"/>
  <c r="I19" i="9"/>
  <c r="I12" i="9"/>
  <c r="G11" i="2"/>
  <c r="G23" i="2" s="1"/>
  <c r="G33" i="1"/>
  <c r="H33" i="1" s="1"/>
  <c r="M33" i="1" s="1"/>
  <c r="K33" i="1" s="1"/>
  <c r="H6" i="1" l="1"/>
  <c r="M6" i="1" s="1"/>
  <c r="E26" i="1"/>
  <c r="E22" i="1"/>
  <c r="G12" i="1"/>
  <c r="G11" i="1"/>
  <c r="G26" i="1" l="1"/>
  <c r="H26" i="1" s="1"/>
  <c r="M26" i="1" s="1"/>
  <c r="L18" i="1"/>
  <c r="J14" i="1"/>
  <c r="J22" i="1"/>
  <c r="G14" i="1"/>
  <c r="H14" i="1" s="1"/>
  <c r="G18" i="1"/>
  <c r="H18" i="1" s="1"/>
  <c r="M18" i="1" s="1"/>
  <c r="L14" i="1"/>
  <c r="J18" i="1"/>
  <c r="G22" i="1"/>
  <c r="H22" i="1" s="1"/>
  <c r="M22" i="1" s="1"/>
  <c r="J26" i="1"/>
  <c r="L26" i="1"/>
  <c r="L22" i="1"/>
  <c r="J27" i="1" l="1"/>
  <c r="J6" i="1" s="1"/>
  <c r="K6" i="1" s="1"/>
  <c r="M14" i="1"/>
  <c r="K14" i="1" s="1"/>
  <c r="K26" i="1"/>
  <c r="K18" i="1"/>
  <c r="K22" i="1"/>
  <c r="D7" i="1" l="1"/>
  <c r="I33" i="3" l="1"/>
  <c r="I8" i="2" l="1"/>
  <c r="J8" i="3"/>
  <c r="K8" i="3" s="1"/>
  <c r="K8" i="9" l="1"/>
  <c r="B8" i="9" l="1"/>
  <c r="E6" i="2" l="1"/>
  <c r="B44" i="1"/>
  <c r="G6" i="2" l="1"/>
  <c r="I6" i="2"/>
  <c r="M7" i="1"/>
  <c r="I21" i="3" l="1"/>
  <c r="B50" i="6" l="1"/>
  <c r="B50" i="5"/>
  <c r="B49" i="4"/>
  <c r="B50" i="3"/>
  <c r="B36" i="9"/>
  <c r="B36" i="2"/>
  <c r="E21" i="3" l="1"/>
  <c r="J21" i="3" s="1"/>
  <c r="H7" i="1" l="1"/>
  <c r="N7" i="1" s="1"/>
  <c r="E8" i="1" s="1"/>
  <c r="H8" i="1" s="1"/>
  <c r="N8" i="1" s="1"/>
  <c r="B33" i="3" l="1"/>
  <c r="E33" i="3" s="1"/>
  <c r="J33" i="3" s="1"/>
  <c r="E8" i="9" l="1"/>
  <c r="L8" i="9" s="1"/>
  <c r="H46" i="3" l="1"/>
  <c r="O46" i="3" s="1"/>
  <c r="J8" i="2" l="1"/>
  <c r="J6" i="3" l="1"/>
  <c r="I6" i="3" s="1"/>
  <c r="B7" i="3"/>
  <c r="E7" i="3" s="1"/>
  <c r="K7" i="3" l="1"/>
  <c r="B8" i="3" s="1"/>
</calcChain>
</file>

<file path=xl/sharedStrings.xml><?xml version="1.0" encoding="utf-8"?>
<sst xmlns="http://schemas.openxmlformats.org/spreadsheetml/2006/main" count="606" uniqueCount="182">
  <si>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</si>
  <si>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</si>
  <si>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</si>
  <si>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</si>
  <si>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</si>
  <si>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</si>
  <si>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</si>
  <si>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</si>
  <si>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</si>
  <si>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</si>
  <si>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</si>
  <si>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</si>
  <si>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</si>
  <si>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</si>
  <si>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</si>
  <si>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</si>
  <si>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</si>
  <si>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</si>
  <si>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</si>
  <si>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</si>
  <si>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</si>
  <si>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</si>
  <si>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</si>
  <si>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</si>
  <si>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</si>
  <si>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</si>
  <si>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</si>
  <si>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</si>
  <si>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</si>
  <si>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</si>
  <si>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</si>
  <si>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</si>
  <si>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</si>
  <si>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</si>
  <si>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</si>
  <si>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2023/24</t>
  </si>
  <si>
    <r>
      <t>2024/25</t>
    </r>
    <r>
      <rPr>
        <vertAlign val="superscript"/>
        <sz val="11"/>
        <rFont val="Arial"/>
        <family val="2"/>
      </rPr>
      <t>1</t>
    </r>
  </si>
  <si>
    <r>
      <t>2025/26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</si>
  <si>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</si>
  <si>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</si>
  <si>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</si>
  <si>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</si>
  <si>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</si>
  <si>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</si>
  <si>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</si>
  <si>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</si>
  <si>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</si>
  <si>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</si>
  <si>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</si>
  <si>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March-May</t>
  </si>
  <si>
    <t>June</t>
  </si>
  <si>
    <t>July</t>
  </si>
  <si>
    <t>August</t>
  </si>
  <si>
    <t xml:space="preserve">  June–August</t>
  </si>
  <si>
    <t>2024/25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</si>
  <si>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</si>
  <si>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</si>
  <si>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</si>
  <si>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</si>
  <si>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</si>
  <si>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</si>
  <si>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</si>
  <si>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</si>
  <si>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</si>
  <si>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</si>
  <si>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</si>
  <si>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</si>
  <si>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</si>
  <si>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</si>
  <si>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</si>
  <si>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</si>
  <si>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</si>
  <si>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</si>
  <si>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</si>
  <si>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</si>
  <si>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</si>
  <si>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</si>
  <si>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NA</t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</si>
  <si>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</si>
  <si>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</si>
  <si>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</si>
  <si>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</si>
  <si>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</si>
  <si>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</si>
  <si>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</si>
  <si>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</si>
  <si>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</si>
  <si>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</si>
  <si>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</si>
  <si>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</si>
  <si>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</si>
  <si>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</si>
  <si>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</si>
  <si>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</si>
  <si>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</si>
  <si>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</si>
  <si>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</si>
  <si>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</si>
  <si>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</si>
  <si>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</si>
  <si>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</si>
  <si>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</si>
  <si>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</si>
  <si>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</si>
  <si>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</si>
  <si>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</si>
  <si>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</si>
  <si>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</si>
  <si>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</si>
  <si>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</si>
  <si>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</si>
  <si>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</si>
  <si>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</si>
  <si>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</si>
  <si>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</si>
  <si>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</si>
  <si>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</si>
  <si>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</si>
  <si>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</si>
  <si>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</si>
  <si>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r>
      <t>2024/25</t>
    </r>
    <r>
      <rPr>
        <vertAlign val="superscript"/>
        <sz val="11"/>
        <rFont val="Arial"/>
        <family val="2"/>
      </rPr>
      <t>4</t>
    </r>
  </si>
  <si>
    <r>
      <t>2025/26</t>
    </r>
    <r>
      <rPr>
        <vertAlign val="superscript"/>
        <sz val="11"/>
        <rFont val="Arial"/>
        <family val="2"/>
      </rPr>
      <t>4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</si>
  <si>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</si>
  <si>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</si>
  <si>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</si>
  <si>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</si>
  <si>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</si>
  <si>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</si>
  <si>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</si>
  <si>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</si>
  <si>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</si>
  <si>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</si>
  <si>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</si>
  <si>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</si>
  <si>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</si>
  <si>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</si>
  <si>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</si>
  <si>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</si>
  <si>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2024/25</t>
    </r>
    <r>
      <rPr>
        <vertAlign val="superscript"/>
        <sz val="11"/>
        <rFont val="Arial"/>
        <family val="2"/>
      </rPr>
      <t>7</t>
    </r>
  </si>
  <si>
    <r>
      <t>2025/26</t>
    </r>
    <r>
      <rPr>
        <vertAlign val="superscript"/>
        <sz val="11"/>
        <rFont val="Arial"/>
        <family val="2"/>
      </rPr>
      <t>7</t>
    </r>
  </si>
  <si>
    <t xml:space="preserve">January </t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</si>
  <si>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</si>
  <si>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</si>
  <si>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</si>
  <si>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</si>
  <si>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</si>
  <si>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</si>
  <si>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</si>
  <si>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</si>
  <si>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</si>
  <si>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</si>
  <si>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</si>
  <si>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rPr>
        <vertAlign val="superscript"/>
        <sz val="11"/>
        <color rgb="FF000000"/>
        <rFont val="Arial"/>
      </rPr>
      <t>4</t>
    </r>
    <r>
      <rPr>
        <sz val="11"/>
        <color rgb="FF000000"/>
        <rFont val="Arial"/>
      </rPr>
      <t xml:space="preserve"> 50-percent Southeast mills.  </t>
    </r>
    <r>
      <rPr>
        <vertAlign val="superscript"/>
        <sz val="11"/>
        <color rgb="FF000000"/>
        <rFont val="Arial"/>
      </rPr>
      <t>5</t>
    </r>
    <r>
      <rPr>
        <sz val="11"/>
        <color rgb="FF000000"/>
        <rFont val="Arial"/>
      </rPr>
      <t xml:space="preserve"> 36-percent Pacific Northwest. </t>
    </r>
    <r>
      <rPr>
        <vertAlign val="superscript"/>
        <sz val="11"/>
        <color rgb="FF000000"/>
        <rFont val="Arial"/>
      </rPr>
      <t>6</t>
    </r>
    <r>
      <rPr>
        <sz val="11"/>
        <color rgb="FF000000"/>
        <rFont val="Arial"/>
      </rPr>
      <t xml:space="preserve"> 34-percent Minneapolis, MN. </t>
    </r>
    <r>
      <rPr>
        <vertAlign val="superscript"/>
        <sz val="11"/>
        <color rgb="FF000000"/>
        <rFont val="Arial"/>
      </rPr>
      <t>7</t>
    </r>
    <r>
      <rPr>
        <sz val="11"/>
        <color rgb="FF000000"/>
        <rFont val="Arial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</si>
  <si>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</si>
  <si>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</si>
  <si>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Acreage</t>
  </si>
  <si>
    <t>2025/26*</t>
  </si>
  <si>
    <t>Illinois</t>
  </si>
  <si>
    <t>Iowa</t>
  </si>
  <si>
    <t>North &amp; East</t>
  </si>
  <si>
    <t>North Central</t>
  </si>
  <si>
    <t>South, West, and Pacific</t>
  </si>
  <si>
    <t>West Central</t>
  </si>
  <si>
    <t>2024/25*</t>
  </si>
  <si>
    <t>2020/21T</t>
  </si>
  <si>
    <t>2021/22T</t>
  </si>
  <si>
    <t>2022/23T</t>
  </si>
  <si>
    <t>2023/24T</t>
  </si>
  <si>
    <t>2024/25T</t>
  </si>
  <si>
    <t>Oct-Apr</t>
  </si>
  <si>
    <t>Remaining</t>
  </si>
  <si>
    <t>Food, feed, and other industrial use</t>
  </si>
  <si>
    <t>Biofuel use</t>
  </si>
  <si>
    <t>2025/26 June*</t>
  </si>
  <si>
    <t>2025/26 July*</t>
  </si>
  <si>
    <r>
      <rPr>
        <sz val="11"/>
        <color rgb="FF000000"/>
        <rFont val="Arial"/>
      </rPr>
      <t>Note: 1 metric ton equals 1.10231 short tons.</t>
    </r>
    <r>
      <rPr>
        <vertAlign val="superscript"/>
        <sz val="11"/>
        <color rgb="FF000000"/>
        <rFont val="Arial"/>
      </rPr>
      <t xml:space="preserve"> 1</t>
    </r>
    <r>
      <rPr>
        <sz val="11"/>
        <color rgb="FF000000"/>
        <rFont val="Arial"/>
      </rPr>
      <t xml:space="preserve"> Estimated. 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Forecast.</t>
    </r>
  </si>
  <si>
    <r>
      <rPr>
        <sz val="11"/>
        <color rgb="FF000000"/>
        <rFont val="Arial"/>
      </rPr>
      <t>NA = Not available. Note: 1 metric ton equals 2,204.622 pounds.</t>
    </r>
    <r>
      <rPr>
        <vertAlign val="superscript"/>
        <sz val="11"/>
        <color rgb="FF000000"/>
        <rFont val="Arial"/>
      </rPr>
      <t xml:space="preserve"> 1</t>
    </r>
    <r>
      <rPr>
        <sz val="11"/>
        <color rgb="FF000000"/>
        <rFont val="Arial"/>
      </rPr>
      <t xml:space="preserve"> Estimated. 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Forecast. </t>
    </r>
    <r>
      <rPr>
        <vertAlign val="superscript"/>
        <sz val="11"/>
        <color rgb="FF000000"/>
        <rFont val="Arial"/>
      </rPr>
      <t>3</t>
    </r>
    <r>
      <rPr>
        <sz val="11"/>
        <color rgb="FF000000"/>
        <rFont val="Arial"/>
      </rPr>
      <t xml:space="preserve"> Prior year’s monthly biofuel data are estimated on yearly data.</t>
    </r>
  </si>
  <si>
    <r>
      <t>1</t>
    </r>
    <r>
      <rPr>
        <sz val="11"/>
        <color rgb="FF000000"/>
        <rFont val="Arial"/>
      </rPr>
      <t xml:space="preserve"> Estimated. 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Forecast.</t>
    </r>
  </si>
  <si>
    <r>
      <t>NA = Not available.</t>
    </r>
    <r>
      <rPr>
        <vertAlign val="superscript"/>
        <sz val="11"/>
        <color rgb="FF000000"/>
        <rFont val="Arial"/>
      </rPr>
      <t xml:space="preserve"> 1</t>
    </r>
    <r>
      <rPr>
        <sz val="11"/>
        <color rgb="FF000000"/>
        <rFont val="Arial"/>
      </rPr>
      <t xml:space="preserve"> September–August. 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August–July. </t>
    </r>
    <r>
      <rPr>
        <vertAlign val="superscript"/>
        <sz val="11"/>
        <color rgb="FF000000"/>
        <rFont val="Arial"/>
      </rPr>
      <t>3</t>
    </r>
    <r>
      <rPr>
        <sz val="11"/>
        <color rgb="FF000000"/>
        <rFont val="Arial"/>
      </rPr>
      <t xml:space="preserve"> July–June. </t>
    </r>
    <r>
      <rPr>
        <vertAlign val="superscript"/>
        <sz val="11"/>
        <color rgb="FF000000"/>
        <rFont val="Arial"/>
      </rPr>
      <t>4</t>
    </r>
    <r>
      <rPr>
        <sz val="11"/>
        <color rgb="FF000000"/>
        <rFont val="Arial"/>
      </rPr>
      <t xml:space="preserve"> Preliminary. </t>
    </r>
  </si>
  <si>
    <r>
      <rPr>
        <sz val="11"/>
        <color rgb="FF000000"/>
        <rFont val="Arial"/>
      </rPr>
      <t xml:space="preserve">NA = Not available. </t>
    </r>
    <r>
      <rPr>
        <vertAlign val="superscript"/>
        <sz val="11"/>
        <color rgb="FF000000"/>
        <rFont val="Arial"/>
      </rPr>
      <t>1</t>
    </r>
    <r>
      <rPr>
        <sz val="11"/>
        <color rgb="FF000000"/>
        <rFont val="Arial"/>
      </rPr>
      <t xml:space="preserve"> Decatur, IL. </t>
    </r>
    <r>
      <rPr>
        <vertAlign val="superscript"/>
        <sz val="11"/>
        <color rgb="FF000000"/>
        <rFont val="Arial"/>
      </rPr>
      <t>2</t>
    </r>
    <r>
      <rPr>
        <sz val="11"/>
        <color rgb="FF000000"/>
        <rFont val="Arial"/>
      </rPr>
      <t xml:space="preserve"> Prime bleached summer yellow, Greenwood, MS. </t>
    </r>
    <r>
      <rPr>
        <vertAlign val="superscript"/>
        <sz val="11"/>
        <color rgb="FF000000"/>
        <rFont val="Arial"/>
      </rPr>
      <t>3</t>
    </r>
    <r>
      <rPr>
        <sz val="11"/>
        <color rgb="FF000000"/>
        <rFont val="Arial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</si>
  <si>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</si>
  <si>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Regional total         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</si>
</sst>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_)"/>
    <numFmt numFmtId="168" formatCode="#,##0.0"/>
    <numFmt numFmtId="169" formatCode="_(* #,##0.00000_);_(* \(#,##0.00000\);_(* &quot;-&quot;??_);_(@_)"/>
    <numFmt numFmtId="170" formatCode="0.0%"/>
    <numFmt numFmtId="171" formatCode="#,##0.0000"/>
    <numFmt numFmtId="172" formatCode="#,##0.00000"/>
    <numFmt numFmtId="173" formatCode="0.000000"/>
    <numFmt numFmtId="174" formatCode="0.0000000"/>
    <numFmt numFmtId="175" formatCode="0.000"/>
    <numFmt numFmtId="176" formatCode="#,##0.000"/>
    <numFmt numFmtId="177" formatCode="#,##0___)"/>
    <numFmt numFmtId="178" formatCode="#,##0.000000000000"/>
  </numFmts>
  <fonts count="1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  <font>
      <sz val="8"/>
      <name val="Helvetica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</font>
    <font>
      <sz val="10"/>
      <color indexed="8"/>
      <name val="Arial"/>
      <family val="2"/>
    </font>
    <font>
      <vertAlign val="superscript"/>
      <sz val="11"/>
      <color rgb="FF000000"/>
      <name val="Arial"/>
    </font>
    <font>
      <sz val="11"/>
      <color rgb="FF000000"/>
      <name val="Arial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6">
    <xf numFmtId="0" fontId="0" fillId="0" borderId="0"/>
    <xf numFmtId="43" fontId="58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59" fillId="0" borderId="0"/>
    <xf numFmtId="0" fontId="59" fillId="0" borderId="0"/>
    <xf numFmtId="0" fontId="59" fillId="0" borderId="0"/>
    <xf numFmtId="0" fontId="70" fillId="0" borderId="0"/>
    <xf numFmtId="9" fontId="58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8" fillId="0" borderId="0"/>
    <xf numFmtId="0" fontId="72" fillId="0" borderId="0"/>
    <xf numFmtId="0" fontId="57" fillId="0" borderId="0"/>
    <xf numFmtId="0" fontId="56" fillId="0" borderId="0"/>
    <xf numFmtId="43" fontId="58" fillId="0" borderId="0" applyFont="0" applyFill="0" applyBorder="0" applyAlignment="0" applyProtection="0"/>
    <xf numFmtId="0" fontId="58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44" fontId="58" fillId="0" borderId="0" applyFont="0" applyFill="0" applyBorder="0" applyAlignment="0" applyProtection="0"/>
    <xf numFmtId="0" fontId="49" fillId="0" borderId="0"/>
    <xf numFmtId="0" fontId="48" fillId="0" borderId="0"/>
    <xf numFmtId="0" fontId="47" fillId="0" borderId="0"/>
    <xf numFmtId="0" fontId="46" fillId="0" borderId="0"/>
    <xf numFmtId="43" fontId="45" fillId="0" borderId="0" applyFont="0" applyFill="0" applyBorder="0" applyAlignment="0" applyProtection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43" fontId="24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79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80" fillId="0" borderId="8" applyNumberFormat="0" applyFont="0" applyProtection="0">
      <alignment wrapText="1"/>
    </xf>
    <xf numFmtId="43" fontId="17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0" fillId="0" borderId="0" applyNumberFormat="0" applyProtection="0">
      <alignment vertical="top" wrapText="1"/>
    </xf>
    <xf numFmtId="0" fontId="80" fillId="0" borderId="9" applyNumberFormat="0" applyProtection="0">
      <alignment vertical="top" wrapText="1"/>
    </xf>
    <xf numFmtId="0" fontId="82" fillId="0" borderId="7" applyNumberFormat="0" applyProtection="0">
      <alignment wrapText="1"/>
    </xf>
    <xf numFmtId="0" fontId="82" fillId="0" borderId="10" applyNumberFormat="0" applyProtection="0">
      <alignment horizontal="left" wrapText="1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11" applyNumberFormat="0" applyProtection="0">
      <alignment wrapText="1"/>
    </xf>
    <xf numFmtId="0" fontId="80" fillId="0" borderId="12" applyNumberFormat="0" applyFont="0" applyFill="0" applyProtection="0">
      <alignment wrapText="1"/>
    </xf>
    <xf numFmtId="0" fontId="82" fillId="0" borderId="13" applyNumberFormat="0" applyFill="0" applyProtection="0">
      <alignment wrapText="1"/>
    </xf>
    <xf numFmtId="0" fontId="84" fillId="0" borderId="0" applyNumberFormat="0" applyProtection="0">
      <alignment horizontal="left"/>
    </xf>
    <xf numFmtId="0" fontId="85" fillId="0" borderId="0" applyNumberFormat="0" applyFill="0" applyBorder="0" applyAlignment="0" applyProtection="0"/>
    <xf numFmtId="0" fontId="86" fillId="0" borderId="7" applyNumberFormat="0" applyFill="0" applyAlignment="0" applyProtection="0"/>
    <xf numFmtId="0" fontId="87" fillId="0" borderId="14" applyNumberFormat="0" applyFill="0" applyAlignment="0" applyProtection="0"/>
    <xf numFmtId="0" fontId="88" fillId="0" borderId="15" applyNumberFormat="0" applyFill="0" applyAlignment="0" applyProtection="0"/>
    <xf numFmtId="0" fontId="88" fillId="0" borderId="0" applyNumberFormat="0" applyFill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0" applyNumberFormat="0" applyBorder="0" applyAlignment="0" applyProtection="0"/>
    <xf numFmtId="0" fontId="92" fillId="6" borderId="16" applyNumberFormat="0" applyAlignment="0" applyProtection="0"/>
    <xf numFmtId="0" fontId="93" fillId="7" borderId="17" applyNumberFormat="0" applyAlignment="0" applyProtection="0"/>
    <xf numFmtId="0" fontId="94" fillId="7" borderId="16" applyNumberFormat="0" applyAlignment="0" applyProtection="0"/>
    <xf numFmtId="0" fontId="95" fillId="0" borderId="18" applyNumberFormat="0" applyFill="0" applyAlignment="0" applyProtection="0"/>
    <xf numFmtId="0" fontId="96" fillId="8" borderId="19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1" applyNumberFormat="0" applyFill="0" applyAlignment="0" applyProtection="0"/>
    <xf numFmtId="0" fontId="100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00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00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00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00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00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8" fillId="55" borderId="32" applyNumberFormat="0" applyFont="0" applyAlignment="0" applyProtection="0"/>
    <xf numFmtId="0" fontId="58" fillId="55" borderId="40" applyNumberFormat="0" applyFont="0" applyAlignment="0" applyProtection="0"/>
    <xf numFmtId="0" fontId="110" fillId="52" borderId="39" applyNumberFormat="0" applyAlignment="0" applyProtection="0"/>
    <xf numFmtId="0" fontId="16" fillId="9" borderId="20" applyNumberFormat="0" applyFont="0" applyAlignment="0" applyProtection="0"/>
    <xf numFmtId="0" fontId="110" fillId="52" borderId="31" applyNumberFormat="0" applyAlignment="0" applyProtection="0"/>
    <xf numFmtId="0" fontId="101" fillId="0" borderId="0"/>
    <xf numFmtId="0" fontId="16" fillId="23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00" fillId="33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29" borderId="0" applyNumberFormat="0" applyBorder="0" applyAlignment="0" applyProtection="0"/>
    <xf numFmtId="43" fontId="16" fillId="0" borderId="0" applyFont="0" applyFill="0" applyBorder="0" applyAlignment="0" applyProtection="0"/>
    <xf numFmtId="0" fontId="100" fillId="25" borderId="0" applyNumberFormat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100" fillId="21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7" borderId="0" applyNumberFormat="0" applyBorder="0" applyAlignment="0" applyProtection="0"/>
    <xf numFmtId="43" fontId="103" fillId="0" borderId="0" applyFont="0" applyFill="0" applyBorder="0" applyAlignment="0" applyProtection="0"/>
    <xf numFmtId="0" fontId="100" fillId="13" borderId="0" applyNumberFormat="0" applyBorder="0" applyAlignment="0" applyProtection="0"/>
    <xf numFmtId="43" fontId="103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4" fillId="5" borderId="0" applyNumberFormat="0" applyBorder="0" applyAlignment="0" applyProtection="0"/>
    <xf numFmtId="0" fontId="101" fillId="0" borderId="0"/>
    <xf numFmtId="0" fontId="101" fillId="0" borderId="0"/>
    <xf numFmtId="0" fontId="58" fillId="0" borderId="0">
      <alignment vertical="center"/>
    </xf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06" fillId="0" borderId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6" fillId="0" borderId="0"/>
    <xf numFmtId="0" fontId="101" fillId="0" borderId="0"/>
    <xf numFmtId="0" fontId="10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0" fillId="21" borderId="0" applyNumberFormat="0" applyBorder="0" applyAlignment="0" applyProtection="0"/>
    <xf numFmtId="0" fontId="100" fillId="25" borderId="0" applyNumberFormat="0" applyBorder="0" applyAlignment="0" applyProtection="0"/>
    <xf numFmtId="0" fontId="100" fillId="33" borderId="0" applyNumberFormat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9" borderId="20" applyNumberFormat="0" applyFont="0" applyAlignment="0" applyProtection="0"/>
    <xf numFmtId="0" fontId="103" fillId="34" borderId="0" applyNumberFormat="0" applyBorder="0" applyAlignment="0" applyProtection="0"/>
    <xf numFmtId="0" fontId="103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103" fillId="38" borderId="0" applyNumberFormat="0" applyBorder="0" applyAlignment="0" applyProtection="0"/>
    <xf numFmtId="0" fontId="103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103" fillId="42" borderId="0" applyNumberFormat="0" applyBorder="0" applyAlignment="0" applyProtection="0"/>
    <xf numFmtId="0" fontId="103" fillId="37" borderId="0" applyNumberFormat="0" applyBorder="0" applyAlignment="0" applyProtection="0"/>
    <xf numFmtId="0" fontId="103" fillId="40" borderId="0" applyNumberFormat="0" applyBorder="0" applyAlignment="0" applyProtection="0"/>
    <xf numFmtId="0" fontId="103" fillId="43" borderId="0" applyNumberFormat="0" applyBorder="0" applyAlignment="0" applyProtection="0"/>
    <xf numFmtId="0" fontId="108" fillId="44" borderId="0" applyNumberFormat="0" applyBorder="0" applyAlignment="0" applyProtection="0"/>
    <xf numFmtId="0" fontId="108" fillId="41" borderId="0" applyNumberFormat="0" applyBorder="0" applyAlignment="0" applyProtection="0"/>
    <xf numFmtId="0" fontId="108" fillId="42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50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51" borderId="0" applyNumberFormat="0" applyBorder="0" applyAlignment="0" applyProtection="0"/>
    <xf numFmtId="0" fontId="109" fillId="35" borderId="0" applyNumberFormat="0" applyBorder="0" applyAlignment="0" applyProtection="0"/>
    <xf numFmtId="0" fontId="110" fillId="52" borderId="22" applyNumberFormat="0" applyAlignment="0" applyProtection="0"/>
    <xf numFmtId="0" fontId="111" fillId="53" borderId="23" applyNumberFormat="0" applyAlignment="0" applyProtection="0"/>
    <xf numFmtId="43" fontId="58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36" borderId="0" applyNumberFormat="0" applyBorder="0" applyAlignment="0" applyProtection="0"/>
    <xf numFmtId="0" fontId="114" fillId="0" borderId="24" applyNumberFormat="0" applyFill="0" applyAlignment="0" applyProtection="0"/>
    <xf numFmtId="0" fontId="115" fillId="0" borderId="25" applyNumberFormat="0" applyFill="0" applyAlignment="0" applyProtection="0"/>
    <xf numFmtId="0" fontId="116" fillId="0" borderId="26" applyNumberFormat="0" applyFill="0" applyAlignment="0" applyProtection="0"/>
    <xf numFmtId="0" fontId="116" fillId="0" borderId="0" applyNumberFormat="0" applyFill="0" applyBorder="0" applyAlignment="0" applyProtection="0"/>
    <xf numFmtId="0" fontId="117" fillId="39" borderId="22" applyNumberFormat="0" applyAlignment="0" applyProtection="0"/>
    <xf numFmtId="0" fontId="118" fillId="0" borderId="27" applyNumberFormat="0" applyFill="0" applyAlignment="0" applyProtection="0"/>
    <xf numFmtId="0" fontId="119" fillId="54" borderId="0" applyNumberFormat="0" applyBorder="0" applyAlignment="0" applyProtection="0"/>
    <xf numFmtId="0" fontId="58" fillId="0" borderId="0"/>
    <xf numFmtId="0" fontId="58" fillId="55" borderId="28" applyNumberFormat="0" applyFont="0" applyAlignment="0" applyProtection="0"/>
    <xf numFmtId="0" fontId="58" fillId="55" borderId="28" applyNumberFormat="0" applyFont="0" applyAlignment="0" applyProtection="0"/>
    <xf numFmtId="0" fontId="120" fillId="52" borderId="29" applyNumberFormat="0" applyAlignment="0" applyProtection="0"/>
    <xf numFmtId="9" fontId="5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30" applyNumberFormat="0" applyFill="0" applyAlignment="0" applyProtection="0"/>
    <xf numFmtId="0" fontId="123" fillId="0" borderId="0" applyNumberFormat="0" applyFill="0" applyBorder="0" applyAlignment="0" applyProtection="0"/>
    <xf numFmtId="0" fontId="16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01" fillId="0" borderId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05" fillId="0" borderId="0" applyNumberFormat="0" applyFill="0" applyBorder="0" applyAlignment="0" applyProtection="0"/>
    <xf numFmtId="9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9" borderId="20" applyNumberFormat="0" applyFont="0" applyAlignment="0" applyProtection="0"/>
    <xf numFmtId="0" fontId="16" fillId="9" borderId="20" applyNumberFormat="0" applyFont="0" applyAlignment="0" applyProtection="0"/>
    <xf numFmtId="0" fontId="16" fillId="0" borderId="0"/>
    <xf numFmtId="0" fontId="16" fillId="9" borderId="20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0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9" borderId="20" applyNumberFormat="0" applyFont="0" applyAlignment="0" applyProtection="0"/>
    <xf numFmtId="0" fontId="117" fillId="39" borderId="39" applyNumberFormat="0" applyAlignment="0" applyProtection="0"/>
    <xf numFmtId="0" fontId="58" fillId="55" borderId="36" applyNumberFormat="0" applyFont="0" applyAlignment="0" applyProtection="0"/>
    <xf numFmtId="0" fontId="120" fillId="52" borderId="37" applyNumberFormat="0" applyAlignment="0" applyProtection="0"/>
    <xf numFmtId="0" fontId="120" fillId="52" borderId="41" applyNumberFormat="0" applyAlignment="0" applyProtection="0"/>
    <xf numFmtId="0" fontId="122" fillId="0" borderId="42" applyNumberFormat="0" applyFill="0" applyAlignment="0" applyProtection="0"/>
    <xf numFmtId="0" fontId="122" fillId="0" borderId="34" applyNumberFormat="0" applyFill="0" applyAlignment="0" applyProtection="0"/>
    <xf numFmtId="0" fontId="58" fillId="55" borderId="40" applyNumberFormat="0" applyFont="0" applyAlignment="0" applyProtection="0"/>
    <xf numFmtId="0" fontId="110" fillId="52" borderId="35" applyNumberFormat="0" applyAlignment="0" applyProtection="0"/>
    <xf numFmtId="0" fontId="58" fillId="55" borderId="32" applyNumberFormat="0" applyFont="0" applyAlignment="0" applyProtection="0"/>
    <xf numFmtId="0" fontId="122" fillId="0" borderId="38" applyNumberFormat="0" applyFill="0" applyAlignment="0" applyProtection="0"/>
    <xf numFmtId="0" fontId="117" fillId="39" borderId="31" applyNumberFormat="0" applyAlignment="0" applyProtection="0"/>
    <xf numFmtId="0" fontId="58" fillId="55" borderId="36" applyNumberFormat="0" applyFont="0" applyAlignment="0" applyProtection="0"/>
    <xf numFmtId="0" fontId="120" fillId="52" borderId="33" applyNumberFormat="0" applyAlignment="0" applyProtection="0"/>
    <xf numFmtId="0" fontId="117" fillId="39" borderId="35" applyNumberFormat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9" borderId="20" applyNumberFormat="0" applyFont="0" applyAlignment="0" applyProtection="0"/>
    <xf numFmtId="0" fontId="6" fillId="9" borderId="20" applyNumberFormat="0" applyFont="0" applyAlignment="0" applyProtection="0"/>
    <xf numFmtId="0" fontId="6" fillId="0" borderId="0"/>
    <xf numFmtId="0" fontId="6" fillId="9" borderId="20" applyNumberFormat="0" applyFont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20" applyNumberFormat="0" applyFont="0" applyAlignment="0" applyProtection="0"/>
    <xf numFmtId="0" fontId="110" fillId="52" borderId="43" applyNumberFormat="0" applyAlignment="0" applyProtection="0"/>
    <xf numFmtId="0" fontId="117" fillId="39" borderId="43" applyNumberFormat="0" applyAlignment="0" applyProtection="0"/>
    <xf numFmtId="0" fontId="58" fillId="55" borderId="44" applyNumberFormat="0" applyFont="0" applyAlignment="0" applyProtection="0"/>
    <xf numFmtId="0" fontId="58" fillId="55" borderId="44" applyNumberFormat="0" applyFont="0" applyAlignment="0" applyProtection="0"/>
    <xf numFmtId="0" fontId="120" fillId="52" borderId="45" applyNumberFormat="0" applyAlignment="0" applyProtection="0"/>
    <xf numFmtId="0" fontId="122" fillId="0" borderId="46" applyNumberFormat="0" applyFill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0" fillId="52" borderId="51" applyNumberFormat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117" fillId="39" borderId="51" applyNumberForma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22" fillId="0" borderId="54" applyNumberFormat="0" applyFill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120" fillId="52" borderId="53" applyNumberFormat="0" applyAlignment="0" applyProtection="0"/>
    <xf numFmtId="0" fontId="58" fillId="55" borderId="52" applyNumberFormat="0" applyFont="0" applyAlignment="0" applyProtection="0"/>
    <xf numFmtId="0" fontId="110" fillId="52" borderId="47" applyNumberFormat="0" applyAlignment="0" applyProtection="0"/>
    <xf numFmtId="0" fontId="117" fillId="39" borderId="47" applyNumberFormat="0" applyAlignment="0" applyProtection="0"/>
    <xf numFmtId="0" fontId="58" fillId="55" borderId="48" applyNumberFormat="0" applyFont="0" applyAlignment="0" applyProtection="0"/>
    <xf numFmtId="0" fontId="58" fillId="55" borderId="48" applyNumberFormat="0" applyFont="0" applyAlignment="0" applyProtection="0"/>
    <xf numFmtId="0" fontId="120" fillId="52" borderId="49" applyNumberFormat="0" applyAlignment="0" applyProtection="0"/>
    <xf numFmtId="0" fontId="122" fillId="0" borderId="50" applyNumberFormat="0" applyFill="0" applyAlignment="0" applyProtection="0"/>
    <xf numFmtId="0" fontId="58" fillId="55" borderId="52" applyNumberFormat="0" applyFont="0" applyAlignment="0" applyProtection="0"/>
    <xf numFmtId="0" fontId="127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7" fontId="101" fillId="0" borderId="0"/>
    <xf numFmtId="0" fontId="128" fillId="0" borderId="0" applyNumberFormat="0" applyFill="0" applyBorder="0" applyAlignment="0" applyProtection="0">
      <alignment vertical="top"/>
      <protection locked="0"/>
    </xf>
    <xf numFmtId="37" fontId="129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9" borderId="20" applyNumberFormat="0" applyFont="0" applyAlignment="0" applyProtection="0"/>
    <xf numFmtId="0" fontId="58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2" fillId="0" borderId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59" fillId="0" borderId="0" xfId="8"/>
    <xf numFmtId="0" fontId="60" fillId="0" borderId="0" xfId="8" applyFont="1"/>
    <xf numFmtId="0" fontId="65" fillId="0" borderId="0" xfId="8" applyFont="1"/>
    <xf numFmtId="0" fontId="66" fillId="0" borderId="0" xfId="8" applyFont="1"/>
    <xf numFmtId="168" fontId="67" fillId="0" borderId="0" xfId="1" applyNumberFormat="1" applyFont="1" applyFill="1" applyBorder="1" applyAlignment="1">
      <alignment horizontal="center"/>
    </xf>
    <xf numFmtId="168" fontId="67" fillId="0" borderId="0" xfId="1" applyNumberFormat="1" applyFont="1" applyFill="1" applyBorder="1" applyAlignment="1">
      <alignment horizontal="right" indent="1"/>
    </xf>
    <xf numFmtId="0" fontId="73" fillId="0" borderId="0" xfId="7" applyFont="1" applyAlignment="1">
      <alignment horizontal="left"/>
    </xf>
    <xf numFmtId="0" fontId="74" fillId="0" borderId="0" xfId="5" applyFont="1" applyAlignment="1" applyProtection="1"/>
    <xf numFmtId="14" fontId="73" fillId="0" borderId="0" xfId="7" applyNumberFormat="1" applyFont="1" applyAlignment="1">
      <alignment horizontal="left"/>
    </xf>
    <xf numFmtId="0" fontId="74" fillId="0" borderId="0" xfId="4" applyFont="1" applyAlignment="1" applyProtection="1"/>
    <xf numFmtId="0" fontId="67" fillId="0" borderId="0" xfId="7" quotePrefix="1" applyFont="1" applyAlignment="1">
      <alignment horizontal="left"/>
    </xf>
    <xf numFmtId="0" fontId="67" fillId="0" borderId="0" xfId="8" applyFont="1" applyAlignment="1">
      <alignment wrapText="1"/>
    </xf>
    <xf numFmtId="168" fontId="67" fillId="0" borderId="0" xfId="1" applyNumberFormat="1" applyFont="1" applyFill="1" applyBorder="1" applyAlignment="1">
      <alignment horizontal="right"/>
    </xf>
    <xf numFmtId="0" fontId="67" fillId="0" borderId="1" xfId="0" applyFont="1" applyBorder="1"/>
    <xf numFmtId="0" fontId="67" fillId="0" borderId="0" xfId="0" applyFont="1"/>
    <xf numFmtId="0" fontId="67" fillId="0" borderId="2" xfId="0" applyFont="1" applyBorder="1" applyAlignment="1">
      <alignment horizontal="right"/>
    </xf>
    <xf numFmtId="0" fontId="67" fillId="0" borderId="0" xfId="0" applyFont="1" applyAlignment="1">
      <alignment horizontal="center"/>
    </xf>
    <xf numFmtId="0" fontId="0" fillId="0" borderId="2" xfId="0" applyBorder="1"/>
    <xf numFmtId="0" fontId="67" fillId="0" borderId="2" xfId="0" applyFont="1" applyBorder="1" applyAlignment="1">
      <alignment horizontal="left"/>
    </xf>
    <xf numFmtId="0" fontId="67" fillId="0" borderId="0" xfId="0" applyFont="1" applyAlignment="1">
      <alignment horizontal="right"/>
    </xf>
    <xf numFmtId="16" fontId="67" fillId="0" borderId="1" xfId="0" quotePrefix="1" applyNumberFormat="1" applyFont="1" applyBorder="1"/>
    <xf numFmtId="16" fontId="67" fillId="0" borderId="1" xfId="0" applyNumberFormat="1" applyFont="1" applyBorder="1"/>
    <xf numFmtId="0" fontId="67" fillId="0" borderId="1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0" fontId="67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8" fillId="0" borderId="0" xfId="0" quotePrefix="1" applyFont="1" applyAlignment="1">
      <alignment horizontal="right"/>
    </xf>
    <xf numFmtId="164" fontId="67" fillId="0" borderId="0" xfId="1" applyNumberFormat="1" applyFont="1" applyFill="1" applyBorder="1"/>
    <xf numFmtId="164" fontId="67" fillId="0" borderId="0" xfId="1" applyNumberFormat="1" applyFont="1" applyFill="1" applyBorder="1" applyAlignment="1">
      <alignment horizontal="right"/>
    </xf>
    <xf numFmtId="0" fontId="73" fillId="0" borderId="0" xfId="0" applyFont="1"/>
    <xf numFmtId="168" fontId="67" fillId="0" borderId="0" xfId="1" quotePrefix="1" applyNumberFormat="1" applyFont="1" applyFill="1" applyBorder="1" applyAlignment="1">
      <alignment horizontal="right"/>
    </xf>
    <xf numFmtId="164" fontId="67" fillId="0" borderId="0" xfId="1" applyNumberFormat="1" applyFont="1" applyFill="1" applyBorder="1" applyAlignment="1">
      <alignment horizontal="center"/>
    </xf>
    <xf numFmtId="164" fontId="67" fillId="0" borderId="0" xfId="1" quotePrefix="1" applyNumberFormat="1" applyFont="1" applyFill="1" applyBorder="1" applyAlignment="1">
      <alignment horizontal="center"/>
    </xf>
    <xf numFmtId="168" fontId="0" fillId="0" borderId="0" xfId="0" applyNumberFormat="1"/>
    <xf numFmtId="164" fontId="67" fillId="0" borderId="0" xfId="1" applyNumberFormat="1" applyFont="1" applyFill="1"/>
    <xf numFmtId="14" fontId="67" fillId="0" borderId="0" xfId="0" applyNumberFormat="1" applyFont="1" applyAlignment="1">
      <alignment horizontal="left"/>
    </xf>
    <xf numFmtId="3" fontId="67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center"/>
    </xf>
    <xf numFmtId="168" fontId="67" fillId="0" borderId="0" xfId="1" applyNumberFormat="1" applyFont="1" applyFill="1" applyBorder="1" applyAlignment="1">
      <alignment horizontal="right" indent="2"/>
    </xf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7" fillId="0" borderId="1" xfId="1" applyNumberFormat="1" applyFont="1" applyFill="1" applyBorder="1" applyAlignment="1">
      <alignment horizontal="right"/>
    </xf>
    <xf numFmtId="16" fontId="67" fillId="0" borderId="0" xfId="0" applyNumberFormat="1" applyFont="1"/>
    <xf numFmtId="0" fontId="68" fillId="0" borderId="0" xfId="0" applyFont="1" applyAlignment="1">
      <alignment horizontal="center"/>
    </xf>
    <xf numFmtId="2" fontId="67" fillId="0" borderId="0" xfId="0" applyNumberFormat="1" applyFont="1" applyAlignment="1">
      <alignment horizontal="right" indent="2"/>
    </xf>
    <xf numFmtId="43" fontId="67" fillId="0" borderId="0" xfId="1" applyFont="1" applyFill="1" applyBorder="1" applyAlignment="1">
      <alignment horizontal="center"/>
    </xf>
    <xf numFmtId="0" fontId="73" fillId="0" borderId="0" xfId="0" quotePrefix="1" applyFont="1"/>
    <xf numFmtId="0" fontId="67" fillId="0" borderId="0" xfId="0" applyFont="1" applyAlignment="1">
      <alignment horizontal="left"/>
    </xf>
    <xf numFmtId="0" fontId="67" fillId="0" borderId="0" xfId="0" applyFont="1" applyAlignment="1">
      <alignment horizontal="left" indent="1"/>
    </xf>
    <xf numFmtId="0" fontId="67" fillId="0" borderId="3" xfId="0" applyFont="1" applyBorder="1" applyAlignment="1">
      <alignment horizontal="center"/>
    </xf>
    <xf numFmtId="0" fontId="67" fillId="0" borderId="1" xfId="0" applyFont="1" applyBorder="1" applyAlignment="1">
      <alignment horizontal="left"/>
    </xf>
    <xf numFmtId="0" fontId="68" fillId="0" borderId="3" xfId="0" quotePrefix="1" applyFont="1" applyBorder="1"/>
    <xf numFmtId="0" fontId="68" fillId="0" borderId="3" xfId="0" applyFont="1" applyBorder="1"/>
    <xf numFmtId="2" fontId="67" fillId="0" borderId="0" xfId="0" applyNumberFormat="1" applyFont="1" applyAlignment="1">
      <alignment horizontal="center"/>
    </xf>
    <xf numFmtId="43" fontId="67" fillId="0" borderId="0" xfId="0" applyNumberFormat="1" applyFont="1"/>
    <xf numFmtId="0" fontId="62" fillId="0" borderId="0" xfId="0" applyFont="1"/>
    <xf numFmtId="2" fontId="0" fillId="0" borderId="0" xfId="0" applyNumberFormat="1"/>
    <xf numFmtId="165" fontId="67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71" fillId="0" borderId="0" xfId="0" applyFont="1" applyAlignment="1">
      <alignment vertical="center"/>
    </xf>
    <xf numFmtId="2" fontId="67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7" fillId="0" borderId="3" xfId="0" applyFont="1" applyBorder="1"/>
    <xf numFmtId="165" fontId="67" fillId="0" borderId="0" xfId="1" applyNumberFormat="1" applyFont="1" applyFill="1"/>
    <xf numFmtId="37" fontId="67" fillId="0" borderId="0" xfId="1" applyNumberFormat="1" applyFont="1" applyFill="1" applyBorder="1" applyAlignment="1">
      <alignment horizontal="center"/>
    </xf>
    <xf numFmtId="165" fontId="67" fillId="0" borderId="0" xfId="1" applyNumberFormat="1" applyFont="1" applyFill="1" applyBorder="1"/>
    <xf numFmtId="9" fontId="67" fillId="0" borderId="0" xfId="12" applyFont="1" applyFill="1"/>
    <xf numFmtId="0" fontId="68" fillId="0" borderId="4" xfId="0" applyFont="1" applyBorder="1" applyAlignment="1">
      <alignment horizontal="center"/>
    </xf>
    <xf numFmtId="14" fontId="67" fillId="0" borderId="0" xfId="0" applyNumberFormat="1" applyFont="1" applyAlignment="1">
      <alignment horizontal="right" indent="1"/>
    </xf>
    <xf numFmtId="0" fontId="67" fillId="0" borderId="0" xfId="0" applyFont="1" applyAlignment="1">
      <alignment vertical="center"/>
    </xf>
    <xf numFmtId="0" fontId="67" fillId="0" borderId="0" xfId="0" applyFont="1" applyAlignment="1">
      <alignment vertical="center" wrapText="1"/>
    </xf>
    <xf numFmtId="168" fontId="67" fillId="0" borderId="0" xfId="1" applyNumberFormat="1" applyFont="1" applyFill="1" applyAlignment="1">
      <alignment horizontal="center"/>
    </xf>
    <xf numFmtId="0" fontId="69" fillId="0" borderId="3" xfId="0" applyFont="1" applyBorder="1"/>
    <xf numFmtId="164" fontId="67" fillId="0" borderId="3" xfId="0" applyNumberFormat="1" applyFont="1" applyBorder="1"/>
    <xf numFmtId="169" fontId="0" fillId="0" borderId="0" xfId="1" applyNumberFormat="1" applyFont="1" applyFill="1" applyBorder="1"/>
    <xf numFmtId="0" fontId="58" fillId="0" borderId="0" xfId="8" applyFont="1"/>
    <xf numFmtId="0" fontId="58" fillId="0" borderId="0" xfId="0" applyFont="1"/>
    <xf numFmtId="4" fontId="76" fillId="0" borderId="0" xfId="0" applyNumberFormat="1" applyFont="1"/>
    <xf numFmtId="170" fontId="62" fillId="0" borderId="0" xfId="12" applyNumberFormat="1" applyFont="1" applyFill="1"/>
    <xf numFmtId="4" fontId="0" fillId="0" borderId="0" xfId="0" applyNumberFormat="1"/>
    <xf numFmtId="171" fontId="76" fillId="0" borderId="0" xfId="0" applyNumberFormat="1" applyFont="1"/>
    <xf numFmtId="2" fontId="75" fillId="0" borderId="0" xfId="0" applyNumberFormat="1" applyFont="1" applyAlignment="1">
      <alignment horizontal="center"/>
    </xf>
    <xf numFmtId="37" fontId="67" fillId="0" borderId="0" xfId="0" applyNumberFormat="1" applyFont="1" applyAlignment="1">
      <alignment vertical="center" wrapText="1"/>
    </xf>
    <xf numFmtId="170" fontId="0" fillId="0" borderId="0" xfId="12" applyNumberFormat="1" applyFont="1"/>
    <xf numFmtId="2" fontId="75" fillId="0" borderId="0" xfId="0" applyNumberFormat="1" applyFont="1" applyAlignment="1">
      <alignment horizontal="right" indent="2"/>
    </xf>
    <xf numFmtId="9" fontId="0" fillId="0" borderId="0" xfId="12" applyFont="1"/>
    <xf numFmtId="3" fontId="75" fillId="0" borderId="0" xfId="1" applyNumberFormat="1" applyFont="1" applyFill="1" applyBorder="1" applyAlignment="1">
      <alignment horizontal="right"/>
    </xf>
    <xf numFmtId="3" fontId="58" fillId="0" borderId="0" xfId="0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68" fontId="67" fillId="0" borderId="0" xfId="1" applyNumberFormat="1" applyFont="1" applyAlignment="1">
      <alignment horizontal="right" indent="1"/>
    </xf>
    <xf numFmtId="166" fontId="67" fillId="0" borderId="0" xfId="0" applyNumberFormat="1" applyFont="1"/>
    <xf numFmtId="168" fontId="75" fillId="0" borderId="0" xfId="1" applyNumberFormat="1" applyFont="1" applyFill="1" applyBorder="1" applyAlignment="1">
      <alignment horizontal="right" indent="1"/>
    </xf>
    <xf numFmtId="0" fontId="77" fillId="0" borderId="0" xfId="0" applyFont="1"/>
    <xf numFmtId="168" fontId="67" fillId="0" borderId="0" xfId="1" applyNumberFormat="1" applyFont="1" applyFill="1" applyAlignment="1">
      <alignment horizontal="right" indent="1"/>
    </xf>
    <xf numFmtId="164" fontId="75" fillId="0" borderId="0" xfId="1" applyNumberFormat="1" applyFont="1"/>
    <xf numFmtId="168" fontId="67" fillId="2" borderId="0" xfId="1" applyNumberFormat="1" applyFont="1" applyFill="1" applyBorder="1" applyAlignment="1">
      <alignment horizontal="right" indent="2"/>
    </xf>
    <xf numFmtId="168" fontId="67" fillId="2" borderId="0" xfId="1" applyNumberFormat="1" applyFont="1" applyFill="1" applyBorder="1" applyAlignment="1">
      <alignment horizontal="right" indent="1"/>
    </xf>
    <xf numFmtId="168" fontId="78" fillId="0" borderId="0" xfId="1" applyNumberFormat="1" applyFont="1" applyFill="1" applyBorder="1" applyAlignment="1">
      <alignment horizontal="right"/>
    </xf>
    <xf numFmtId="168" fontId="75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7" fillId="0" borderId="3" xfId="0" applyNumberFormat="1" applyFont="1" applyBorder="1"/>
    <xf numFmtId="0" fontId="0" fillId="0" borderId="3" xfId="0" applyBorder="1"/>
    <xf numFmtId="167" fontId="67" fillId="0" borderId="3" xfId="0" applyNumberFormat="1" applyFont="1" applyBorder="1"/>
    <xf numFmtId="0" fontId="68" fillId="0" borderId="3" xfId="0" quotePrefix="1" applyFont="1" applyBorder="1" applyAlignment="1">
      <alignment horizontal="center"/>
    </xf>
    <xf numFmtId="175" fontId="0" fillId="0" borderId="0" xfId="0" applyNumberFormat="1"/>
    <xf numFmtId="176" fontId="0" fillId="0" borderId="0" xfId="0" applyNumberFormat="1"/>
    <xf numFmtId="3" fontId="67" fillId="0" borderId="0" xfId="1" applyNumberFormat="1" applyFont="1" applyFill="1" applyBorder="1" applyAlignment="1">
      <alignment horizontal="right" indent="1"/>
    </xf>
    <xf numFmtId="3" fontId="76" fillId="0" borderId="0" xfId="0" applyNumberFormat="1" applyFont="1"/>
    <xf numFmtId="171" fontId="0" fillId="0" borderId="0" xfId="0" applyNumberFormat="1"/>
    <xf numFmtId="37" fontId="67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7" fillId="2" borderId="0" xfId="0" applyNumberFormat="1" applyFont="1" applyFill="1" applyAlignment="1">
      <alignment horizontal="right" indent="2"/>
    </xf>
    <xf numFmtId="0" fontId="67" fillId="2" borderId="0" xfId="0" applyFont="1" applyFill="1"/>
    <xf numFmtId="164" fontId="75" fillId="0" borderId="0" xfId="1" applyNumberFormat="1" applyFont="1" applyFill="1"/>
    <xf numFmtId="166" fontId="124" fillId="0" borderId="0" xfId="0" applyNumberFormat="1" applyFont="1"/>
    <xf numFmtId="2" fontId="77" fillId="0" borderId="0" xfId="0" applyNumberFormat="1" applyFont="1"/>
    <xf numFmtId="3" fontId="0" fillId="0" borderId="0" xfId="0" applyNumberFormat="1"/>
    <xf numFmtId="0" fontId="0" fillId="2" borderId="0" xfId="0" applyFill="1"/>
    <xf numFmtId="0" fontId="58" fillId="2" borderId="0" xfId="0" applyFont="1" applyFill="1"/>
    <xf numFmtId="164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Border="1" applyAlignment="1">
      <alignment horizontal="right"/>
    </xf>
    <xf numFmtId="168" fontId="67" fillId="2" borderId="0" xfId="1" quotePrefix="1" applyNumberFormat="1" applyFont="1" applyFill="1" applyBorder="1" applyAlignment="1">
      <alignment horizontal="right"/>
    </xf>
    <xf numFmtId="172" fontId="0" fillId="2" borderId="0" xfId="0" applyNumberFormat="1" applyFill="1"/>
    <xf numFmtId="164" fontId="75" fillId="0" borderId="0" xfId="1" applyNumberFormat="1" applyFont="1" applyFill="1" applyAlignment="1">
      <alignment horizontal="right"/>
    </xf>
    <xf numFmtId="2" fontId="125" fillId="0" borderId="0" xfId="12" applyNumberFormat="1" applyFont="1" applyFill="1" applyBorder="1" applyAlignment="1">
      <alignment horizontal="center"/>
    </xf>
    <xf numFmtId="0" fontId="125" fillId="0" borderId="0" xfId="0" applyFont="1"/>
    <xf numFmtId="10" fontId="0" fillId="0" borderId="0" xfId="12" applyNumberFormat="1" applyFont="1"/>
    <xf numFmtId="177" fontId="126" fillId="0" borderId="0" xfId="0" applyNumberFormat="1" applyFont="1"/>
    <xf numFmtId="177" fontId="126" fillId="0" borderId="0" xfId="0" applyNumberFormat="1" applyFont="1" applyAlignment="1">
      <alignment horizontal="right" indent="1"/>
    </xf>
    <xf numFmtId="177" fontId="0" fillId="0" borderId="0" xfId="0" applyNumberFormat="1"/>
    <xf numFmtId="165" fontId="0" fillId="0" borderId="0" xfId="1" applyNumberFormat="1" applyFont="1" applyFill="1" applyAlignment="1">
      <alignment horizontal="left" indent="1"/>
    </xf>
    <xf numFmtId="178" fontId="0" fillId="0" borderId="0" xfId="0" applyNumberFormat="1"/>
    <xf numFmtId="168" fontId="67" fillId="2" borderId="0" xfId="1" applyNumberFormat="1" applyFont="1" applyFill="1" applyAlignment="1">
      <alignment horizontal="right" indent="1"/>
    </xf>
    <xf numFmtId="165" fontId="67" fillId="2" borderId="0" xfId="1" applyNumberFormat="1" applyFont="1" applyFill="1" applyBorder="1" applyAlignment="1">
      <alignment horizontal="center"/>
    </xf>
    <xf numFmtId="168" fontId="75" fillId="2" borderId="0" xfId="1" applyNumberFormat="1" applyFont="1" applyFill="1" applyBorder="1" applyAlignment="1">
      <alignment horizontal="right"/>
    </xf>
    <xf numFmtId="168" fontId="0" fillId="2" borderId="0" xfId="0" applyNumberFormat="1" applyFill="1"/>
    <xf numFmtId="170" fontId="0" fillId="2" borderId="0" xfId="12" applyNumberFormat="1" applyFont="1" applyFill="1"/>
    <xf numFmtId="175" fontId="0" fillId="2" borderId="0" xfId="0" applyNumberFormat="1" applyFill="1"/>
    <xf numFmtId="4" fontId="76" fillId="2" borderId="0" xfId="0" applyNumberFormat="1" applyFont="1" applyFill="1"/>
    <xf numFmtId="164" fontId="75" fillId="2" borderId="0" xfId="1" applyNumberFormat="1" applyFont="1" applyFill="1" applyAlignment="1">
      <alignment horizontal="right"/>
    </xf>
    <xf numFmtId="168" fontId="67" fillId="2" borderId="0" xfId="1" applyNumberFormat="1" applyFont="1" applyFill="1" applyBorder="1" applyAlignment="1">
      <alignment horizontal="center"/>
    </xf>
    <xf numFmtId="168" fontId="67" fillId="2" borderId="0" xfId="1" applyNumberFormat="1" applyFont="1" applyFill="1" applyAlignment="1">
      <alignment horizontal="center"/>
    </xf>
    <xf numFmtId="2" fontId="0" fillId="2" borderId="0" xfId="0" applyNumberFormat="1" applyFill="1"/>
    <xf numFmtId="165" fontId="124" fillId="0" borderId="0" xfId="660" applyNumberFormat="1" applyFont="1"/>
    <xf numFmtId="165" fontId="67" fillId="0" borderId="3" xfId="1" applyNumberFormat="1" applyFont="1" applyFill="1" applyBorder="1"/>
    <xf numFmtId="170" fontId="0" fillId="0" borderId="0" xfId="12" applyNumberFormat="1" applyFont="1" applyFill="1"/>
    <xf numFmtId="37" fontId="67" fillId="0" borderId="0" xfId="1" applyNumberFormat="1" applyFont="1" applyFill="1" applyBorder="1" applyAlignment="1">
      <alignment horizontal="right" indent="2"/>
    </xf>
    <xf numFmtId="37" fontId="67" fillId="0" borderId="0" xfId="1" applyNumberFormat="1" applyFont="1" applyFill="1" applyBorder="1" applyAlignment="1">
      <alignment horizontal="right" indent="1"/>
    </xf>
    <xf numFmtId="1" fontId="67" fillId="0" borderId="0" xfId="0" applyNumberFormat="1" applyFont="1" applyAlignment="1">
      <alignment horizontal="center"/>
    </xf>
    <xf numFmtId="170" fontId="67" fillId="0" borderId="0" xfId="12" applyNumberFormat="1" applyFont="1"/>
    <xf numFmtId="37" fontId="67" fillId="0" borderId="1" xfId="1" applyNumberFormat="1" applyFont="1" applyFill="1" applyBorder="1" applyAlignment="1">
      <alignment horizontal="center"/>
    </xf>
    <xf numFmtId="37" fontId="67" fillId="0" borderId="1" xfId="1" applyNumberFormat="1" applyFont="1" applyFill="1" applyBorder="1" applyAlignment="1">
      <alignment horizontal="right" indent="2"/>
    </xf>
    <xf numFmtId="165" fontId="67" fillId="0" borderId="1" xfId="1" applyNumberFormat="1" applyFont="1" applyFill="1" applyBorder="1"/>
    <xf numFmtId="37" fontId="67" fillId="0" borderId="1" xfId="1" applyNumberFormat="1" applyFont="1" applyFill="1" applyBorder="1" applyAlignment="1">
      <alignment horizontal="right" indent="1"/>
    </xf>
    <xf numFmtId="3" fontId="131" fillId="0" borderId="0" xfId="0" applyNumberFormat="1" applyFont="1"/>
    <xf numFmtId="3" fontId="132" fillId="0" borderId="0" xfId="0" applyNumberFormat="1" applyFont="1"/>
    <xf numFmtId="0" fontId="73" fillId="0" borderId="1" xfId="20" applyFont="1" applyBorder="1" applyAlignment="1">
      <alignment wrapText="1"/>
    </xf>
    <xf numFmtId="0" fontId="73" fillId="0" borderId="1" xfId="20" applyFont="1" applyBorder="1"/>
    <xf numFmtId="0" fontId="73" fillId="0" borderId="0" xfId="20" applyFont="1"/>
    <xf numFmtId="0" fontId="67" fillId="0" borderId="0" xfId="20" applyFont="1"/>
    <xf numFmtId="0" fontId="67" fillId="0" borderId="0" xfId="20" applyFont="1" applyAlignment="1">
      <alignment vertical="center"/>
    </xf>
    <xf numFmtId="3" fontId="67" fillId="0" borderId="0" xfId="20" applyNumberFormat="1" applyFont="1"/>
    <xf numFmtId="3" fontId="75" fillId="0" borderId="0" xfId="20" applyNumberFormat="1" applyFont="1"/>
    <xf numFmtId="41" fontId="75" fillId="0" borderId="0" xfId="20" applyNumberFormat="1" applyFont="1"/>
    <xf numFmtId="17" fontId="67" fillId="0" borderId="0" xfId="20" applyNumberFormat="1" applyFont="1" applyAlignment="1">
      <alignment horizontal="left"/>
    </xf>
    <xf numFmtId="168" fontId="67" fillId="0" borderId="0" xfId="20" applyNumberFormat="1" applyFont="1"/>
    <xf numFmtId="168" fontId="75" fillId="0" borderId="0" xfId="20" applyNumberFormat="1" applyFont="1"/>
    <xf numFmtId="0" fontId="65" fillId="0" borderId="1" xfId="0" applyFont="1" applyBorder="1"/>
    <xf numFmtId="0" fontId="65" fillId="0" borderId="1" xfId="0" applyFont="1" applyBorder="1" applyAlignment="1">
      <alignment horizontal="center"/>
    </xf>
    <xf numFmtId="3" fontId="133" fillId="0" borderId="0" xfId="0" applyNumberFormat="1" applyFont="1"/>
    <xf numFmtId="171" fontId="73" fillId="2" borderId="0" xfId="1" applyNumberFormat="1" applyFont="1" applyFill="1" applyBorder="1" applyAlignment="1">
      <alignment horizontal="right" indent="1"/>
    </xf>
    <xf numFmtId="168" fontId="75" fillId="2" borderId="0" xfId="1" applyNumberFormat="1" applyFont="1" applyFill="1" applyAlignment="1">
      <alignment horizontal="right" indent="1"/>
    </xf>
    <xf numFmtId="0" fontId="73" fillId="0" borderId="1" xfId="20" applyFont="1" applyBorder="1" applyAlignment="1">
      <alignment horizontal="center"/>
    </xf>
    <xf numFmtId="168" fontId="67" fillId="2" borderId="0" xfId="20" applyNumberFormat="1" applyFont="1" applyFill="1"/>
    <xf numFmtId="166" fontId="67" fillId="2" borderId="0" xfId="0" applyNumberFormat="1" applyFont="1" applyFill="1" applyAlignment="1">
      <alignment horizontal="center"/>
    </xf>
    <xf numFmtId="165" fontId="67" fillId="2" borderId="0" xfId="1" applyNumberFormat="1" applyFont="1" applyFill="1" applyAlignment="1">
      <alignment horizontal="left"/>
    </xf>
    <xf numFmtId="165" fontId="67" fillId="2" borderId="0" xfId="1" applyNumberFormat="1" applyFont="1" applyFill="1" applyAlignment="1">
      <alignment horizontal="center"/>
    </xf>
    <xf numFmtId="3" fontId="67" fillId="2" borderId="0" xfId="1" applyNumberFormat="1" applyFont="1" applyFill="1" applyBorder="1" applyAlignment="1">
      <alignment horizontal="right" indent="1"/>
    </xf>
    <xf numFmtId="168" fontId="67" fillId="0" borderId="0" xfId="1" applyNumberFormat="1" applyFont="1" applyAlignment="1">
      <alignment horizontal="right"/>
    </xf>
    <xf numFmtId="168" fontId="67" fillId="0" borderId="0" xfId="1" applyNumberFormat="1" applyFont="1" applyFill="1" applyAlignment="1">
      <alignment horizontal="right"/>
    </xf>
    <xf numFmtId="3" fontId="67" fillId="0" borderId="0" xfId="1" applyNumberFormat="1" applyFont="1" applyFill="1" applyAlignment="1">
      <alignment horizontal="right" indent="2"/>
    </xf>
    <xf numFmtId="3" fontId="75" fillId="0" borderId="0" xfId="1" applyNumberFormat="1" applyFont="1" applyFill="1" applyAlignment="1">
      <alignment horizontal="right" indent="1"/>
    </xf>
    <xf numFmtId="3" fontId="67" fillId="0" borderId="0" xfId="1" applyNumberFormat="1" applyFont="1" applyFill="1" applyAlignment="1">
      <alignment horizontal="right"/>
    </xf>
    <xf numFmtId="37" fontId="67" fillId="0" borderId="1" xfId="1" applyNumberFormat="1" applyFont="1" applyBorder="1" applyAlignment="1">
      <alignment horizontal="center"/>
    </xf>
    <xf numFmtId="165" fontId="0" fillId="0" borderId="0" xfId="1" applyNumberFormat="1" applyFont="1"/>
    <xf numFmtId="164" fontId="67" fillId="0" borderId="0" xfId="1" applyNumberFormat="1" applyFont="1"/>
    <xf numFmtId="165" fontId="58" fillId="0" borderId="0" xfId="1" applyNumberFormat="1" applyFont="1"/>
    <xf numFmtId="165" fontId="135" fillId="0" borderId="0" xfId="1" applyNumberFormat="1" applyFont="1"/>
    <xf numFmtId="2" fontId="134" fillId="0" borderId="0" xfId="0" applyNumberFormat="1" applyFont="1"/>
    <xf numFmtId="166" fontId="67" fillId="0" borderId="0" xfId="0" applyNumberFormat="1" applyFont="1" applyAlignment="1">
      <alignment horizontal="center"/>
    </xf>
    <xf numFmtId="165" fontId="67" fillId="0" borderId="0" xfId="1" applyNumberFormat="1" applyFont="1" applyFill="1" applyAlignment="1">
      <alignment horizontal="left"/>
    </xf>
    <xf numFmtId="165" fontId="67" fillId="0" borderId="0" xfId="1" applyNumberFormat="1" applyFont="1" applyFill="1" applyAlignment="1">
      <alignment horizontal="center"/>
    </xf>
    <xf numFmtId="165" fontId="75" fillId="0" borderId="0" xfId="1" applyNumberFormat="1" applyFont="1" applyFill="1" applyAlignment="1">
      <alignment horizontal="center"/>
    </xf>
    <xf numFmtId="165" fontId="0" fillId="0" borderId="0" xfId="0" applyNumberFormat="1"/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136" fillId="0" borderId="0" xfId="0" applyFont="1"/>
    <xf numFmtId="0" fontId="136" fillId="0" borderId="3" xfId="0" applyFont="1" applyBorder="1"/>
    <xf numFmtId="0" fontId="137" fillId="0" borderId="3" xfId="0" applyFont="1" applyBorder="1"/>
    <xf numFmtId="1" fontId="67" fillId="0" borderId="1" xfId="0" applyNumberFormat="1" applyFont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0" borderId="2" xfId="0" quotePrefix="1" applyFont="1" applyBorder="1" applyAlignment="1">
      <alignment horizontal="center"/>
    </xf>
    <xf numFmtId="0" fontId="68" fillId="0" borderId="5" xfId="0" quotePrefix="1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5" xfId="0" applyFont="1" applyBorder="1" applyAlignment="1">
      <alignment horizontal="center"/>
    </xf>
  </cellXfs>
  <cellStyles count="716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2 3" xfId="637" xr:uid="{C21D02DE-40EB-4517-9E7C-13F5A0A26101}"/>
    <cellStyle name="20% - Accent1 2 2 3" xfId="427" xr:uid="{98B64A09-388E-498E-8547-ED6E911E9008}"/>
    <cellStyle name="20% - Accent1 2 2 4" xfId="571" xr:uid="{9B764D4E-5675-4900-B304-A9744638F13F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2 3" xfId="671" xr:uid="{63225E10-D98E-4756-8C97-6B3106E00E48}"/>
    <cellStyle name="20% - Accent1 2 3 3" xfId="461" xr:uid="{36FDAAF6-488B-4CFF-9EF7-D4D588B79B49}"/>
    <cellStyle name="20% - Accent1 2 3 4" xfId="606" xr:uid="{9EF3CD34-28C8-46AC-AB00-48B4A3053479}"/>
    <cellStyle name="20% - Accent1 2 4" xfId="311" xr:uid="{83F36799-25DE-43C1-8B40-C38E43B06862}"/>
    <cellStyle name="20% - Accent1 2 4 2" xfId="482" xr:uid="{F7F20C40-F23D-4222-96D9-093D64E9179D}"/>
    <cellStyle name="20% - Accent1 2 4 3" xfId="629" xr:uid="{D08B27A1-AE7C-449B-9530-7BD7C6FC55B7}"/>
    <cellStyle name="20% - Accent1 2 5" xfId="420" xr:uid="{086CCB9A-F10F-4BD0-AECC-CECF83F47246}"/>
    <cellStyle name="20% - Accent1 2 6" xfId="564" xr:uid="{128C6417-FD98-41E5-847B-4D849B6B23E7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2 3" xfId="638" xr:uid="{9991DE64-FCF4-431F-AA0B-41942B7E7567}"/>
    <cellStyle name="20% - Accent1 3 3" xfId="428" xr:uid="{36BE12E4-AA0F-4205-82D6-9FB17C14369E}"/>
    <cellStyle name="20% - Accent1 3 4" xfId="572" xr:uid="{1C8A825D-4493-4C8B-8333-84E166673487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5 3" xfId="616" xr:uid="{3C4EB2EC-83C5-46FB-BAD9-7231CFD52394}"/>
    <cellStyle name="20% - Accent1 6" xfId="401" xr:uid="{9AE55E89-F9DF-4833-9F62-326D28BA61AC}"/>
    <cellStyle name="20% - Accent1 7" xfId="545" xr:uid="{AE10814B-B454-48B6-8240-11FC70B65162}"/>
    <cellStyle name="20% - Accent1 8" xfId="691" xr:uid="{E5349E11-D578-4C28-A1D9-9A2FB2BDABDA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2 3" xfId="639" xr:uid="{1E12E7E8-CCDB-4D9E-9225-C7950BCADD5F}"/>
    <cellStyle name="20% - Accent2 2 2 3" xfId="429" xr:uid="{566529F4-1A18-4101-B0F0-37DDEB028598}"/>
    <cellStyle name="20% - Accent2 2 2 4" xfId="573" xr:uid="{2EEF3FB9-9A29-40BA-8F22-60BB80D54E67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2 3" xfId="672" xr:uid="{2AAD6B5F-5B97-4E65-B9BB-3B96BE19B1CA}"/>
    <cellStyle name="20% - Accent2 2 3 3" xfId="462" xr:uid="{9C712771-9205-463F-8A2A-699C5A2B56F6}"/>
    <cellStyle name="20% - Accent2 2 3 4" xfId="607" xr:uid="{940C9792-98F1-4AAB-84B4-F4996D8EE71A}"/>
    <cellStyle name="20% - Accent2 2 4" xfId="312" xr:uid="{A2CC103D-9803-49B7-AFE1-C11F6B1DCEA6}"/>
    <cellStyle name="20% - Accent2 2 4 2" xfId="483" xr:uid="{AF9F4BBE-D758-41BA-9BB3-BD9F7D4CB478}"/>
    <cellStyle name="20% - Accent2 2 4 3" xfId="630" xr:uid="{33CA1F40-D11A-41D6-A22E-A028486D4544}"/>
    <cellStyle name="20% - Accent2 2 5" xfId="422" xr:uid="{848DBB74-DB0A-4D71-9107-A5404B5A64B1}"/>
    <cellStyle name="20% - Accent2 2 6" xfId="566" xr:uid="{0D389ABA-A6AC-4DC0-BB52-168F224B7EAD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2 3" xfId="640" xr:uid="{74C3115D-F217-4A13-8868-AE9EDBA3EA2A}"/>
    <cellStyle name="20% - Accent2 3 3" xfId="430" xr:uid="{0D7049A8-EE28-4F58-84DB-63A1443CAB48}"/>
    <cellStyle name="20% - Accent2 3 4" xfId="574" xr:uid="{1DEFF925-00D0-42D6-A16B-FEC8EA0746AC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5 3" xfId="618" xr:uid="{7F2755DF-63BD-4449-AAC2-623432F23A0E}"/>
    <cellStyle name="20% - Accent2 6" xfId="404" xr:uid="{3D0D8644-B29F-4FCE-929C-B25E3956A311}"/>
    <cellStyle name="20% - Accent2 7" xfId="548" xr:uid="{A353CB3D-FCF2-4E0A-AFB0-84E4F9F95F86}"/>
    <cellStyle name="20% - Accent2 8" xfId="693" xr:uid="{85872B68-12BB-4618-974E-48D51EE6A214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2 3" xfId="641" xr:uid="{33D3EDF6-8660-4720-81D5-E8A7D9847EA1}"/>
    <cellStyle name="20% - Accent3 2 2 3" xfId="431" xr:uid="{255DC329-D995-4A83-8073-1CF63816F071}"/>
    <cellStyle name="20% - Accent3 2 2 4" xfId="575" xr:uid="{7B575D5A-2EBD-40CE-ADE8-7D7C11C90BAE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2 3" xfId="673" xr:uid="{D4898AF4-ED34-41B0-AE0A-660E5690DB67}"/>
    <cellStyle name="20% - Accent3 2 3 3" xfId="463" xr:uid="{7F2ACC1A-47E5-4F38-BD04-F43018463B0E}"/>
    <cellStyle name="20% - Accent3 2 3 4" xfId="608" xr:uid="{0047ACF1-4E69-4225-BBBB-F96E013096A1}"/>
    <cellStyle name="20% - Accent3 2 4" xfId="313" xr:uid="{A392E008-3993-4913-9A74-2289F3F558F7}"/>
    <cellStyle name="20% - Accent3 2 4 2" xfId="484" xr:uid="{0F207972-337D-49E2-B0F0-7D42B6694A27}"/>
    <cellStyle name="20% - Accent3 2 4 3" xfId="631" xr:uid="{2A000E8A-F39A-44BF-9496-A698FADA5FBB}"/>
    <cellStyle name="20% - Accent3 2 5" xfId="421" xr:uid="{5D3063C4-DBB5-4EC4-882C-73CF8DBE8321}"/>
    <cellStyle name="20% - Accent3 2 6" xfId="565" xr:uid="{819D10ED-85A0-4A64-B2C7-E660D39C0DA7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2 3" xfId="642" xr:uid="{195A7582-E8AA-4A23-8CA2-1DDFE4BE68A9}"/>
    <cellStyle name="20% - Accent3 3 3" xfId="432" xr:uid="{841DAC20-742F-4203-A047-B4AF5C721A19}"/>
    <cellStyle name="20% - Accent3 3 4" xfId="576" xr:uid="{3CF09ECE-7E26-471E-BF59-C881C61DD6AC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5 3" xfId="620" xr:uid="{1A52373C-AD75-4723-9D28-11C430881987}"/>
    <cellStyle name="20% - Accent3 6" xfId="407" xr:uid="{20C864A9-6ED5-41D6-AFE6-DD1317EFD3AD}"/>
    <cellStyle name="20% - Accent3 7" xfId="551" xr:uid="{29086AB7-7D33-4793-8985-EFEDCAE37C28}"/>
    <cellStyle name="20% - Accent3 8" xfId="695" xr:uid="{B7C8059F-6240-4731-B6E0-6BD50A556A47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2 3" xfId="643" xr:uid="{70B4FFA6-96F2-4AAB-9342-EA1F2BFF6592}"/>
    <cellStyle name="20% - Accent4 2 2 3" xfId="433" xr:uid="{663B3809-24D4-4727-B390-B3B671049AAA}"/>
    <cellStyle name="20% - Accent4 2 2 4" xfId="577" xr:uid="{7737A021-F7C9-4529-8202-E02BE14DEA80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2 3" xfId="674" xr:uid="{0B3BCF21-BA0E-461E-8C39-A9F3BA3C6F2A}"/>
    <cellStyle name="20% - Accent4 2 3 3" xfId="464" xr:uid="{82DCE161-AF0A-4B71-AF06-7F6149BB8AFE}"/>
    <cellStyle name="20% - Accent4 2 3 4" xfId="609" xr:uid="{CD74BF03-A810-4C43-A98B-402B52872029}"/>
    <cellStyle name="20% - Accent4 2 4" xfId="314" xr:uid="{413645D3-3617-43F7-8ECE-552A73C745C5}"/>
    <cellStyle name="20% - Accent4 2 4 2" xfId="485" xr:uid="{19EC5665-1856-492B-938C-93B4E17C042C}"/>
    <cellStyle name="20% - Accent4 2 4 3" xfId="632" xr:uid="{6E2CC84E-6F38-44DC-98DF-22635DD57A96}"/>
    <cellStyle name="20% - Accent4 2 5" xfId="419" xr:uid="{298E3CDE-5ABB-46E6-867C-321CF30960B7}"/>
    <cellStyle name="20% - Accent4 2 6" xfId="563" xr:uid="{7C74BE52-84FC-49F2-83DB-6547C16FE371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2 3" xfId="644" xr:uid="{2F314B26-06D4-4762-9777-B83613483B2F}"/>
    <cellStyle name="20% - Accent4 3 3" xfId="434" xr:uid="{DD8EE5B2-022E-4B7C-B135-2C09592351A9}"/>
    <cellStyle name="20% - Accent4 3 4" xfId="578" xr:uid="{A5D1D0C7-A8BB-47A2-96EA-62D39E07598D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5 3" xfId="622" xr:uid="{2E60CF7D-87C5-42C2-A05A-49A2478DD4CB}"/>
    <cellStyle name="20% - Accent4 6" xfId="410" xr:uid="{10EED916-9101-4C03-8B9C-7DD699553004}"/>
    <cellStyle name="20% - Accent4 7" xfId="554" xr:uid="{53712C2A-7B4A-458A-AB33-C01561CE9C45}"/>
    <cellStyle name="20% - Accent4 8" xfId="697" xr:uid="{458FA1B7-B590-4365-B4A6-BA7BAD24AD0B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2 3" xfId="645" xr:uid="{F81318B0-7E09-42C8-B9B9-61DEF0A1E6E8}"/>
    <cellStyle name="20% - Accent5 2 3" xfId="435" xr:uid="{26D81158-61C6-4E17-ABE6-C7E7EE14685D}"/>
    <cellStyle name="20% - Accent5 2 4" xfId="579" xr:uid="{F720CD9A-4853-4044-91FC-554EA025D6E5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2 3" xfId="665" xr:uid="{847CB475-E5C7-48E3-BB80-6F5CF898775F}"/>
    <cellStyle name="20% - Accent5 3 3" xfId="455" xr:uid="{D51CB28A-3E2F-4687-AA42-F3F9E73DDA60}"/>
    <cellStyle name="20% - Accent5 3 4" xfId="600" xr:uid="{13E8E5A8-C829-4308-A460-4762CCA031C8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5 3" xfId="624" xr:uid="{08ACB0AE-70BB-4C9D-BE67-A38EACD626AD}"/>
    <cellStyle name="20% - Accent5 6" xfId="413" xr:uid="{6D79C247-9518-45AF-B8B5-3D8A5CC7A6EA}"/>
    <cellStyle name="20% - Accent5 7" xfId="557" xr:uid="{30A640D8-37B8-4550-A4A8-995E5967D329}"/>
    <cellStyle name="20% - Accent5 8" xfId="699" xr:uid="{9AE0E4EF-C67B-4209-AF49-B31A3E150BF2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2 3" xfId="646" xr:uid="{94635A0F-2F34-4BAA-BDE5-49DD7E693C01}"/>
    <cellStyle name="20% - Accent6 2 3" xfId="436" xr:uid="{8E75EACB-7CF0-4A6C-B29E-2412055A7AA1}"/>
    <cellStyle name="20% - Accent6 2 4" xfId="580" xr:uid="{3AE7E3A8-BE9E-4C41-BB05-5FA83218EBDE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2 3" xfId="667" xr:uid="{3B1C15FB-525B-428B-9983-3C3BCDE74A8C}"/>
    <cellStyle name="20% - Accent6 3 3" xfId="457" xr:uid="{DF3B5D8D-1452-44A7-9BAD-C21E4DA6BC0E}"/>
    <cellStyle name="20% - Accent6 3 4" xfId="602" xr:uid="{FC0CB144-AD4D-41E1-8A9E-A7B7EBFDF214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5 3" xfId="626" xr:uid="{8020B7D7-E1FF-401D-867F-039F9D876303}"/>
    <cellStyle name="20% - Accent6 6" xfId="416" xr:uid="{CD78C615-BA09-4262-B0D1-6513B382AEBF}"/>
    <cellStyle name="20% - Accent6 7" xfId="560" xr:uid="{CE842339-AC53-4909-932E-830AE153522D}"/>
    <cellStyle name="20% - Accent6 8" xfId="701" xr:uid="{EFEA1DA8-E4BB-4864-A623-1368351157AB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2 3" xfId="647" xr:uid="{D7E2E94E-A2D9-44A4-B67A-17D8733614CA}"/>
    <cellStyle name="40% - Accent1 2 3" xfId="437" xr:uid="{ACA7AA49-3B24-4A63-92BF-BEADF786DA90}"/>
    <cellStyle name="40% - Accent1 2 4" xfId="581" xr:uid="{0363205D-58D4-45E4-B147-39876C03595F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2 3" xfId="662" xr:uid="{490BE144-131C-477D-92DD-C1DFACE213CC}"/>
    <cellStyle name="40% - Accent1 3 3" xfId="452" xr:uid="{C02B00A7-69E6-471A-948C-9631F7A9BABE}"/>
    <cellStyle name="40% - Accent1 3 4" xfId="597" xr:uid="{10134AE4-F2F9-4E0B-8045-6A8067AF2B34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5 3" xfId="617" xr:uid="{A5FE6B67-83F9-4B21-A391-D2979684F93D}"/>
    <cellStyle name="40% - Accent1 6" xfId="402" xr:uid="{5D5C0E05-40B6-4D0A-96A8-CD63C8EF6882}"/>
    <cellStyle name="40% - Accent1 7" xfId="546" xr:uid="{499B388C-0681-4856-99D2-2C29BF590413}"/>
    <cellStyle name="40% - Accent1 8" xfId="692" xr:uid="{2EC57928-2207-44D2-ACB2-8974A4EA6CAF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2 3" xfId="648" xr:uid="{6C2A7382-2613-4C88-A277-A2C5B4287EFD}"/>
    <cellStyle name="40% - Accent2 2 3" xfId="438" xr:uid="{B54C0DF4-ADC1-4C79-A6BC-21809FB91E04}"/>
    <cellStyle name="40% - Accent2 2 4" xfId="582" xr:uid="{DA3837A9-62D0-4A53-B25E-6BCE4F79C58B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2 3" xfId="663" xr:uid="{A8541BE7-DBB3-43A4-8202-7FD4210B7B42}"/>
    <cellStyle name="40% - Accent2 3 3" xfId="453" xr:uid="{C75D91F0-4DB5-47EE-BCD1-F36512805169}"/>
    <cellStyle name="40% - Accent2 3 4" xfId="598" xr:uid="{05129DAF-0261-4880-B36C-819AFD684427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5 3" xfId="619" xr:uid="{B0919331-5F3A-4A67-B803-BBFBF8C4FCB6}"/>
    <cellStyle name="40% - Accent2 6" xfId="405" xr:uid="{5D34ACBE-F302-4E08-9D42-4072FA9DFEE4}"/>
    <cellStyle name="40% - Accent2 7" xfId="549" xr:uid="{BDF83CD1-2C78-450B-9DB6-E9F580ED3C20}"/>
    <cellStyle name="40% - Accent2 8" xfId="694" xr:uid="{1AF5A637-D4BF-47E4-992E-B8A097F4E342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2 3" xfId="649" xr:uid="{C407FBE6-4558-46DA-B34B-E6ADC6614526}"/>
    <cellStyle name="40% - Accent3 2 2 3" xfId="439" xr:uid="{22D31CA8-2A99-4D12-9457-12A6399E0841}"/>
    <cellStyle name="40% - Accent3 2 2 4" xfId="583" xr:uid="{B1EDB542-5E5A-44D1-AC85-7D4590435E12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2 3" xfId="675" xr:uid="{7627C327-0618-453A-8FAA-2795FE22D122}"/>
    <cellStyle name="40% - Accent3 2 3 3" xfId="465" xr:uid="{B869BA9D-0467-4142-BA95-C65B205992B0}"/>
    <cellStyle name="40% - Accent3 2 3 4" xfId="610" xr:uid="{E2D542D9-5A8B-406B-BD79-472D26F8CCE6}"/>
    <cellStyle name="40% - Accent3 2 4" xfId="315" xr:uid="{50109117-B1D7-416F-85D2-1905AC7D5D35}"/>
    <cellStyle name="40% - Accent3 2 4 2" xfId="486" xr:uid="{E24974DF-E6E0-4FAD-BE12-F71C6EA39334}"/>
    <cellStyle name="40% - Accent3 2 4 3" xfId="633" xr:uid="{59431F59-3E67-4AEC-BB3F-AC7B85582202}"/>
    <cellStyle name="40% - Accent3 2 5" xfId="423" xr:uid="{8C88AD88-EB60-4EBD-BFBA-08EC71A5427B}"/>
    <cellStyle name="40% - Accent3 2 6" xfId="567" xr:uid="{6C199100-54DA-46D7-B496-5F24F9FF7990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2 3" xfId="650" xr:uid="{76E1322C-7F9A-4666-87B2-BD27E36FB824}"/>
    <cellStyle name="40% - Accent3 3 3" xfId="440" xr:uid="{694DC383-9302-4A9E-A529-E34152CD3D9E}"/>
    <cellStyle name="40% - Accent3 3 4" xfId="584" xr:uid="{9B23967B-C0FF-47C5-84FD-C5AB0192150C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5 3" xfId="621" xr:uid="{873B086D-8EFE-4ADD-BB58-6AAF5B62A7E6}"/>
    <cellStyle name="40% - Accent3 6" xfId="408" xr:uid="{AA9ACA67-A789-4509-86BA-E06168708FD7}"/>
    <cellStyle name="40% - Accent3 7" xfId="552" xr:uid="{0EC6E635-2ABB-4A84-A75F-2ABA36930D3F}"/>
    <cellStyle name="40% - Accent3 8" xfId="696" xr:uid="{66F1B7DC-76B0-4D29-B4DE-DB3F4F0D4315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2 3" xfId="651" xr:uid="{E2305B21-C822-4D39-BAB9-73CFFDAFF90A}"/>
    <cellStyle name="40% - Accent4 2 3" xfId="441" xr:uid="{734B397A-E07F-4B1E-A87F-6616F55A196C}"/>
    <cellStyle name="40% - Accent4 2 4" xfId="585" xr:uid="{047E9E0B-636B-4704-BC07-92616EF7F87E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2 3" xfId="664" xr:uid="{94E92C54-0AD8-4578-8DE2-3162462E20E9}"/>
    <cellStyle name="40% - Accent4 3 3" xfId="454" xr:uid="{689F55CF-C46E-4450-949C-6B32D1B70890}"/>
    <cellStyle name="40% - Accent4 3 4" xfId="599" xr:uid="{C3B57798-7EF3-4D7E-96CB-0A48C91D9CAD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5 3" xfId="623" xr:uid="{ADC5820B-B218-4C24-8D21-85F36AE5601B}"/>
    <cellStyle name="40% - Accent4 6" xfId="411" xr:uid="{9A5F11E6-C9A7-46F9-875F-BC9D7A769A54}"/>
    <cellStyle name="40% - Accent4 7" xfId="555" xr:uid="{8BE7ABD1-1C25-4778-89A8-A3B1C6FD44AC}"/>
    <cellStyle name="40% - Accent4 8" xfId="698" xr:uid="{D28C2BEA-026B-431E-A589-122E7EC496EB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2 3" xfId="652" xr:uid="{BA5BB0C9-1216-43CA-8C7F-0D36409925B5}"/>
    <cellStyle name="40% - Accent5 2 3" xfId="442" xr:uid="{3BE0039B-35BF-4E73-939E-345C6EAD9816}"/>
    <cellStyle name="40% - Accent5 2 4" xfId="586" xr:uid="{13957AD8-B0AD-4288-A124-87961622E2E7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2 3" xfId="666" xr:uid="{688665DD-7F6E-4F5C-9099-1E3FE6D722AF}"/>
    <cellStyle name="40% - Accent5 3 3" xfId="456" xr:uid="{D48993EB-0E55-4564-9646-4EF5B22237C6}"/>
    <cellStyle name="40% - Accent5 3 4" xfId="601" xr:uid="{B27654DD-0713-4882-905A-FC0A1434DC45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5 3" xfId="625" xr:uid="{DA87AC71-791D-4C18-8E16-0F12DF338112}"/>
    <cellStyle name="40% - Accent5 6" xfId="414" xr:uid="{838CB0CC-32D0-461F-9816-82A8EA384AC7}"/>
    <cellStyle name="40% - Accent5 7" xfId="558" xr:uid="{938A02AA-83A5-409E-ADA4-974E9C00299E}"/>
    <cellStyle name="40% - Accent5 8" xfId="700" xr:uid="{79F88AFB-528B-4116-BF0B-7977ABA72372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2 3" xfId="653" xr:uid="{1988BDB5-49AF-4C41-8CE0-15AF109D0286}"/>
    <cellStyle name="40% - Accent6 2 3" xfId="443" xr:uid="{B83BC04A-B5C9-4765-A660-781554A145B5}"/>
    <cellStyle name="40% - Accent6 2 4" xfId="587" xr:uid="{973F1E65-2A12-4AB0-AF4D-B71294951EC8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2 3" xfId="668" xr:uid="{06C2A612-E2E9-420F-92A7-CDAFD734C1D2}"/>
    <cellStyle name="40% - Accent6 3 3" xfId="458" xr:uid="{37D4E867-A15B-4049-84CB-30D6653A51FB}"/>
    <cellStyle name="40% - Accent6 3 4" xfId="603" xr:uid="{F040B2D2-5A11-4AB9-9F02-0EBDA3BC0521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5 3" xfId="627" xr:uid="{3B192238-8E16-4739-9957-9C7E10945D89}"/>
    <cellStyle name="40% - Accent6 6" xfId="417" xr:uid="{CE7C6004-06A6-4B1B-ACF7-816AA42E73FD}"/>
    <cellStyle name="40% - Accent6 7" xfId="561" xr:uid="{5D958CF2-68C9-4B36-88E9-C6A7DC4CB99D}"/>
    <cellStyle name="40% - Accent6 8" xfId="702" xr:uid="{324BFC15-0B18-44BF-A1E0-82167F09BE22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1 5" xfId="547" xr:uid="{D59AB503-0B26-4C96-8524-5D940791963D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2 5" xfId="550" xr:uid="{5B959A99-118C-47CE-B39C-2A62AA3A1EC3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3 7" xfId="553" xr:uid="{F8EF9733-07EB-41ED-B6F6-863E2E9384F2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4 7" xfId="556" xr:uid="{904BA480-F31F-4D1E-B40B-E3656F8AA6A5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5 5" xfId="559" xr:uid="{66791BF6-FBA4-4073-B562-1C70C14DDCB8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60% - Accent6 7" xfId="562" xr:uid="{8275E0AD-145F-4DDE-BBB9-DBDBE543B83C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alculation 2 6" xfId="683" xr:uid="{9CFA91C0-A9AA-48B0-B05F-A82A3A97D96D}"/>
    <cellStyle name="Calculation 2 7" xfId="590" xr:uid="{E4FCAAB1-9DBD-448D-8FCF-3E5A731697D7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2 3" xfId="670" xr:uid="{036D860F-C369-4D06-836F-D28DA96EF6C7}"/>
    <cellStyle name="Comma 19 3" xfId="241" xr:uid="{09364125-AA71-40DB-B3C6-6BFD41F7464D}"/>
    <cellStyle name="Comma 19 4" xfId="460" xr:uid="{F477A857-0E92-4671-A252-023A41BF204C}"/>
    <cellStyle name="Comma 19 5" xfId="605" xr:uid="{8AE5CC41-D630-4177-AE04-04B29D2FB6DA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2 3" xfId="654" xr:uid="{93B085AF-47CA-4D3D-8059-54DA87B8BDAA}"/>
    <cellStyle name="Comma 2 2 3" xfId="203" xr:uid="{89AB8884-F733-449C-AE7A-12097AC2A627}"/>
    <cellStyle name="Comma 2 2 4" xfId="444" xr:uid="{19E12DBB-EE46-452D-A498-55B0BA630A9F}"/>
    <cellStyle name="Comma 2 2 5" xfId="588" xr:uid="{E92BAC57-C4F5-445E-A064-B085BFA6BF5A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2 3" xfId="676" xr:uid="{01C5FB51-6FCA-4D19-BB28-6EDE13679EC2}"/>
    <cellStyle name="Comma 2 3 3" xfId="466" xr:uid="{D5CA8969-DBCC-4942-9628-E03149169FB4}"/>
    <cellStyle name="Comma 2 3 4" xfId="611" xr:uid="{4BDDA3E6-2B45-43A4-A4A2-DA40910C5472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5 3" xfId="634" xr:uid="{BC2DB13B-866C-4D97-A068-CCA1ECBC82B2}"/>
    <cellStyle name="Comma 2 6" xfId="154" xr:uid="{F70197A6-DA58-43B6-943A-AD1DCB6219F8}"/>
    <cellStyle name="Comma 2 7" xfId="424" xr:uid="{CA0AA54C-3DF2-4BD1-9698-E680398BF580}"/>
    <cellStyle name="Comma 2 8" xfId="568" xr:uid="{4978D8E6-5BEE-482E-AA69-6C9E9D45312B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26" xfId="543" xr:uid="{BDB0CD08-8083-4621-843E-AD7C8B5C6C4A}"/>
    <cellStyle name="Comma 27" xfId="713" xr:uid="{5FC99627-DED4-41F2-98B7-E6D842602467}"/>
    <cellStyle name="Comma 28" xfId="714" xr:uid="{A0D3904B-441A-4BEB-9516-280A3AF93F74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2 4" xfId="655" xr:uid="{0B7E962F-1938-4176-A36F-159B805A5550}"/>
    <cellStyle name="Comma 4 3" xfId="204" xr:uid="{64B597EF-614B-48C9-9308-DFFB65FAF003}"/>
    <cellStyle name="Comma 4 4" xfId="445" xr:uid="{DA87397E-E44E-4267-8654-6BC7340240A9}"/>
    <cellStyle name="Comma 4 5" xfId="589" xr:uid="{7399C8CB-67B6-45AB-898F-DD4241B96AF4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2 2 2" xfId="680" xr:uid="{B0CEF87C-9115-4BEF-A6A8-4FDAA47C390D}"/>
    <cellStyle name="Hyperlink 3" xfId="6" xr:uid="{00000000-0005-0000-0000-000005000000}"/>
    <cellStyle name="Hyperlink 3 2" xfId="242" xr:uid="{E8BFBA16-071E-4BDC-AF6C-C92DAA0BB06A}"/>
    <cellStyle name="Hyperlink 3 2 2" xfId="710" xr:uid="{56449364-7030-451C-8ABF-8ED142694BDD}"/>
    <cellStyle name="Hyperlink 3 3" xfId="704" xr:uid="{93C3A190-8EEF-47E8-B0EB-560A0D3C415E}"/>
    <cellStyle name="Hyperlink 4" xfId="92" xr:uid="{3670B919-B3BB-4E75-9930-7D6F569E3C0E}"/>
    <cellStyle name="Hyperlink 4 2" xfId="164" xr:uid="{EC59D5CE-C330-4E4D-849B-4EECA6AA0335}"/>
    <cellStyle name="Hyperlink 4 3" xfId="706" xr:uid="{1BF57F09-1B9A-4056-8335-9356CEF03DB0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Input 2 6" xfId="684" xr:uid="{57CAE848-7417-42A2-AEA6-621A434AB6E7}"/>
    <cellStyle name="Input 2 7" xfId="614" xr:uid="{876B3325-A301-4A27-9ED1-53DAA88CD071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2 3" xfId="660" xr:uid="{05171BB9-FAEC-42A8-A720-C15A2EA5A137}"/>
    <cellStyle name="Normal 18 3" xfId="450" xr:uid="{0A31AA5F-164E-4594-AE34-7D996B785216}"/>
    <cellStyle name="Normal 18 4" xfId="595" xr:uid="{C7A33E71-250C-4C3E-A41E-02678379F5BC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 3" xfId="679" xr:uid="{6868F2E6-7E54-4199-AC18-36D90DA214E6}"/>
    <cellStyle name="Normal 2 3 2" xfId="711" xr:uid="{6DDB4845-DAD3-4A81-AB7D-B655807C9C16}"/>
    <cellStyle name="Normal 2 4" xfId="690" xr:uid="{91385C19-BAC9-46F3-8B66-69391BF29EC0}"/>
    <cellStyle name="Normal 20" xfId="297" xr:uid="{5675D048-D926-4D76-A9C5-0E9E74212AD8}"/>
    <cellStyle name="Normal 20 2" xfId="469" xr:uid="{CECAC5B7-563F-4937-99A1-2C86E434C1DA}"/>
    <cellStyle name="Normal 20 3" xfId="615" xr:uid="{FD7A83D8-BD6D-4FCF-B83B-AA45FAF6A93C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25" xfId="541" xr:uid="{D0984E85-95B5-4658-A392-795C71CE7E1F}"/>
    <cellStyle name="Normal 26" xfId="715" xr:uid="{D87609AC-4935-45B9-BE0E-671C4278EB9E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3 4" xfId="703" xr:uid="{DD119CBA-0B0E-4AAB-B479-CBAA1D8F72EB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4 4" xfId="705" xr:uid="{95F72145-D08C-4017-8876-1E3932DBCB45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2 3" xfId="712" xr:uid="{380BCFAF-1B57-4791-B503-66DACDAADCB7}"/>
    <cellStyle name="Normal 5 3" xfId="52" xr:uid="{61D29457-DAC5-44A6-B4DB-3F6E4FD534E7}"/>
    <cellStyle name="Normal 5 4" xfId="168" xr:uid="{72593085-5AF4-4127-9467-36099588CA02}"/>
    <cellStyle name="Normal 5 5" xfId="707" xr:uid="{3B8C0E0A-D9D3-41C3-9BA8-F4889B9F979A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2 3" xfId="656" xr:uid="{95209F2F-2799-4722-BF83-72E8AAC9A775}"/>
    <cellStyle name="Normal 6 2 3" xfId="446" xr:uid="{1BE2B0A0-C1D6-474D-A6F1-71485FCF5C32}"/>
    <cellStyle name="Normal 6 2 4" xfId="591" xr:uid="{18DDE48D-BE59-413A-9046-FD4D72C2A234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2 3" xfId="677" xr:uid="{D9A5E20C-F6E9-4075-8B17-509F36503E1B}"/>
    <cellStyle name="Normal 6 3 3" xfId="467" xr:uid="{42FEE5EB-A9D9-4285-A8C9-AAED5BBFD307}"/>
    <cellStyle name="Normal 6 3 4" xfId="612" xr:uid="{5328C679-17D9-4346-8526-25D2F80AE486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5 3" xfId="635" xr:uid="{8A8FF758-3239-4A12-AF5F-4ED45691D4C9}"/>
    <cellStyle name="Normal 6 6" xfId="169" xr:uid="{808CEDD4-B41F-4D2C-982F-C9996D1BAA59}"/>
    <cellStyle name="Normal 6 7" xfId="425" xr:uid="{9615BE54-4CBE-4916-AB95-691C065DCB5C}"/>
    <cellStyle name="Normal 6 8" xfId="569" xr:uid="{83EC3171-AECC-4ECB-86EA-69BF79F723DC}"/>
    <cellStyle name="Normal 7" xfId="16" xr:uid="{3D34A042-2E55-4E8C-B59D-A542FFF81875}"/>
    <cellStyle name="Normal 7 2" xfId="213" xr:uid="{820CAB25-D625-44C5-95BC-3DAC14BF070F}"/>
    <cellStyle name="Normal 7 3" xfId="709" xr:uid="{C2B718B7-21C8-492B-A3B7-4F4EEA2B4D9C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2 4" xfId="657" xr:uid="{9AC8D8B5-476D-41AD-B206-8AFA8F242C3E}"/>
    <cellStyle name="Normal 9 3" xfId="215" xr:uid="{6F223409-C652-4E49-AD52-D3363DDC15E9}"/>
    <cellStyle name="Normal 9 4" xfId="447" xr:uid="{463FAE72-5C43-4756-845D-1BCA8D9EF04E}"/>
    <cellStyle name="Normal 9 5" xfId="592" xr:uid="{7340B248-285D-423A-A52F-B95975014885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2 3" xfId="658" xr:uid="{62B5CEB0-88AE-4D6C-A4A5-38E075156380}"/>
    <cellStyle name="Note 2 2 3" xfId="448" xr:uid="{F0C7965A-A9A6-4729-AE4F-E6B95123599A}"/>
    <cellStyle name="Note 2 2 4" xfId="593" xr:uid="{B2259358-4167-4319-B861-A34989484794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2 3" xfId="678" xr:uid="{C69DA920-423B-48FA-9BBC-8DF52886652D}"/>
    <cellStyle name="Note 2 3 3" xfId="468" xr:uid="{02971889-FFED-466D-99FF-DF1210F3BF73}"/>
    <cellStyle name="Note 2 3 4" xfId="613" xr:uid="{A73A64AF-5924-48A4-BBD0-AD593A3CB2FD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4 6" xfId="686" xr:uid="{6B57FADE-FE01-4447-8928-1E907D663009}"/>
    <cellStyle name="Note 2 4 7" xfId="689" xr:uid="{E81C0467-8F34-438D-81FC-6C53AD06C956}"/>
    <cellStyle name="Note 2 5" xfId="318" xr:uid="{B3F27023-4B65-487D-85FA-119154F7A601}"/>
    <cellStyle name="Note 2 5 2" xfId="489" xr:uid="{BDFF026C-22A7-4B40-B2D0-0A45C4939EFE}"/>
    <cellStyle name="Note 2 5 3" xfId="636" xr:uid="{20CAD3C3-DFA2-47D9-A68D-D525C876B245}"/>
    <cellStyle name="Note 2 6" xfId="426" xr:uid="{57CD975C-CBA2-43FD-8B00-BF6155D01DCB}"/>
    <cellStyle name="Note 2 7" xfId="570" xr:uid="{2224C499-E0AE-4D09-869C-6020AB358640}"/>
    <cellStyle name="Note 2 8" xfId="708" xr:uid="{749821F6-49B7-48B9-B078-6A6B3C58E919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2 3" xfId="659" xr:uid="{2BC0DE3D-F21D-48F7-81F7-6653E8492873}"/>
    <cellStyle name="Note 3 3" xfId="449" xr:uid="{CE7A78AD-10EA-4619-A3B2-CE8D4035EA71}"/>
    <cellStyle name="Note 3 4" xfId="594" xr:uid="{B2D59685-4323-445D-B2BA-E7E5F0E13C9D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2 3" xfId="661" xr:uid="{BE07A902-D462-4B26-A2E5-AFC6A6BBE78E}"/>
    <cellStyle name="Note 4 3" xfId="451" xr:uid="{1D673770-0746-449A-A0A5-B38D3D2F2DF2}"/>
    <cellStyle name="Note 4 4" xfId="596" xr:uid="{123407A7-4C91-4A89-933D-D8BC8B42CB31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5 6" xfId="685" xr:uid="{9EE5294B-46D1-4D95-A3C5-B18D6D691518}"/>
    <cellStyle name="Note 5 7" xfId="682" xr:uid="{79E54DEE-25C0-4E50-82E0-8862A9294BAF}"/>
    <cellStyle name="Note 6" xfId="143" xr:uid="{76A629B7-C611-430C-B43D-08A666E8CF1D}"/>
    <cellStyle name="Note 7" xfId="400" xr:uid="{6D65B6CE-61EF-45DD-BCDA-5D6653CCCB50}"/>
    <cellStyle name="Note 8" xfId="544" xr:uid="{96248A65-E6FA-4D5E-89DA-12675FD4A0C8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Output 2 6" xfId="687" xr:uid="{B86CEFA5-F27C-4E54-86D1-BC95754A7519}"/>
    <cellStyle name="Output 2 7" xfId="681" xr:uid="{06BF1161-9865-4E22-AF0A-00AD8D1A3654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2 3" xfId="669" xr:uid="{7B7ABCA6-DF0F-418F-BCF5-613E7F8BB755}"/>
    <cellStyle name="Percent 12 3" xfId="459" xr:uid="{86259A49-0CFD-4911-95F0-A96FA8BD0AD2}"/>
    <cellStyle name="Percent 12 4" xfId="604" xr:uid="{087148AA-1620-4EAD-8B33-BA2C458E3620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19" xfId="542" xr:uid="{3A34358A-AA99-4ABC-A7FA-33BF007DF2D3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Total 2 6" xfId="688" xr:uid="{82303D14-93FF-4F9E-B1E7-8D6456A1D49D}"/>
    <cellStyle name="Total 2 7" xfId="628" xr:uid="{D8FD7153-B3C9-458B-BF92-DC666F0DB06F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FF00"/>
      <color rgb="FF0E2841"/>
      <color rgb="FFFFCC66"/>
      <color rgb="FFA991D5"/>
      <color rgb="FFCAEDFB"/>
      <color rgb="FFB3A2C7"/>
      <color rgb="FF9429FF"/>
      <color rgb="FF0000FF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peanut acreage and production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13586764151958E-2"/>
          <c:y val="0.19983693490304344"/>
          <c:w val="0.85076677432482173"/>
          <c:h val="0.51003574787343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 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 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  <c:pt idx="9">
                  <c:v>2025/26*</c:v>
                </c:pt>
              </c:strCache>
            </c:strRef>
          </c:cat>
          <c:val>
            <c:numRef>
              <c:f>'Figure 1 '!$C$2:$C$11</c:f>
              <c:numCache>
                <c:formatCode>#,##0</c:formatCode>
                <c:ptCount val="10"/>
                <c:pt idx="0">
                  <c:v>5581.57</c:v>
                </c:pt>
                <c:pt idx="1">
                  <c:v>7115.41</c:v>
                </c:pt>
                <c:pt idx="2">
                  <c:v>5491.57</c:v>
                </c:pt>
                <c:pt idx="3">
                  <c:v>5464.84</c:v>
                </c:pt>
                <c:pt idx="4">
                  <c:v>6162.75</c:v>
                </c:pt>
                <c:pt idx="5">
                  <c:v>6359.19</c:v>
                </c:pt>
                <c:pt idx="6">
                  <c:v>5541.7719999999999</c:v>
                </c:pt>
                <c:pt idx="7">
                  <c:v>5877.56</c:v>
                </c:pt>
                <c:pt idx="8">
                  <c:v>6448.02</c:v>
                </c:pt>
                <c:pt idx="9" formatCode="_(* #,##0_);_(* \(#,##0\);_(* &quot;-&quot;??_);_(@_)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E-499D-B945-66261083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5"/>
          <c:order val="1"/>
          <c:tx>
            <c:strRef>
              <c:f>'Figure 1 '!$B$1</c:f>
              <c:strCache>
                <c:ptCount val="1"/>
                <c:pt idx="0">
                  <c:v>Acreage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1 '!$A$2:$A$11</c:f>
              <c:strCache>
                <c:ptCount val="10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</c:v>
                </c:pt>
                <c:pt idx="6">
                  <c:v>2022/23</c:v>
                </c:pt>
                <c:pt idx="7">
                  <c:v>2023/24</c:v>
                </c:pt>
                <c:pt idx="8">
                  <c:v>2024/25</c:v>
                </c:pt>
                <c:pt idx="9">
                  <c:v>2025/26*</c:v>
                </c:pt>
              </c:strCache>
            </c:strRef>
          </c:cat>
          <c:val>
            <c:numRef>
              <c:f>'Figure 1 '!$B$2:$B$11</c:f>
              <c:numCache>
                <c:formatCode>#,##0.0</c:formatCode>
                <c:ptCount val="10"/>
                <c:pt idx="0">
                  <c:v>1.536</c:v>
                </c:pt>
                <c:pt idx="1">
                  <c:v>1.7755999999999998</c:v>
                </c:pt>
                <c:pt idx="2">
                  <c:v>1.3685999999999998</c:v>
                </c:pt>
                <c:pt idx="3">
                  <c:v>1.3864000000000001</c:v>
                </c:pt>
                <c:pt idx="4">
                  <c:v>1.6112</c:v>
                </c:pt>
                <c:pt idx="5">
                  <c:v>1.538</c:v>
                </c:pt>
                <c:pt idx="6">
                  <c:v>1.3814000000000002</c:v>
                </c:pt>
                <c:pt idx="7">
                  <c:v>1.5569999999999999</c:v>
                </c:pt>
                <c:pt idx="8">
                  <c:v>1.758</c:v>
                </c:pt>
                <c:pt idx="9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E-499D-B945-66261083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32943"/>
        <c:axId val="43003710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034735339737654"/>
              <c:y val="0.83370412031829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6811545789985799E-3"/>
              <c:y val="0.11926776131906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43003710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acres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86235054388294397"/>
              <c:y val="0.12510491223725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032943"/>
        <c:crosses val="max"/>
        <c:crossBetween val="between"/>
      </c:valAx>
      <c:catAx>
        <c:axId val="43003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37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492616445319366E-2"/>
          <c:y val="0.14483210090541962"/>
          <c:w val="0.74781151990729666"/>
          <c:h val="5.31828194700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spc="0">
                <a:solidFill>
                  <a:sysClr val="windowText" lastClr="000000"/>
                </a:solidFill>
              </a:defRPr>
            </a:pPr>
            <a:r>
              <a:rPr lang="en-US" sz="105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United States soybean maximum daily crush volume by region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spc="0">
                <a:solidFill>
                  <a:sysClr val="windowText" lastClr="000000"/>
                </a:solidFill>
              </a:defRPr>
            </a:pP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750527428706595E-2"/>
          <c:y val="0.14045723566322163"/>
          <c:w val="0.91199131320335269"/>
          <c:h val="0.56034192316869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2'!$B$2:$I$2</c:f>
              <c:numCache>
                <c:formatCode>_(* #,##0_);_(* \(#,##0\);_(* "-"??_);_(@_)</c:formatCode>
                <c:ptCount val="8"/>
                <c:pt idx="0">
                  <c:v>777242.22222222225</c:v>
                </c:pt>
                <c:pt idx="1">
                  <c:v>1299710.752688172</c:v>
                </c:pt>
                <c:pt idx="2">
                  <c:v>1455304.301075269</c:v>
                </c:pt>
                <c:pt idx="3">
                  <c:v>1034093.3333333334</c:v>
                </c:pt>
                <c:pt idx="4">
                  <c:v>819247.77777777775</c:v>
                </c:pt>
                <c:pt idx="5">
                  <c:v>1054226.88172043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F-4EA1-B7E8-2894E887A304}"/>
            </c:ext>
          </c:extLst>
        </c:ser>
        <c:ser>
          <c:idx val="1"/>
          <c:order val="1"/>
          <c:tx>
            <c:strRef>
              <c:f>'Figure 2'!$A$3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2'!$B$3:$I$3</c:f>
              <c:numCache>
                <c:formatCode>_(* #,##0_);_(* \(#,##0\);_(* "-"??_);_(@_)</c:formatCode>
                <c:ptCount val="8"/>
                <c:pt idx="0">
                  <c:v>743000</c:v>
                </c:pt>
                <c:pt idx="1">
                  <c:v>1327880</c:v>
                </c:pt>
                <c:pt idx="2">
                  <c:v>1476949.4623655914</c:v>
                </c:pt>
                <c:pt idx="3">
                  <c:v>1081785.5555555555</c:v>
                </c:pt>
                <c:pt idx="4">
                  <c:v>765061.29032258061</c:v>
                </c:pt>
                <c:pt idx="5">
                  <c:v>1092673.1182795698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F-4EA1-B7E8-2894E887A304}"/>
            </c:ext>
          </c:extLst>
        </c:ser>
        <c:ser>
          <c:idx val="2"/>
          <c:order val="2"/>
          <c:tx>
            <c:strRef>
              <c:f>'Figure 2'!$A$4</c:f>
              <c:strCache>
                <c:ptCount val="1"/>
                <c:pt idx="0">
                  <c:v>2022/23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2'!$B$4:$I$4</c:f>
              <c:numCache>
                <c:formatCode>_(* #,##0_);_(* \(#,##0\);_(* "-"??_);_(@_)</c:formatCode>
                <c:ptCount val="8"/>
                <c:pt idx="0">
                  <c:v>769946.2365591398</c:v>
                </c:pt>
                <c:pt idx="1">
                  <c:v>1352178.8888888888</c:v>
                </c:pt>
                <c:pt idx="2">
                  <c:v>1484967.7777777778</c:v>
                </c:pt>
                <c:pt idx="3">
                  <c:v>1078018.888888889</c:v>
                </c:pt>
                <c:pt idx="4">
                  <c:v>765061.29032258061</c:v>
                </c:pt>
                <c:pt idx="5">
                  <c:v>1072101.0752688171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F-4EA1-B7E8-2894E887A304}"/>
            </c:ext>
          </c:extLst>
        </c:ser>
        <c:ser>
          <c:idx val="3"/>
          <c:order val="3"/>
          <c:tx>
            <c:strRef>
              <c:f>'Figure 2'!$A$5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2'!$B$5:$I$5</c:f>
              <c:numCache>
                <c:formatCode>_(* #,##0_);_(* \(#,##0\);_(* "-"??_);_(@_)</c:formatCode>
                <c:ptCount val="8"/>
                <c:pt idx="0">
                  <c:v>743713.97849462356</c:v>
                </c:pt>
                <c:pt idx="1">
                  <c:v>1524340</c:v>
                </c:pt>
                <c:pt idx="2">
                  <c:v>1519616.6666666667</c:v>
                </c:pt>
                <c:pt idx="3">
                  <c:v>1188662.2222222222</c:v>
                </c:pt>
                <c:pt idx="4">
                  <c:v>783555.55555555562</c:v>
                </c:pt>
                <c:pt idx="5">
                  <c:v>1054534.4827586208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F-4EA1-B7E8-2894E887A304}"/>
            </c:ext>
          </c:extLst>
        </c:ser>
        <c:ser>
          <c:idx val="4"/>
          <c:order val="4"/>
          <c:tx>
            <c:strRef>
              <c:f>'Figure 2'!$A$6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F-4EA1-B7E8-2894E887A304}"/>
              </c:ext>
            </c:extLst>
          </c:dPt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2'!$B$6:$I$6</c:f>
              <c:numCache>
                <c:formatCode>_(* #,##0_);_(* \(#,##0\);_(* "-"??_);_(@_)</c:formatCode>
                <c:ptCount val="8"/>
                <c:pt idx="0">
                  <c:v>742488.88888888888</c:v>
                </c:pt>
                <c:pt idx="1">
                  <c:v>1537829.7619047619</c:v>
                </c:pt>
                <c:pt idx="2">
                  <c:v>1576995.698924731</c:v>
                </c:pt>
                <c:pt idx="3">
                  <c:v>1315586.0215053763</c:v>
                </c:pt>
                <c:pt idx="4">
                  <c:v>747163.33333333337</c:v>
                </c:pt>
                <c:pt idx="5">
                  <c:v>1293765.5913978496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F-4EA1-B7E8-2894E887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barChart>
        <c:barDir val="col"/>
        <c:grouping val="clustered"/>
        <c:varyColors val="0"/>
        <c:ser>
          <c:idx val="5"/>
          <c:order val="5"/>
          <c:tx>
            <c:strRef>
              <c:f>'Figure 2'!$A$7</c:f>
              <c:strCache>
                <c:ptCount val="1"/>
                <c:pt idx="0">
                  <c:v>2020/21T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7BF-4EA1-B7E8-2894E887A304}"/>
              </c:ext>
            </c:extLst>
          </c:dPt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2'!$B$7:$I$7</c:f>
              <c:numCache>
                <c:formatCode>_(* #,##0_);_(* \(#,##0\);_(* "-"??_);_(@_)</c:formatCode>
                <c:ptCount val="8"/>
                <c:pt idx="7">
                  <c:v>6439825.268817205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BF-4EA1-B7E8-2894E887A304}"/>
            </c:ext>
          </c:extLst>
        </c:ser>
        <c:ser>
          <c:idx val="6"/>
          <c:order val="6"/>
          <c:tx>
            <c:strRef>
              <c:f>'Figure 2'!$A$8</c:f>
              <c:strCache>
                <c:ptCount val="1"/>
                <c:pt idx="0">
                  <c:v>2021/22T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2'!$B$8:$I$8</c:f>
              <c:numCache>
                <c:formatCode>_(* #,##0_);_(* \(#,##0\);_(* "-"??_);_(@_)</c:formatCode>
                <c:ptCount val="8"/>
                <c:pt idx="7">
                  <c:v>6487349.4265232971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BF-4EA1-B7E8-2894E887A304}"/>
            </c:ext>
          </c:extLst>
        </c:ser>
        <c:ser>
          <c:idx val="7"/>
          <c:order val="7"/>
          <c:tx>
            <c:strRef>
              <c:f>'Figure 2'!$A$9</c:f>
              <c:strCache>
                <c:ptCount val="1"/>
                <c:pt idx="0">
                  <c:v>2022/23T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2'!$B$9:$I$9</c:f>
              <c:numCache>
                <c:formatCode>_(* #,##0_);_(* \(#,##0\);_(* "-"??_);_(@_)</c:formatCode>
                <c:ptCount val="8"/>
                <c:pt idx="7">
                  <c:v>6522274.157706093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BF-4EA1-B7E8-2894E887A304}"/>
            </c:ext>
          </c:extLst>
        </c:ser>
        <c:ser>
          <c:idx val="8"/>
          <c:order val="8"/>
          <c:tx>
            <c:strRef>
              <c:f>'Figure 2'!$A$10</c:f>
              <c:strCache>
                <c:ptCount val="1"/>
                <c:pt idx="0">
                  <c:v>2023/24T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2'!$B$10:$I$10</c:f>
              <c:numCache>
                <c:formatCode>_(* #,##0_);_(* \(#,##0\);_(* "-"??_);_(@_)</c:formatCode>
                <c:ptCount val="8"/>
                <c:pt idx="7">
                  <c:v>6814422.9056976894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BF-4EA1-B7E8-2894E887A304}"/>
            </c:ext>
          </c:extLst>
        </c:ser>
        <c:ser>
          <c:idx val="9"/>
          <c:order val="9"/>
          <c:tx>
            <c:strRef>
              <c:f>'Figure 2'!$A$11</c:f>
              <c:strCache>
                <c:ptCount val="1"/>
                <c:pt idx="0">
                  <c:v>2024/25T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2'!$B$1:$I$1</c:f>
              <c:strCache>
                <c:ptCount val="8"/>
                <c:pt idx="0">
                  <c:v>Illinois</c:v>
                </c:pt>
                <c:pt idx="1">
                  <c:v>Iowa</c:v>
                </c:pt>
                <c:pt idx="2">
                  <c:v>North &amp; East</c:v>
                </c:pt>
                <c:pt idx="3">
                  <c:v>North Central</c:v>
                </c:pt>
                <c:pt idx="4">
                  <c:v>South, West, and Pacific</c:v>
                </c:pt>
                <c:pt idx="5">
                  <c:v>West Central</c:v>
                </c:pt>
                <c:pt idx="7">
                  <c:v>Regional total         (right axis)</c:v>
                </c:pt>
              </c:strCache>
            </c:strRef>
          </c:cat>
          <c:val>
            <c:numRef>
              <c:f>'Figure 2'!$B$11:$I$11</c:f>
              <c:numCache>
                <c:formatCode>_(* #,##0_);_(* \(#,##0\);_(* "-"??_);_(@_)</c:formatCode>
                <c:ptCount val="8"/>
                <c:pt idx="7">
                  <c:v>7213829.2959549399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BF-4EA1-B7E8-2894E887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96847"/>
        <c:axId val="141796367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Region</a:t>
                </a:r>
              </a:p>
            </c:rich>
          </c:tx>
          <c:layout>
            <c:manualLayout>
              <c:xMode val="edge"/>
              <c:yMode val="edge"/>
              <c:x val="0.46962583165476407"/>
              <c:y val="0.7896280124075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bushels</a:t>
                </a:r>
              </a:p>
            </c:rich>
          </c:tx>
          <c:layout>
            <c:manualLayout>
              <c:xMode val="edge"/>
              <c:yMode val="edge"/>
              <c:x val="1.4277024384827433E-2"/>
              <c:y val="8.61308772867479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  <c:valAx>
        <c:axId val="141796367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/>
                  <a:t>Million</a:t>
                </a:r>
                <a:r>
                  <a:rPr lang="en-US" sz="900" b="0" baseline="0"/>
                  <a:t> bushels</a:t>
                </a:r>
                <a:endParaRPr lang="en-US" sz="900" b="0"/>
              </a:p>
            </c:rich>
          </c:tx>
          <c:layout>
            <c:manualLayout>
              <c:xMode val="edge"/>
              <c:yMode val="edge"/>
              <c:x val="0.91763677094864127"/>
              <c:y val="9.10477178373695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1796847"/>
        <c:crosses val="max"/>
        <c:crossBetween val="between"/>
        <c:dispUnits>
          <c:builtInUnit val="millions"/>
        </c:dispUnits>
      </c:valAx>
      <c:catAx>
        <c:axId val="1417968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796367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3464389638646469"/>
          <c:y val="8.5224171204820828E-2"/>
          <c:w val="0.4139561869331817"/>
          <c:h val="0.10287735623956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Soybean oil use in biomass-based diesel production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4750459930826407E-2"/>
          <c:y val="0.17426017522457579"/>
          <c:w val="0.91199136556528548"/>
          <c:h val="0.52653905585745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Oct-Apr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3'!$A$2:$A$9</c15:sqref>
                  </c15:fullRef>
                </c:ext>
              </c:extLst>
              <c:f>'Figure 3'!$A$5:$A$9</c:f>
              <c:strCache>
                <c:ptCount val="5"/>
                <c:pt idx="0">
                  <c:v> 2021/22 </c:v>
                </c:pt>
                <c:pt idx="1">
                  <c:v> 2022/23 </c:v>
                </c:pt>
                <c:pt idx="2">
                  <c:v> 2023/24 </c:v>
                </c:pt>
                <c:pt idx="3">
                  <c:v> 2024/25* </c:v>
                </c:pt>
                <c:pt idx="4">
                  <c:v> 2025/26*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3'!$B$2:$B$9</c15:sqref>
                  </c15:fullRef>
                </c:ext>
              </c:extLst>
              <c:f>'Figure 3'!$B$5:$B$9</c:f>
              <c:numCache>
                <c:formatCode>_(* #,##0_);_(* \(#,##0\);_(* "-"??_);_(@_)</c:formatCode>
                <c:ptCount val="5"/>
                <c:pt idx="0">
                  <c:v>5899.5207127999965</c:v>
                </c:pt>
                <c:pt idx="1">
                  <c:v>6489.6589999999987</c:v>
                </c:pt>
                <c:pt idx="2">
                  <c:v>7213.6298217980975</c:v>
                </c:pt>
                <c:pt idx="3">
                  <c:v>5577.8338627831999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09-4F73-B2A4-A293CADDADE1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Remaining</c:v>
                </c:pt>
              </c:strCache>
            </c:strRef>
          </c:tx>
          <c:spPr>
            <a:pattFill prst="wdUpDiag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3'!$A$2:$A$9</c15:sqref>
                  </c15:fullRef>
                </c:ext>
              </c:extLst>
              <c:f>'Figure 3'!$A$5:$A$9</c:f>
              <c:strCache>
                <c:ptCount val="5"/>
                <c:pt idx="0">
                  <c:v> 2021/22 </c:v>
                </c:pt>
                <c:pt idx="1">
                  <c:v> 2022/23 </c:v>
                </c:pt>
                <c:pt idx="2">
                  <c:v> 2023/24 </c:v>
                </c:pt>
                <c:pt idx="3">
                  <c:v> 2024/25* </c:v>
                </c:pt>
                <c:pt idx="4">
                  <c:v> 2025/26*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3'!$C$2:$C$9</c15:sqref>
                  </c15:fullRef>
                </c:ext>
              </c:extLst>
              <c:f>'Figure 3'!$C$5:$C$9</c:f>
              <c:numCache>
                <c:formatCode>_(* #,##0_);_(* \(#,##0\);_(* "-"??_);_(@_)</c:formatCode>
                <c:ptCount val="5"/>
                <c:pt idx="0">
                  <c:v>4479.2292872000035</c:v>
                </c:pt>
                <c:pt idx="1">
                  <c:v>6020.6710000000012</c:v>
                </c:pt>
                <c:pt idx="2">
                  <c:v>5775.4122782019031</c:v>
                </c:pt>
                <c:pt idx="3">
                  <c:v>6672.1661372168001</c:v>
                </c:pt>
                <c:pt idx="4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09-4F73-B2A4-A293CADD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6962583165476407"/>
              <c:y val="0.78962801240753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Billion</a:t>
                </a:r>
                <a:r>
                  <a:rPr lang="en-US" sz="900" baseline="0"/>
                  <a:t>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9.2926141241690581E-3"/>
              <c:y val="9.739854349192265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thousands"/>
        </c:dispUnits>
      </c:valAx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34643903156965189"/>
          <c:y val="0.12278289157517282"/>
          <c:w val="0.27547045404371184"/>
          <c:h val="5.9904328860300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</a:t>
            </a:r>
            <a:r>
              <a:rPr lang="en-US" sz="8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4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Canola oil domestic use and imports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239168235881E-3"/>
          <c:y val="1.386842773685547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827123678696349E-2"/>
          <c:y val="0.21094318855304378"/>
          <c:w val="0.92194448359686643"/>
          <c:h val="0.414949341009793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4'!$C$1</c:f>
              <c:strCache>
                <c:ptCount val="1"/>
                <c:pt idx="0">
                  <c:v>Biofuel use</c:v>
                </c:pt>
              </c:strCache>
            </c:strRef>
          </c:tx>
          <c:spPr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74650321456639E-17"/>
                  <c:y val="-1.4854360828104479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8D-4B62-81D7-3B1D29A31625}"/>
                </c:ext>
              </c:extLst>
            </c:dLbl>
            <c:dLbl>
              <c:idx val="1"/>
              <c:layout>
                <c:manualLayout>
                  <c:x val="-2.3447186965283918E-3"/>
                  <c:y val="-6.04872298490893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8D-4B62-81D7-3B1D29A31625}"/>
                </c:ext>
              </c:extLst>
            </c:dLbl>
            <c:dLbl>
              <c:idx val="2"/>
              <c:layout>
                <c:manualLayout>
                  <c:x val="-2.344718696528413E-3"/>
                  <c:y val="-1.53415566075509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8D-4B62-81D7-3B1D29A31625}"/>
                </c:ext>
              </c:extLst>
            </c:dLbl>
            <c:dLbl>
              <c:idx val="3"/>
              <c:layout>
                <c:manualLayout>
                  <c:x val="-2.344718696528413E-3"/>
                  <c:y val="-6.844589656800325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8D-4B62-81D7-3B1D29A31625}"/>
                </c:ext>
              </c:extLst>
            </c:dLbl>
            <c:dLbl>
              <c:idx val="4"/>
              <c:layout>
                <c:manualLayout>
                  <c:x val="0"/>
                  <c:y val="-1.17301753053073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8D-4B62-81D7-3B1D29A31625}"/>
                </c:ext>
              </c:extLst>
            </c:dLbl>
            <c:dLbl>
              <c:idx val="5"/>
              <c:layout>
                <c:manualLayout>
                  <c:x val="-8.5972025716531124E-17"/>
                  <c:y val="2.29397665889310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8D-4B62-81D7-3B1D29A31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4'!$C$2:$C$10</c:f>
              <c:numCache>
                <c:formatCode>_(* #,##0.0_);_(* \(#,##0.0\);_(* "-"??_);_(@_)</c:formatCode>
                <c:ptCount val="9"/>
                <c:pt idx="0">
                  <c:v>1.3843699999999999</c:v>
                </c:pt>
                <c:pt idx="1">
                  <c:v>1.1000000000000001</c:v>
                </c:pt>
                <c:pt idx="2">
                  <c:v>1.3175999999999999</c:v>
                </c:pt>
                <c:pt idx="3">
                  <c:v>1.1499999999999999</c:v>
                </c:pt>
                <c:pt idx="4">
                  <c:v>1.335</c:v>
                </c:pt>
                <c:pt idx="5">
                  <c:v>2.9143020000000002</c:v>
                </c:pt>
                <c:pt idx="6">
                  <c:v>4.3368987146988012</c:v>
                </c:pt>
                <c:pt idx="7">
                  <c:v>3.15</c:v>
                </c:pt>
                <c:pt idx="8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0A-4341-8680-1BBEF47FC37F}"/>
            </c:ext>
          </c:extLst>
        </c:ser>
        <c:ser>
          <c:idx val="0"/>
          <c:order val="1"/>
          <c:tx>
            <c:strRef>
              <c:f>'Figure 4'!$B$1</c:f>
              <c:strCache>
                <c:ptCount val="1"/>
                <c:pt idx="0">
                  <c:v>Food, feed, and other industrial use</c:v>
                </c:pt>
              </c:strCache>
            </c:strRef>
          </c:tx>
          <c:spPr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4'!$B$2:$B$10</c:f>
              <c:numCache>
                <c:formatCode>_(* #,##0.0_);_(* \(#,##0.0\);_(* "-"??_);_(@_)</c:formatCode>
                <c:ptCount val="9"/>
                <c:pt idx="0">
                  <c:v>4.2225915799250879</c:v>
                </c:pt>
                <c:pt idx="1">
                  <c:v>4.1805102391286244</c:v>
                </c:pt>
                <c:pt idx="2">
                  <c:v>4.313166043006035</c:v>
                </c:pt>
                <c:pt idx="3">
                  <c:v>4.4362581310463485</c:v>
                </c:pt>
                <c:pt idx="4">
                  <c:v>4.3102524772471345</c:v>
                </c:pt>
                <c:pt idx="5">
                  <c:v>5.0083582853558362</c:v>
                </c:pt>
                <c:pt idx="6">
                  <c:v>4.7343278610624102</c:v>
                </c:pt>
                <c:pt idx="7">
                  <c:v>4.42</c:v>
                </c:pt>
                <c:pt idx="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0A-4341-8680-1BBEF47FC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455439"/>
        <c:axId val="1284457935"/>
      </c:barChart>
      <c:lineChart>
        <c:grouping val="standard"/>
        <c:varyColors val="0"/>
        <c:ser>
          <c:idx val="1"/>
          <c:order val="2"/>
          <c:tx>
            <c:strRef>
              <c:f>'Figure 4'!$D$1</c:f>
              <c:strCache>
                <c:ptCount val="1"/>
                <c:pt idx="0">
                  <c:v>Imports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'Figure 4'!$A$2:$A$10</c:f>
              <c:strCache>
                <c:ptCount val="9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2024/25*</c:v>
                </c:pt>
                <c:pt idx="8">
                  <c:v>2025/26*</c:v>
                </c:pt>
              </c:strCache>
            </c:strRef>
          </c:cat>
          <c:val>
            <c:numRef>
              <c:f>'Figure 4'!$D$2:$D$10</c:f>
              <c:numCache>
                <c:formatCode>_(* #,##0.0_);_(* \(#,##0.0\);_(* "-"??_);_(@_)</c:formatCode>
                <c:ptCount val="9"/>
                <c:pt idx="0">
                  <c:v>4.0830528045409915</c:v>
                </c:pt>
                <c:pt idx="1">
                  <c:v>3.9114110286118433</c:v>
                </c:pt>
                <c:pt idx="2">
                  <c:v>4.0290047173135957</c:v>
                </c:pt>
                <c:pt idx="3">
                  <c:v>4.1171210583501132</c:v>
                </c:pt>
                <c:pt idx="4">
                  <c:v>4.4185811554089138</c:v>
                </c:pt>
                <c:pt idx="5">
                  <c:v>6.2708693658464698</c:v>
                </c:pt>
                <c:pt idx="6">
                  <c:v>7.2636596537923719</c:v>
                </c:pt>
                <c:pt idx="7">
                  <c:v>5.9216163573199996</c:v>
                </c:pt>
                <c:pt idx="8">
                  <c:v>6.3934055979999993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70A-4341-8680-1BBEF47FC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48474365985292"/>
              <c:y val="0.785570367084396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952045468000709E-4"/>
              <c:y val="0.115605100992810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132810289184016"/>
          <c:y val="0.13517342590240738"/>
          <c:w val="0.72124021103900227"/>
          <c:h val="5.7166765444641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5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Global rapeseed production and crush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13586764151958E-2"/>
          <c:y val="0.19983693490304344"/>
          <c:w val="0.85076677432482173"/>
          <c:h val="0.51003574787343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5'!$B$1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5'!$A$2:$A$11</c:f>
              <c:strCache>
                <c:ptCount val="10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  <c:pt idx="6">
                  <c:v>2023/24</c:v>
                </c:pt>
                <c:pt idx="7">
                  <c:v>2024/25</c:v>
                </c:pt>
                <c:pt idx="8">
                  <c:v>2025/26 June*</c:v>
                </c:pt>
                <c:pt idx="9">
                  <c:v>2025/26 July*</c:v>
                </c:pt>
              </c:strCache>
            </c:strRef>
          </c:cat>
          <c:val>
            <c:numRef>
              <c:f>'Figure 5'!$B$2:$B$11</c:f>
              <c:numCache>
                <c:formatCode>#,##0.0</c:formatCode>
                <c:ptCount val="10"/>
                <c:pt idx="0">
                  <c:v>75.804000000000002</c:v>
                </c:pt>
                <c:pt idx="1">
                  <c:v>73.69</c:v>
                </c:pt>
                <c:pt idx="2">
                  <c:v>70.941000000000003</c:v>
                </c:pt>
                <c:pt idx="3">
                  <c:v>75.438999999999993</c:v>
                </c:pt>
                <c:pt idx="4">
                  <c:v>76.647999999999996</c:v>
                </c:pt>
                <c:pt idx="5">
                  <c:v>89.858000000000004</c:v>
                </c:pt>
                <c:pt idx="6">
                  <c:v>89.99</c:v>
                </c:pt>
                <c:pt idx="7">
                  <c:v>85.649000000000001</c:v>
                </c:pt>
                <c:pt idx="8">
                  <c:v>89.772999999999996</c:v>
                </c:pt>
                <c:pt idx="9">
                  <c:v>89.536000000000001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B-48C0-B51E-7108DBE39246}"/>
            </c:ext>
          </c:extLst>
        </c:ser>
        <c:ser>
          <c:idx val="0"/>
          <c:order val="1"/>
          <c:tx>
            <c:strRef>
              <c:f>'Figure 5'!$C$1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'Figure 5'!$C$2:$C$11</c:f>
              <c:numCache>
                <c:formatCode>#,##0.0</c:formatCode>
                <c:ptCount val="10"/>
                <c:pt idx="0">
                  <c:v>68.915000000000006</c:v>
                </c:pt>
                <c:pt idx="1">
                  <c:v>68.728999999999999</c:v>
                </c:pt>
                <c:pt idx="2">
                  <c:v>69.090999999999994</c:v>
                </c:pt>
                <c:pt idx="3">
                  <c:v>72.106999999999999</c:v>
                </c:pt>
                <c:pt idx="4">
                  <c:v>72.061999999999998</c:v>
                </c:pt>
                <c:pt idx="5">
                  <c:v>82.106999999999999</c:v>
                </c:pt>
                <c:pt idx="6">
                  <c:v>84.498999999999995</c:v>
                </c:pt>
                <c:pt idx="7">
                  <c:v>84.203000000000003</c:v>
                </c:pt>
                <c:pt idx="8">
                  <c:v>85.153000000000006</c:v>
                </c:pt>
                <c:pt idx="9">
                  <c:v>84.807000000000002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B-48C0-B51E-7108DBE3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844363672775208"/>
              <c:y val="0.85098510504194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metric tons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6811545789985799E-3"/>
              <c:y val="0.11926776131906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908526284452916"/>
          <c:y val="0.13446338200347691"/>
          <c:w val="0.31057892680873594"/>
          <c:h val="5.5125115252772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178328</xdr:colOff>
      <xdr:row>0</xdr:row>
      <xdr:rowOff>160868</xdr:rowOff>
    </xdr:from>
    <xdr:to>
      <xdr:col>17</xdr:col>
      <xdr:colOff>74612</xdr:colOff>
      <xdr:row>20</xdr:row>
      <xdr:rowOff>146898</xdr:rowOff>
    </xdr:to>
    <xdr:graphicFrame macro="">
      <xdr:nvGraphicFramePr>
        <xdr:cNvPr id="79" name="Chart 4">
          <a:extLst>
            <a:ext uri="{FF2B5EF4-FFF2-40B4-BE49-F238E27FC236}">
              <a16:creationId xmlns:a16="http://schemas.microsoft.com/office/drawing/2014/main" id="{C9F99D21-5A21-452C-A911-1B39F1596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0.87625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363382"/>
          <a:ext cx="5949951" cy="47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Foreign Agricultural Service,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 and Distribution,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July 2025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0.87625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363382"/>
          <a:ext cx="5949951" cy="47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July 2025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466726</xdr:colOff>
      <xdr:row>0</xdr:row>
      <xdr:rowOff>142875</xdr:rowOff>
    </xdr:from>
    <xdr:to>
      <xdr:col>19</xdr:col>
      <xdr:colOff>180976</xdr:colOff>
      <xdr:row>24</xdr:row>
      <xdr:rowOff>38099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8B6DFB0-25B5-4226-A94D-D562133D4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0.81776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33750"/>
          <a:ext cx="5810250" cy="742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maximum daily rate from October through May. Estimated utilizing the monthly crush max in each marketing year. North and East region = Indiana, Kentucky, Maryland, Ohio, Pennsylvania, and Virginia. North Central region = Michigan, Minnesota, North Dakota, and South Dakota. South, West, and Pacific region = Alabama, Arkansas, California, Georgia, Louisiana, Mississippi, North Carolina, and South Carolina. West Central region = Kansas, Missouri, and Nebraska.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estimates using USDA, National Agricultural Statistics Service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Fats and Oils: Oilseed Crushings, Production, Consumption, and Stocks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152399</xdr:rowOff>
    </xdr:from>
    <xdr:to>
      <xdr:col>14</xdr:col>
      <xdr:colOff>457200</xdr:colOff>
      <xdr:row>19</xdr:row>
      <xdr:rowOff>123824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51C435D0-5EC4-AB66-CB3D-186764238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0.84507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57501"/>
          <a:ext cx="5095875" cy="523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 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using data from U.S. Department of Energy, Energy Information Administration (EIA) Monthly Biofuels Capacity and Feedstocks Update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USDA, World Agricultural Outlook Board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World Agricultural Supply and Demand Estimates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July 2025.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</xdr:colOff>
      <xdr:row>0</xdr:row>
      <xdr:rowOff>146050</xdr:rowOff>
    </xdr:from>
    <xdr:to>
      <xdr:col>13</xdr:col>
      <xdr:colOff>584200</xdr:colOff>
      <xdr:row>15</xdr:row>
      <xdr:rowOff>101600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585053F5-BD67-4A99-F0F0-68D24D466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0.83849</cdr:y>
    </cdr:from>
    <cdr:to>
      <cdr:x>1</cdr:x>
      <cdr:y>0.9901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2838450"/>
          <a:ext cx="5855971" cy="51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 </a:t>
          </a: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 (ERS)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July 2025.</a:t>
          </a:r>
          <a:endParaRPr lang="en-US" sz="10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178328</xdr:colOff>
      <xdr:row>0</xdr:row>
      <xdr:rowOff>160868</xdr:rowOff>
    </xdr:from>
    <xdr:to>
      <xdr:col>18</xdr:col>
      <xdr:colOff>42334</xdr:colOff>
      <xdr:row>20</xdr:row>
      <xdr:rowOff>25400</xdr:rowOff>
    </xdr:to>
    <xdr:graphicFrame macro="">
      <xdr:nvGraphicFramePr>
        <xdr:cNvPr id="189" name="Chart 4">
          <a:extLst>
            <a:ext uri="{FF2B5EF4-FFF2-40B4-BE49-F238E27FC236}">
              <a16:creationId xmlns:a16="http://schemas.microsoft.com/office/drawing/2014/main" id="{BCFF1B42-518A-41AB-AE36-DC2DE84FB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546875" defaultRowHeight="13.8"/>
  <cols>
    <col min="1" max="1" width="166.6640625" style="12" customWidth="1"/>
    <col min="2" max="16384" width="9.5546875" style="1"/>
  </cols>
  <sheetData>
    <row r="1" spans="1:3">
      <c r="B1" s="79"/>
      <c r="C1" s="79"/>
    </row>
    <row r="2" spans="1:3" s="2" customFormat="1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79"/>
    </row>
    <row r="5" spans="1:3">
      <c r="A5" s="10" t="s">
        <v>2</v>
      </c>
      <c r="B5" s="4"/>
      <c r="C5" s="79"/>
    </row>
    <row r="6" spans="1:3">
      <c r="A6" s="10" t="s">
        <v>3</v>
      </c>
      <c r="B6" s="4"/>
      <c r="C6" s="79"/>
    </row>
    <row r="7" spans="1:3">
      <c r="A7" s="10" t="s">
        <v>4</v>
      </c>
      <c r="B7" s="4"/>
      <c r="C7" s="79"/>
    </row>
    <row r="8" spans="1:3">
      <c r="A8" s="10" t="s">
        <v>5</v>
      </c>
      <c r="B8" s="4"/>
      <c r="C8" s="79"/>
    </row>
    <row r="9" spans="1:3">
      <c r="A9" s="10" t="s">
        <v>6</v>
      </c>
      <c r="B9" s="4"/>
      <c r="C9" s="79"/>
    </row>
    <row r="10" spans="1:3">
      <c r="A10" s="10" t="s">
        <v>7</v>
      </c>
      <c r="B10" s="4"/>
      <c r="C10" s="79"/>
    </row>
    <row r="11" spans="1:3">
      <c r="A11" s="10" t="s">
        <v>8</v>
      </c>
      <c r="B11" s="4"/>
      <c r="C11" s="79"/>
    </row>
    <row r="12" spans="1:3">
      <c r="A12" s="10" t="s">
        <v>9</v>
      </c>
      <c r="B12" s="4"/>
      <c r="C12" s="79"/>
    </row>
    <row r="13" spans="1:3">
      <c r="A13" s="10" t="s">
        <v>10</v>
      </c>
      <c r="B13" s="4"/>
      <c r="C13" s="79"/>
    </row>
    <row r="14" spans="1:3">
      <c r="A14" s="11" t="s">
        <v>11</v>
      </c>
      <c r="B14" s="4"/>
      <c r="C14" s="79"/>
    </row>
    <row r="15" spans="1:3">
      <c r="A15" s="11" t="s">
        <v>12</v>
      </c>
      <c r="B15" s="79"/>
      <c r="C15" s="79"/>
    </row>
    <row r="16" spans="1:3" ht="13.2">
      <c r="A16" s="79"/>
      <c r="B16" s="79"/>
      <c r="C16" s="79"/>
    </row>
    <row r="17" spans="1:3">
      <c r="A17" s="7" t="s">
        <v>13</v>
      </c>
      <c r="B17" s="79"/>
      <c r="C17" s="79"/>
    </row>
    <row r="18" spans="1:3">
      <c r="A18" s="9">
        <v>45853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7AE1-7F3A-43A1-B377-5DCB10AEADCF}">
  <sheetPr codeName="Sheet11"/>
  <dimension ref="A1:I11"/>
  <sheetViews>
    <sheetView workbookViewId="0"/>
  </sheetViews>
  <sheetFormatPr defaultRowHeight="13.2"/>
  <cols>
    <col min="1" max="1" width="15.33203125" customWidth="1"/>
    <col min="2" max="2" width="11.33203125" bestFit="1" customWidth="1"/>
    <col min="3" max="4" width="12.88671875" bestFit="1" customWidth="1"/>
    <col min="5" max="5" width="10.33203125" bestFit="1" customWidth="1"/>
    <col min="6" max="6" width="25.88671875" bestFit="1" customWidth="1"/>
    <col min="7" max="7" width="14.109375" bestFit="1" customWidth="1"/>
    <col min="9" max="9" width="19.88671875" customWidth="1"/>
  </cols>
  <sheetData>
    <row r="1" spans="1:9" ht="36" customHeight="1">
      <c r="A1" s="162" t="s">
        <v>154</v>
      </c>
      <c r="B1" s="163" t="s">
        <v>157</v>
      </c>
      <c r="C1" s="163" t="s">
        <v>158</v>
      </c>
      <c r="D1" s="162" t="s">
        <v>159</v>
      </c>
      <c r="E1" s="162" t="s">
        <v>160</v>
      </c>
      <c r="F1" s="163" t="s">
        <v>161</v>
      </c>
      <c r="G1" s="162" t="s">
        <v>162</v>
      </c>
      <c r="H1" s="162"/>
      <c r="I1" s="162" t="s">
        <v>181</v>
      </c>
    </row>
    <row r="2" spans="1:9">
      <c r="A2" t="s">
        <v>117</v>
      </c>
      <c r="B2" s="190">
        <v>777242.22222222225</v>
      </c>
      <c r="C2" s="190">
        <v>1299710.752688172</v>
      </c>
      <c r="D2" s="190">
        <v>1455304.301075269</v>
      </c>
      <c r="E2" s="190">
        <v>1034093.3333333334</v>
      </c>
      <c r="F2" s="190">
        <v>819247.77777777775</v>
      </c>
      <c r="G2" s="190">
        <v>1054226.88172043</v>
      </c>
      <c r="H2" s="190"/>
      <c r="I2" s="190"/>
    </row>
    <row r="3" spans="1:9">
      <c r="A3" t="s">
        <v>118</v>
      </c>
      <c r="B3" s="190">
        <v>743000</v>
      </c>
      <c r="C3" s="190">
        <v>1327880</v>
      </c>
      <c r="D3" s="190">
        <v>1476949.4623655914</v>
      </c>
      <c r="E3" s="190">
        <v>1081785.5555555555</v>
      </c>
      <c r="F3" s="190">
        <v>765061.29032258061</v>
      </c>
      <c r="G3" s="190">
        <v>1092673.1182795698</v>
      </c>
      <c r="H3" s="190"/>
      <c r="I3" s="190"/>
    </row>
    <row r="4" spans="1:9">
      <c r="A4" t="s">
        <v>119</v>
      </c>
      <c r="B4" s="190">
        <v>769946.2365591398</v>
      </c>
      <c r="C4" s="190">
        <v>1352178.8888888888</v>
      </c>
      <c r="D4" s="190">
        <v>1484967.7777777778</v>
      </c>
      <c r="E4" s="190">
        <v>1078018.888888889</v>
      </c>
      <c r="F4" s="190">
        <v>765061.29032258061</v>
      </c>
      <c r="G4" s="190">
        <v>1072101.0752688171</v>
      </c>
      <c r="H4" s="190"/>
      <c r="I4" s="190"/>
    </row>
    <row r="5" spans="1:9">
      <c r="A5" t="s">
        <v>35</v>
      </c>
      <c r="B5" s="190">
        <v>743713.97849462356</v>
      </c>
      <c r="C5" s="190">
        <v>1524340</v>
      </c>
      <c r="D5" s="190">
        <v>1519616.6666666667</v>
      </c>
      <c r="E5" s="190">
        <v>1188662.2222222222</v>
      </c>
      <c r="F5" s="190">
        <v>783555.55555555562</v>
      </c>
      <c r="G5" s="190">
        <v>1054534.4827586208</v>
      </c>
      <c r="H5" s="190"/>
      <c r="I5" s="190"/>
    </row>
    <row r="6" spans="1:9">
      <c r="A6" t="s">
        <v>163</v>
      </c>
      <c r="B6" s="190">
        <v>742488.88888888888</v>
      </c>
      <c r="C6" s="190">
        <v>1537829.7619047619</v>
      </c>
      <c r="D6" s="190">
        <v>1576995.698924731</v>
      </c>
      <c r="E6" s="190">
        <v>1315586.0215053763</v>
      </c>
      <c r="F6" s="190">
        <v>747163.33333333337</v>
      </c>
      <c r="G6" s="190">
        <v>1293765.5913978496</v>
      </c>
      <c r="H6" s="190"/>
      <c r="I6" s="190"/>
    </row>
    <row r="7" spans="1:9">
      <c r="A7" t="s">
        <v>164</v>
      </c>
      <c r="B7" s="190"/>
      <c r="C7" s="190"/>
      <c r="D7" s="190"/>
      <c r="E7" s="190"/>
      <c r="F7" s="190"/>
      <c r="G7" s="190"/>
      <c r="H7" s="190"/>
      <c r="I7" s="190">
        <v>6439825.268817205</v>
      </c>
    </row>
    <row r="8" spans="1:9">
      <c r="A8" t="s">
        <v>165</v>
      </c>
      <c r="B8" s="190"/>
      <c r="C8" s="190"/>
      <c r="D8" s="190"/>
      <c r="E8" s="190"/>
      <c r="F8" s="190"/>
      <c r="G8" s="190"/>
      <c r="H8" s="190"/>
      <c r="I8" s="190">
        <v>6487349.4265232971</v>
      </c>
    </row>
    <row r="9" spans="1:9">
      <c r="A9" t="s">
        <v>166</v>
      </c>
      <c r="B9" s="190"/>
      <c r="C9" s="190"/>
      <c r="D9" s="190"/>
      <c r="E9" s="190"/>
      <c r="F9" s="190"/>
      <c r="G9" s="190"/>
      <c r="H9" s="190"/>
      <c r="I9" s="190">
        <v>6522274.157706093</v>
      </c>
    </row>
    <row r="10" spans="1:9">
      <c r="A10" t="s">
        <v>167</v>
      </c>
      <c r="B10" s="190"/>
      <c r="C10" s="190"/>
      <c r="D10" s="190"/>
      <c r="E10" s="190"/>
      <c r="F10" s="190"/>
      <c r="G10" s="190"/>
      <c r="H10" s="190"/>
      <c r="I10" s="190">
        <v>6814422.9056976894</v>
      </c>
    </row>
    <row r="11" spans="1:9">
      <c r="A11" t="s">
        <v>168</v>
      </c>
      <c r="B11" s="190"/>
      <c r="C11" s="190"/>
      <c r="D11" s="190"/>
      <c r="E11" s="190"/>
      <c r="F11" s="190"/>
      <c r="G11" s="190"/>
      <c r="H11" s="190"/>
      <c r="I11" s="190">
        <v>7213829.2959549399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9409-BB37-41FB-8967-43DD8520467D}">
  <sheetPr codeName="Sheet12"/>
  <dimension ref="A1:Q10"/>
  <sheetViews>
    <sheetView workbookViewId="0"/>
  </sheetViews>
  <sheetFormatPr defaultRowHeight="13.2"/>
  <cols>
    <col min="1" max="1" width="18.109375" customWidth="1"/>
    <col min="2" max="2" width="12.109375" bestFit="1" customWidth="1"/>
    <col min="3" max="3" width="11.88671875" bestFit="1" customWidth="1"/>
    <col min="4" max="4" width="10.33203125" bestFit="1" customWidth="1"/>
  </cols>
  <sheetData>
    <row r="1" spans="1:17" ht="13.8">
      <c r="A1" s="162" t="s">
        <v>154</v>
      </c>
      <c r="B1" s="163" t="s">
        <v>169</v>
      </c>
      <c r="C1" s="163" t="s">
        <v>170</v>
      </c>
      <c r="D1" s="162" t="s">
        <v>29</v>
      </c>
    </row>
    <row r="2" spans="1:17" ht="15.6">
      <c r="A2" s="192" t="s">
        <v>115</v>
      </c>
      <c r="B2" s="192">
        <v>4601.6599999999989</v>
      </c>
      <c r="C2" s="192">
        <f t="shared" ref="C2:C9" si="0">D2-B2</f>
        <v>4061.6400000000003</v>
      </c>
      <c r="D2" s="193">
        <f>7863.3+800</f>
        <v>8663.2999999999993</v>
      </c>
      <c r="P2" s="122"/>
      <c r="Q2" s="161"/>
    </row>
    <row r="3" spans="1:17" ht="15.6">
      <c r="A3" s="192" t="s">
        <v>116</v>
      </c>
      <c r="B3" s="192">
        <v>4048.7099999999987</v>
      </c>
      <c r="C3" s="192">
        <f t="shared" si="0"/>
        <v>4609.1100000000006</v>
      </c>
      <c r="D3" s="193">
        <f>7857.82+800</f>
        <v>8657.82</v>
      </c>
      <c r="P3" s="122"/>
      <c r="Q3" s="161"/>
    </row>
    <row r="4" spans="1:17" ht="15.6">
      <c r="A4" s="192" t="s">
        <v>117</v>
      </c>
      <c r="B4" s="192">
        <v>4834.0249999999978</v>
      </c>
      <c r="C4" s="192">
        <f t="shared" si="0"/>
        <v>4085.9750000000022</v>
      </c>
      <c r="D4" s="192">
        <f>7300+1550+70</f>
        <v>8920</v>
      </c>
      <c r="P4" s="122"/>
      <c r="Q4" s="161"/>
    </row>
    <row r="5" spans="1:17" ht="15.6">
      <c r="A5" s="192" t="s">
        <v>118</v>
      </c>
      <c r="B5" s="192">
        <v>5899.5207127999965</v>
      </c>
      <c r="C5" s="192">
        <f t="shared" si="0"/>
        <v>4479.2292872000035</v>
      </c>
      <c r="D5" s="192">
        <f>10378.75</f>
        <v>10378.75</v>
      </c>
      <c r="P5" s="122"/>
      <c r="Q5" s="161"/>
    </row>
    <row r="6" spans="1:17" ht="15.6">
      <c r="A6" s="192" t="s">
        <v>119</v>
      </c>
      <c r="B6" s="192">
        <v>6489.6589999999987</v>
      </c>
      <c r="C6" s="192">
        <f t="shared" si="0"/>
        <v>6020.6710000000012</v>
      </c>
      <c r="D6" s="192">
        <f>12510.33</f>
        <v>12510.33</v>
      </c>
      <c r="P6" s="122"/>
      <c r="Q6" s="161"/>
    </row>
    <row r="7" spans="1:17" ht="15.6">
      <c r="A7" s="192" t="s">
        <v>35</v>
      </c>
      <c r="B7" s="192">
        <v>7213.6298217980975</v>
      </c>
      <c r="C7" s="192">
        <f t="shared" si="0"/>
        <v>5775.4122782019031</v>
      </c>
      <c r="D7" s="192">
        <f>12989.0421</f>
        <v>12989.042100000001</v>
      </c>
      <c r="P7" s="122"/>
      <c r="Q7" s="161"/>
    </row>
    <row r="8" spans="1:17" ht="15.6">
      <c r="A8" s="192" t="s">
        <v>163</v>
      </c>
      <c r="B8" s="192">
        <v>5577.8338627831999</v>
      </c>
      <c r="C8" s="192">
        <f t="shared" si="0"/>
        <v>6672.1661372168001</v>
      </c>
      <c r="D8" s="192">
        <f>13300+300+400-400-150-200-150-200-650</f>
        <v>12250</v>
      </c>
      <c r="P8" s="122"/>
      <c r="Q8" s="161"/>
    </row>
    <row r="9" spans="1:17" ht="15.6">
      <c r="A9" s="192" t="s">
        <v>156</v>
      </c>
      <c r="B9" s="192"/>
      <c r="C9" s="192">
        <f t="shared" si="0"/>
        <v>15500</v>
      </c>
      <c r="D9" s="193">
        <f>15500</f>
        <v>15500</v>
      </c>
      <c r="E9" s="122"/>
      <c r="P9" s="122"/>
      <c r="Q9" s="161"/>
    </row>
    <row r="10" spans="1:17">
      <c r="Q10" s="12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7C48-3666-4CC2-87EB-3635A4BD2AEE}">
  <sheetPr codeName="Sheet9"/>
  <dimension ref="A1:AF21"/>
  <sheetViews>
    <sheetView workbookViewId="0"/>
  </sheetViews>
  <sheetFormatPr defaultRowHeight="13.2"/>
  <cols>
    <col min="1" max="1" width="17.33203125" customWidth="1"/>
    <col min="2" max="2" width="24.44140625" customWidth="1"/>
    <col min="3" max="3" width="12.6640625" customWidth="1"/>
    <col min="4" max="4" width="14.6640625" customWidth="1"/>
  </cols>
  <sheetData>
    <row r="1" spans="1:32">
      <c r="A1" s="173" t="s">
        <v>154</v>
      </c>
      <c r="B1" s="174" t="s">
        <v>171</v>
      </c>
      <c r="C1" s="174" t="s">
        <v>172</v>
      </c>
      <c r="D1" s="174" t="s">
        <v>28</v>
      </c>
    </row>
    <row r="2" spans="1:32" ht="13.8">
      <c r="A2" s="15" t="s">
        <v>114</v>
      </c>
      <c r="B2" s="191">
        <v>4.2225915799250879</v>
      </c>
      <c r="C2" s="191">
        <v>1.3843699999999999</v>
      </c>
      <c r="D2" s="191">
        <v>4.0830528045409915</v>
      </c>
    </row>
    <row r="3" spans="1:32" ht="15.6">
      <c r="A3" s="15" t="s">
        <v>115</v>
      </c>
      <c r="B3" s="191">
        <v>4.1805102391286244</v>
      </c>
      <c r="C3" s="191">
        <v>1.1000000000000001</v>
      </c>
      <c r="D3" s="191">
        <v>3.9114110286118433</v>
      </c>
      <c r="Q3" s="160"/>
      <c r="R3" s="161"/>
      <c r="Y3" s="161"/>
      <c r="Z3" s="161"/>
      <c r="AA3" s="161"/>
      <c r="AB3" s="161"/>
      <c r="AC3" s="161"/>
      <c r="AD3" s="161"/>
      <c r="AE3" s="161"/>
      <c r="AF3" s="175"/>
    </row>
    <row r="4" spans="1:32" ht="15.6">
      <c r="A4" s="15" t="s">
        <v>116</v>
      </c>
      <c r="B4" s="191">
        <v>4.313166043006035</v>
      </c>
      <c r="C4" s="191">
        <v>1.3175999999999999</v>
      </c>
      <c r="D4" s="191">
        <v>4.0290047173135957</v>
      </c>
      <c r="Q4" s="160"/>
      <c r="R4" s="161"/>
      <c r="Z4" s="161"/>
      <c r="AA4" s="161"/>
      <c r="AB4" s="161"/>
    </row>
    <row r="5" spans="1:32" ht="15.6">
      <c r="A5" s="15" t="s">
        <v>117</v>
      </c>
      <c r="B5" s="191">
        <v>4.4362581310463485</v>
      </c>
      <c r="C5" s="191">
        <v>1.1499999999999999</v>
      </c>
      <c r="D5" s="191">
        <v>4.1171210583501132</v>
      </c>
      <c r="Q5" s="160"/>
      <c r="R5" s="161"/>
      <c r="Z5" s="161"/>
      <c r="AA5" s="161"/>
      <c r="AB5" s="161"/>
    </row>
    <row r="6" spans="1:32" ht="15.6">
      <c r="A6" s="15" t="s">
        <v>118</v>
      </c>
      <c r="B6" s="191">
        <v>4.3102524772471345</v>
      </c>
      <c r="C6" s="191">
        <v>1.335</v>
      </c>
      <c r="D6" s="191">
        <v>4.4185811554089138</v>
      </c>
      <c r="Q6" s="161"/>
      <c r="R6" s="161"/>
      <c r="Z6" s="161"/>
      <c r="AA6" s="161"/>
      <c r="AB6" s="161"/>
    </row>
    <row r="7" spans="1:32" ht="15.6">
      <c r="A7" s="15" t="s">
        <v>119</v>
      </c>
      <c r="B7" s="191">
        <v>5.0083582853558362</v>
      </c>
      <c r="C7" s="191">
        <v>2.9143020000000002</v>
      </c>
      <c r="D7" s="191">
        <v>6.2708693658464698</v>
      </c>
      <c r="Q7" s="161"/>
      <c r="R7" s="161"/>
      <c r="Z7" s="161"/>
      <c r="AA7" s="161"/>
      <c r="AB7" s="161"/>
    </row>
    <row r="8" spans="1:32" ht="15.6">
      <c r="A8" s="15" t="s">
        <v>35</v>
      </c>
      <c r="B8" s="191">
        <v>4.7343278610624102</v>
      </c>
      <c r="C8" s="191">
        <v>4.3368987146988012</v>
      </c>
      <c r="D8" s="191">
        <v>7.2636596537923719</v>
      </c>
      <c r="Q8" s="161"/>
      <c r="R8" s="161"/>
      <c r="Z8" s="161"/>
      <c r="AA8" s="161"/>
      <c r="AB8" s="161"/>
    </row>
    <row r="9" spans="1:32" ht="15.6">
      <c r="A9" s="15" t="s">
        <v>163</v>
      </c>
      <c r="B9" s="191">
        <v>4.42</v>
      </c>
      <c r="C9" s="191">
        <v>3.15</v>
      </c>
      <c r="D9" s="191">
        <v>5.9216163573199996</v>
      </c>
      <c r="Q9" s="161"/>
      <c r="R9" s="161"/>
      <c r="Z9" s="161"/>
      <c r="AA9" s="161"/>
      <c r="AB9" s="161"/>
    </row>
    <row r="10" spans="1:32" ht="15.6">
      <c r="A10" s="15" t="s">
        <v>156</v>
      </c>
      <c r="B10" s="191">
        <v>4.7</v>
      </c>
      <c r="C10" s="191">
        <v>3.5</v>
      </c>
      <c r="D10" s="119">
        <v>6.3934055979999993</v>
      </c>
      <c r="Q10" s="161"/>
      <c r="R10" s="161"/>
      <c r="Z10" s="161"/>
      <c r="AA10" s="161"/>
      <c r="AB10" s="161"/>
    </row>
    <row r="11" spans="1:32" ht="15.6">
      <c r="Q11" s="160"/>
      <c r="R11" s="160"/>
      <c r="Z11" s="161"/>
      <c r="AA11" s="161"/>
      <c r="AB11" s="161"/>
    </row>
    <row r="13" spans="1:32" ht="15.6">
      <c r="B13" s="160"/>
      <c r="C13" s="161"/>
    </row>
    <row r="14" spans="1:32" ht="15.6">
      <c r="B14" s="160"/>
      <c r="C14" s="161"/>
    </row>
    <row r="15" spans="1:32" ht="15.6">
      <c r="B15" s="160"/>
      <c r="C15" s="161"/>
    </row>
    <row r="16" spans="1:32" ht="15.6">
      <c r="B16" s="161"/>
      <c r="C16" s="161"/>
    </row>
    <row r="17" spans="2:3" ht="15.6">
      <c r="B17" s="161"/>
      <c r="C17" s="161"/>
    </row>
    <row r="18" spans="2:3" ht="15.6">
      <c r="B18" s="161"/>
      <c r="C18" s="161"/>
    </row>
    <row r="19" spans="2:3" ht="15.6">
      <c r="B19" s="161"/>
      <c r="C19" s="161"/>
    </row>
    <row r="20" spans="2:3" ht="15.6">
      <c r="B20" s="161"/>
      <c r="C20" s="161"/>
    </row>
    <row r="21" spans="2:3" ht="15.6">
      <c r="B21" s="160"/>
      <c r="C21" s="16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7893-5C10-4F4F-A4AD-DDA7055378F0}">
  <sheetPr codeName="Sheet13"/>
  <dimension ref="A1:H84"/>
  <sheetViews>
    <sheetView zoomScale="90" zoomScaleNormal="90" workbookViewId="0"/>
  </sheetViews>
  <sheetFormatPr defaultColWidth="9.109375" defaultRowHeight="13.8"/>
  <cols>
    <col min="1" max="1" width="16" style="165" customWidth="1"/>
    <col min="2" max="2" width="12.109375" style="165" bestFit="1" customWidth="1"/>
    <col min="3" max="3" width="10.44140625" style="165" customWidth="1"/>
    <col min="4" max="4" width="7.88671875" style="165" customWidth="1"/>
    <col min="5" max="5" width="9.33203125" style="165" bestFit="1" customWidth="1"/>
    <col min="6" max="8" width="7.88671875" style="165" customWidth="1"/>
    <col min="9" max="16384" width="9.109375" style="165"/>
  </cols>
  <sheetData>
    <row r="1" spans="1:8" ht="34.5" customHeight="1">
      <c r="A1" s="162" t="s">
        <v>154</v>
      </c>
      <c r="B1" s="178" t="s">
        <v>27</v>
      </c>
      <c r="C1" s="178" t="s">
        <v>22</v>
      </c>
      <c r="D1" s="164"/>
      <c r="E1" s="164"/>
      <c r="F1" s="164"/>
      <c r="G1" s="164"/>
      <c r="H1" s="164"/>
    </row>
    <row r="2" spans="1:8">
      <c r="A2" s="166" t="s">
        <v>114</v>
      </c>
      <c r="B2" s="171">
        <v>75.804000000000002</v>
      </c>
      <c r="C2" s="179">
        <v>68.915000000000006</v>
      </c>
      <c r="D2" s="168"/>
    </row>
    <row r="3" spans="1:8">
      <c r="A3" s="166" t="s">
        <v>115</v>
      </c>
      <c r="B3" s="171">
        <v>73.69</v>
      </c>
      <c r="C3" s="179">
        <v>68.728999999999999</v>
      </c>
      <c r="D3" s="168"/>
    </row>
    <row r="4" spans="1:8">
      <c r="A4" s="166" t="s">
        <v>116</v>
      </c>
      <c r="B4" s="171">
        <v>70.941000000000003</v>
      </c>
      <c r="C4" s="179">
        <v>69.090999999999994</v>
      </c>
      <c r="D4" s="168"/>
    </row>
    <row r="5" spans="1:8">
      <c r="A5" s="166" t="s">
        <v>117</v>
      </c>
      <c r="B5" s="171">
        <v>75.438999999999993</v>
      </c>
      <c r="C5" s="179">
        <v>72.106999999999999</v>
      </c>
      <c r="D5" s="168"/>
    </row>
    <row r="6" spans="1:8">
      <c r="A6" s="166" t="s">
        <v>118</v>
      </c>
      <c r="B6" s="171">
        <v>76.647999999999996</v>
      </c>
      <c r="C6" s="179">
        <v>72.061999999999998</v>
      </c>
      <c r="D6" s="168"/>
    </row>
    <row r="7" spans="1:8">
      <c r="A7" s="166" t="s">
        <v>119</v>
      </c>
      <c r="B7" s="171">
        <v>89.858000000000004</v>
      </c>
      <c r="C7" s="179">
        <v>82.106999999999999</v>
      </c>
      <c r="D7" s="168"/>
    </row>
    <row r="8" spans="1:8">
      <c r="A8" s="166" t="s">
        <v>35</v>
      </c>
      <c r="B8" s="172">
        <v>89.99</v>
      </c>
      <c r="C8" s="179">
        <v>84.498999999999995</v>
      </c>
    </row>
    <row r="9" spans="1:8">
      <c r="A9" s="166" t="s">
        <v>54</v>
      </c>
      <c r="B9" s="172">
        <v>85.649000000000001</v>
      </c>
      <c r="C9" s="179">
        <v>84.203000000000003</v>
      </c>
    </row>
    <row r="10" spans="1:8">
      <c r="A10" s="166" t="s">
        <v>173</v>
      </c>
      <c r="B10" s="172">
        <v>89.772999999999996</v>
      </c>
      <c r="C10" s="179">
        <v>85.153000000000006</v>
      </c>
    </row>
    <row r="11" spans="1:8">
      <c r="A11" s="166" t="s">
        <v>174</v>
      </c>
      <c r="B11" s="172">
        <v>89.536000000000001</v>
      </c>
      <c r="C11" s="179">
        <v>84.807000000000002</v>
      </c>
    </row>
    <row r="12" spans="1:8">
      <c r="A12" s="166"/>
      <c r="B12" s="169"/>
    </row>
    <row r="13" spans="1:8">
      <c r="A13" s="166"/>
      <c r="B13" s="169"/>
    </row>
    <row r="14" spans="1:8">
      <c r="A14" s="166"/>
      <c r="B14" s="169"/>
    </row>
    <row r="15" spans="1:8">
      <c r="A15" s="166"/>
      <c r="B15" s="169"/>
    </row>
    <row r="16" spans="1:8">
      <c r="A16" s="166"/>
      <c r="B16" s="169"/>
    </row>
    <row r="17" spans="1:2">
      <c r="A17" s="166"/>
      <c r="B17" s="169"/>
    </row>
    <row r="18" spans="1:2">
      <c r="A18" s="166"/>
      <c r="B18" s="169"/>
    </row>
    <row r="19" spans="1:2">
      <c r="A19" s="166"/>
      <c r="B19" s="169"/>
    </row>
    <row r="20" spans="1:2">
      <c r="A20" s="166"/>
      <c r="B20" s="169"/>
    </row>
    <row r="21" spans="1:2">
      <c r="A21" s="166"/>
      <c r="B21" s="169"/>
    </row>
    <row r="22" spans="1:2">
      <c r="A22" s="170"/>
      <c r="B22" s="170"/>
    </row>
    <row r="23" spans="1:2">
      <c r="A23" s="170"/>
      <c r="B23" s="170"/>
    </row>
    <row r="24" spans="1:2">
      <c r="A24" s="170"/>
      <c r="B24" s="170"/>
    </row>
    <row r="25" spans="1:2">
      <c r="A25" s="170"/>
      <c r="B25" s="170"/>
    </row>
    <row r="26" spans="1:2">
      <c r="A26" s="170"/>
      <c r="B26" s="170"/>
    </row>
    <row r="27" spans="1:2">
      <c r="A27" s="170"/>
      <c r="B27" s="170"/>
    </row>
    <row r="28" spans="1:2">
      <c r="A28" s="170"/>
      <c r="B28" s="170"/>
    </row>
    <row r="29" spans="1:2">
      <c r="A29" s="170"/>
      <c r="B29" s="170"/>
    </row>
    <row r="30" spans="1:2">
      <c r="A30" s="170"/>
      <c r="B30" s="170"/>
    </row>
    <row r="31" spans="1:2">
      <c r="A31" s="170"/>
      <c r="B31" s="170"/>
    </row>
    <row r="32" spans="1:2">
      <c r="A32" s="170"/>
      <c r="B32" s="170"/>
    </row>
    <row r="33" spans="1:2">
      <c r="A33" s="170"/>
      <c r="B33" s="170"/>
    </row>
    <row r="34" spans="1:2">
      <c r="A34" s="170"/>
      <c r="B34" s="170"/>
    </row>
    <row r="35" spans="1:2">
      <c r="A35" s="170"/>
      <c r="B35" s="170"/>
    </row>
    <row r="36" spans="1:2">
      <c r="A36" s="170"/>
      <c r="B36" s="170"/>
    </row>
    <row r="37" spans="1:2">
      <c r="A37" s="170"/>
      <c r="B37" s="170"/>
    </row>
    <row r="38" spans="1:2">
      <c r="A38" s="170"/>
      <c r="B38" s="170"/>
    </row>
    <row r="39" spans="1:2">
      <c r="A39" s="170"/>
      <c r="B39" s="170"/>
    </row>
    <row r="40" spans="1:2">
      <c r="A40" s="170"/>
      <c r="B40" s="170"/>
    </row>
    <row r="41" spans="1:2">
      <c r="A41" s="170"/>
      <c r="B41" s="170"/>
    </row>
    <row r="42" spans="1:2">
      <c r="A42" s="170"/>
      <c r="B42" s="170"/>
    </row>
    <row r="43" spans="1:2">
      <c r="A43" s="170"/>
      <c r="B43" s="170"/>
    </row>
    <row r="44" spans="1:2">
      <c r="A44" s="170"/>
      <c r="B44" s="170"/>
    </row>
    <row r="45" spans="1:2">
      <c r="A45" s="170"/>
      <c r="B45" s="170"/>
    </row>
    <row r="46" spans="1:2">
      <c r="A46" s="170"/>
      <c r="B46" s="170"/>
    </row>
    <row r="47" spans="1:2">
      <c r="A47" s="170"/>
      <c r="B47" s="170"/>
    </row>
    <row r="48" spans="1:2">
      <c r="A48" s="170"/>
      <c r="B48" s="170"/>
    </row>
    <row r="49" spans="1:2">
      <c r="A49" s="170"/>
      <c r="B49" s="170"/>
    </row>
    <row r="50" spans="1:2">
      <c r="A50" s="170"/>
      <c r="B50" s="170"/>
    </row>
    <row r="51" spans="1:2">
      <c r="A51" s="170"/>
      <c r="B51" s="170"/>
    </row>
    <row r="52" spans="1:2">
      <c r="A52" s="170"/>
      <c r="B52" s="170"/>
    </row>
    <row r="53" spans="1:2">
      <c r="A53" s="170"/>
      <c r="B53" s="170"/>
    </row>
    <row r="54" spans="1:2">
      <c r="A54" s="170"/>
      <c r="B54" s="170"/>
    </row>
    <row r="55" spans="1:2">
      <c r="A55" s="170"/>
      <c r="B55" s="170"/>
    </row>
    <row r="56" spans="1:2">
      <c r="A56" s="170"/>
      <c r="B56" s="170"/>
    </row>
    <row r="57" spans="1:2">
      <c r="A57" s="170"/>
      <c r="B57" s="170"/>
    </row>
    <row r="58" spans="1:2">
      <c r="A58" s="170"/>
      <c r="B58" s="170"/>
    </row>
    <row r="59" spans="1:2">
      <c r="A59" s="170"/>
      <c r="B59" s="170"/>
    </row>
    <row r="60" spans="1:2">
      <c r="A60" s="170"/>
      <c r="B60" s="170"/>
    </row>
    <row r="61" spans="1:2">
      <c r="A61" s="170"/>
      <c r="B61" s="170"/>
    </row>
    <row r="62" spans="1:2">
      <c r="A62" s="170"/>
      <c r="B62" s="170"/>
    </row>
    <row r="63" spans="1:2">
      <c r="A63" s="170"/>
      <c r="B63" s="170"/>
    </row>
    <row r="64" spans="1:2">
      <c r="A64" s="170"/>
      <c r="B64" s="170"/>
    </row>
    <row r="65" spans="1:2">
      <c r="A65" s="170"/>
      <c r="B65" s="170"/>
    </row>
    <row r="66" spans="1:2">
      <c r="A66" s="170"/>
      <c r="B66" s="170"/>
    </row>
    <row r="67" spans="1:2">
      <c r="A67" s="170"/>
      <c r="B67" s="170"/>
    </row>
    <row r="68" spans="1:2">
      <c r="A68" s="170"/>
      <c r="B68" s="170"/>
    </row>
    <row r="69" spans="1:2">
      <c r="A69" s="170"/>
      <c r="B69" s="170"/>
    </row>
    <row r="70" spans="1:2">
      <c r="A70" s="170"/>
      <c r="B70" s="170"/>
    </row>
    <row r="71" spans="1:2">
      <c r="A71" s="170"/>
      <c r="B71" s="170"/>
    </row>
    <row r="72" spans="1:2">
      <c r="A72" s="170"/>
      <c r="B72" s="170"/>
    </row>
    <row r="73" spans="1:2">
      <c r="A73" s="170"/>
      <c r="B73" s="170"/>
    </row>
    <row r="74" spans="1:2">
      <c r="A74" s="170"/>
      <c r="B74" s="170"/>
    </row>
    <row r="75" spans="1:2">
      <c r="A75" s="170"/>
      <c r="B75" s="170"/>
    </row>
    <row r="76" spans="1:2">
      <c r="A76" s="170"/>
      <c r="B76" s="170"/>
    </row>
    <row r="77" spans="1:2">
      <c r="A77" s="170"/>
      <c r="B77" s="170"/>
    </row>
    <row r="78" spans="1:2">
      <c r="A78" s="170"/>
      <c r="B78" s="170"/>
    </row>
    <row r="79" spans="1:2">
      <c r="A79" s="170"/>
      <c r="B79" s="170"/>
    </row>
    <row r="80" spans="1:2">
      <c r="A80" s="170"/>
      <c r="B80" s="170"/>
    </row>
    <row r="81" spans="1:2">
      <c r="A81" s="170"/>
      <c r="B81" s="170"/>
    </row>
    <row r="82" spans="1:2">
      <c r="A82" s="170"/>
      <c r="B82" s="170"/>
    </row>
    <row r="83" spans="1:2">
      <c r="A83" s="170"/>
      <c r="B83" s="170"/>
    </row>
    <row r="84" spans="1:2">
      <c r="A84" s="170"/>
      <c r="B84" s="17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7"/>
  <sheetViews>
    <sheetView showGridLines="0" zoomScale="70" zoomScaleNormal="70" workbookViewId="0"/>
  </sheetViews>
  <sheetFormatPr defaultColWidth="9.33203125" defaultRowHeight="13.2"/>
  <cols>
    <col min="1" max="1" width="21.5546875" customWidth="1"/>
    <col min="2" max="2" width="14.33203125" customWidth="1"/>
    <col min="3" max="3" width="9.5546875" customWidth="1"/>
    <col min="4" max="4" width="26.5546875" customWidth="1"/>
    <col min="5" max="5" width="9.5546875" customWidth="1"/>
    <col min="6" max="6" width="12.44140625" customWidth="1"/>
    <col min="7" max="7" width="19.6640625" customWidth="1"/>
    <col min="8" max="8" width="18.6640625" customWidth="1"/>
    <col min="9" max="9" width="1.5546875" customWidth="1"/>
    <col min="10" max="10" width="14.5546875" customWidth="1"/>
    <col min="11" max="11" width="10.5546875" customWidth="1"/>
    <col min="12" max="12" width="17.33203125" customWidth="1"/>
    <col min="13" max="13" width="14.109375" customWidth="1"/>
    <col min="14" max="14" width="9.5546875" customWidth="1"/>
    <col min="15" max="15" width="11.88671875" bestFit="1" customWidth="1"/>
    <col min="17" max="17" width="15.44140625" bestFit="1" customWidth="1"/>
    <col min="18" max="18" width="13.44140625" bestFit="1" customWidth="1"/>
    <col min="22" max="22" width="12.3320312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14</v>
      </c>
      <c r="C2" s="200"/>
      <c r="D2" s="17" t="s">
        <v>15</v>
      </c>
      <c r="E2" s="18"/>
      <c r="F2" s="200" t="s">
        <v>16</v>
      </c>
      <c r="G2" s="200"/>
      <c r="H2" s="200"/>
      <c r="I2" s="15"/>
      <c r="J2" s="18"/>
      <c r="K2" s="200"/>
      <c r="L2" s="19" t="s">
        <v>17</v>
      </c>
      <c r="M2" s="200"/>
      <c r="N2" s="15"/>
    </row>
    <row r="3" spans="1:23" ht="13.8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3.8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4">
      <c r="A5" s="15"/>
      <c r="B5" s="109" t="s">
        <v>32</v>
      </c>
      <c r="C5" s="201"/>
      <c r="D5" s="27" t="s">
        <v>33</v>
      </c>
      <c r="G5" s="109"/>
      <c r="I5" s="109"/>
      <c r="J5" s="109" t="s">
        <v>34</v>
      </c>
      <c r="K5" s="109"/>
      <c r="L5" s="109"/>
      <c r="M5" s="109"/>
      <c r="N5" s="109"/>
      <c r="W5" s="26"/>
    </row>
    <row r="6" spans="1:23" s="123" customFormat="1" ht="16.5" customHeight="1">
      <c r="A6" s="118" t="s">
        <v>35</v>
      </c>
      <c r="B6" s="180">
        <v>83.6</v>
      </c>
      <c r="C6" s="180">
        <v>82.271000000000001</v>
      </c>
      <c r="D6" s="180">
        <f>F6/C6</f>
        <v>50.589600223651104</v>
      </c>
      <c r="E6" s="181">
        <v>264.18400000000003</v>
      </c>
      <c r="F6" s="182">
        <v>4162.0569999999998</v>
      </c>
      <c r="G6" s="183">
        <f>G27</f>
        <v>20.830913094265998</v>
      </c>
      <c r="H6" s="183">
        <f>SUM(E6:G6)</f>
        <v>4447.0719130942662</v>
      </c>
      <c r="I6" s="118"/>
      <c r="J6" s="182">
        <f>J27</f>
        <v>2285.303146537427</v>
      </c>
      <c r="K6" s="182">
        <f>M6-L6-J6</f>
        <v>119.36164142305915</v>
      </c>
      <c r="L6" s="183">
        <f>L27</f>
        <v>1699.97412513378</v>
      </c>
      <c r="M6" s="183">
        <f>H6-N6</f>
        <v>4104.6389130942662</v>
      </c>
      <c r="N6" s="183">
        <f>N26</f>
        <v>342.43299999999999</v>
      </c>
    </row>
    <row r="7" spans="1:23" ht="16.5" customHeight="1">
      <c r="A7" s="15" t="s">
        <v>36</v>
      </c>
      <c r="B7" s="195">
        <v>87.05</v>
      </c>
      <c r="C7" s="195">
        <v>86.05</v>
      </c>
      <c r="D7" s="195">
        <f>F7/C7</f>
        <v>50.743660662405581</v>
      </c>
      <c r="E7" s="196">
        <f>N6</f>
        <v>342.43299999999999</v>
      </c>
      <c r="F7" s="197">
        <v>4366.4920000000002</v>
      </c>
      <c r="G7" s="112">
        <v>25</v>
      </c>
      <c r="H7" s="112">
        <f>SUM(E7:G7)</f>
        <v>4733.9250000000002</v>
      </c>
      <c r="I7" s="15"/>
      <c r="J7" s="197">
        <v>2420</v>
      </c>
      <c r="K7" s="198">
        <v>99</v>
      </c>
      <c r="L7" s="112">
        <v>1865</v>
      </c>
      <c r="M7" s="112">
        <f>SUM(J7:L7)</f>
        <v>4384</v>
      </c>
      <c r="N7" s="112">
        <f>H7-M7</f>
        <v>349.92500000000018</v>
      </c>
      <c r="P7" s="199"/>
    </row>
    <row r="8" spans="1:23" ht="16.5" customHeight="1">
      <c r="A8" s="15" t="s">
        <v>37</v>
      </c>
      <c r="B8" s="195">
        <v>83.38</v>
      </c>
      <c r="C8" s="195">
        <v>82.534999999999997</v>
      </c>
      <c r="D8" s="195">
        <v>52.5</v>
      </c>
      <c r="E8" s="196">
        <f>N7</f>
        <v>349.92500000000018</v>
      </c>
      <c r="F8" s="197">
        <v>4335</v>
      </c>
      <c r="G8" s="112">
        <v>20</v>
      </c>
      <c r="H8" s="112">
        <f>SUM(E8:G8)</f>
        <v>4704.9250000000002</v>
      </c>
      <c r="I8" s="15"/>
      <c r="J8" s="197">
        <v>2540</v>
      </c>
      <c r="K8" s="198">
        <v>110</v>
      </c>
      <c r="L8" s="112">
        <v>1745</v>
      </c>
      <c r="M8" s="112">
        <f>SUM(J8:L8)</f>
        <v>4395</v>
      </c>
      <c r="N8" s="112">
        <f>H8-M8</f>
        <v>309.92500000000018</v>
      </c>
      <c r="P8" s="199"/>
      <c r="Q8" s="199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35</v>
      </c>
      <c r="B10" s="80"/>
      <c r="C10" s="80"/>
      <c r="D10" s="80"/>
      <c r="E10" s="32"/>
      <c r="F10" s="32"/>
      <c r="G10" s="6"/>
      <c r="H10" s="13"/>
      <c r="I10" s="80"/>
      <c r="J10" s="13"/>
      <c r="K10" s="31"/>
      <c r="L10" s="6"/>
      <c r="M10" s="6"/>
      <c r="N10" s="13"/>
      <c r="R10" s="110"/>
      <c r="S10" s="111"/>
    </row>
    <row r="11" spans="1:23" ht="16.5" customHeight="1">
      <c r="A11" s="15" t="s">
        <v>38</v>
      </c>
      <c r="B11" s="80"/>
      <c r="C11" s="80"/>
      <c r="D11" s="80"/>
      <c r="E11" s="32"/>
      <c r="F11" s="32"/>
      <c r="G11" s="102">
        <f>(37479.5*36.74371)/1000000</f>
        <v>1.3771358789450001</v>
      </c>
      <c r="H11" s="13"/>
      <c r="I11" s="80"/>
      <c r="J11" s="6">
        <f>((5242931*0.907184741)*36.74371)/1000000</f>
        <v>174.76436512731999</v>
      </c>
      <c r="K11" s="31"/>
      <c r="L11" s="102">
        <f>(2498517*36.74371)/1000000</f>
        <v>91.80478407807</v>
      </c>
      <c r="M11" s="6"/>
      <c r="N11" s="13"/>
      <c r="Q11" s="83"/>
      <c r="R11" s="110"/>
      <c r="S11" s="111"/>
    </row>
    <row r="12" spans="1:23" ht="16.5" customHeight="1">
      <c r="A12" s="15" t="s">
        <v>39</v>
      </c>
      <c r="B12" s="80"/>
      <c r="C12" s="80"/>
      <c r="D12" s="80"/>
      <c r="E12" s="32"/>
      <c r="F12" s="32"/>
      <c r="G12" s="102">
        <f>(19292.3*36.74371)/1000000</f>
        <v>0.70887067643300006</v>
      </c>
      <c r="H12" s="13"/>
      <c r="I12" s="80"/>
      <c r="J12" s="6">
        <f>((6041685*0.907184741)*36.74371)/1000000</f>
        <v>201.38949822613577</v>
      </c>
      <c r="K12" s="31"/>
      <c r="L12" s="102">
        <f>(9421880*36.74371)/1000000</f>
        <v>346.19482637480002</v>
      </c>
      <c r="M12" s="6"/>
      <c r="N12" s="13"/>
      <c r="Q12" s="83"/>
      <c r="R12" s="110"/>
      <c r="S12" s="111"/>
    </row>
    <row r="13" spans="1:23" ht="16.5" customHeight="1">
      <c r="A13" s="15" t="s">
        <v>40</v>
      </c>
      <c r="B13" s="80"/>
      <c r="C13" s="80"/>
      <c r="D13" s="80"/>
      <c r="E13" s="32"/>
      <c r="F13" s="32"/>
      <c r="G13" s="102">
        <f>(46710.4*36.74371)/1000000</f>
        <v>1.7163133915840001</v>
      </c>
      <c r="H13" s="13"/>
      <c r="I13" s="80"/>
      <c r="J13" s="6">
        <f>((6002708*0.907184741)*36.74371)/1000000</f>
        <v>200.09026490424628</v>
      </c>
      <c r="K13" s="31"/>
      <c r="L13" s="102">
        <f>(7467116.3*36.74371)/1000000</f>
        <v>274.36955586347301</v>
      </c>
      <c r="M13" s="6"/>
      <c r="N13" s="103"/>
      <c r="Q13" s="83"/>
      <c r="R13" s="110"/>
      <c r="S13" s="111"/>
    </row>
    <row r="14" spans="1:23" ht="16.5" customHeight="1">
      <c r="A14" s="15" t="s">
        <v>41</v>
      </c>
      <c r="B14" s="80"/>
      <c r="C14" s="80"/>
      <c r="D14" s="80"/>
      <c r="E14" s="32">
        <v>264.18400000000003</v>
      </c>
      <c r="F14" s="59">
        <v>4162.0569999999998</v>
      </c>
      <c r="G14" s="102">
        <f>SUM(G11:G13)</f>
        <v>3.8023199469620002</v>
      </c>
      <c r="H14" s="13">
        <f>SUM(E14:G14)</f>
        <v>4430.0433199469617</v>
      </c>
      <c r="I14" s="80"/>
      <c r="J14" s="6">
        <f>SUM(J11:J13)</f>
        <v>576.24412825770207</v>
      </c>
      <c r="K14" s="31">
        <f>M14-L14-J14</f>
        <v>140.71102537291654</v>
      </c>
      <c r="L14" s="102">
        <f>SUM(L11:L13)</f>
        <v>712.36916631634301</v>
      </c>
      <c r="M14" s="6">
        <f>H14-N14</f>
        <v>1429.3243199469616</v>
      </c>
      <c r="N14" s="104">
        <v>3000.7190000000001</v>
      </c>
      <c r="R14" s="110"/>
      <c r="S14" s="111"/>
    </row>
    <row r="15" spans="1:23" ht="16.5" customHeight="1">
      <c r="A15" s="15" t="s">
        <v>42</v>
      </c>
      <c r="B15" s="80"/>
      <c r="C15" s="80"/>
      <c r="D15" s="80"/>
      <c r="E15" s="32"/>
      <c r="F15" s="32"/>
      <c r="G15" s="102">
        <f>(18636.8*36.74371)/1000000</f>
        <v>0.68478517452799992</v>
      </c>
      <c r="H15" s="13"/>
      <c r="I15" s="80"/>
      <c r="J15" s="6">
        <f>((6128558*0.907184741)*36.74371)/1000000</f>
        <v>204.28526486729618</v>
      </c>
      <c r="K15" s="31"/>
      <c r="L15" s="102">
        <f>(4771690.5*36.74371)/1000000</f>
        <v>175.32961194175499</v>
      </c>
      <c r="M15" s="6"/>
      <c r="N15" s="104"/>
      <c r="R15" s="110"/>
      <c r="S15" s="111"/>
    </row>
    <row r="16" spans="1:23" ht="16.5" customHeight="1">
      <c r="A16" s="15" t="s">
        <v>43</v>
      </c>
      <c r="B16" s="80"/>
      <c r="C16" s="80"/>
      <c r="D16" s="80"/>
      <c r="E16" s="32"/>
      <c r="F16" s="32"/>
      <c r="G16" s="102">
        <f>(25841.8*36.74371)/1000000</f>
        <v>0.94952360507800004</v>
      </c>
      <c r="H16" s="13"/>
      <c r="I16" s="80"/>
      <c r="J16" s="6">
        <f>((5828390*0.907184741)*36.74371)/1000000</f>
        <v>194.27966495542674</v>
      </c>
      <c r="K16" s="31"/>
      <c r="L16" s="102">
        <f>(5866274.7*36.74371)/1000000</f>
        <v>215.548696357137</v>
      </c>
      <c r="M16" s="6"/>
      <c r="N16" s="104"/>
      <c r="Q16" s="34"/>
      <c r="R16" s="110"/>
      <c r="S16" s="111"/>
    </row>
    <row r="17" spans="1:24" ht="16.5" customHeight="1">
      <c r="A17" s="15" t="s">
        <v>44</v>
      </c>
      <c r="B17" s="80"/>
      <c r="C17" s="80"/>
      <c r="D17" s="80"/>
      <c r="E17" s="32"/>
      <c r="F17" s="32"/>
      <c r="G17" s="102">
        <f>(24303.4*36.74371)/1000000</f>
        <v>0.89299708161400004</v>
      </c>
      <c r="H17" s="13"/>
      <c r="I17" s="80"/>
      <c r="J17" s="6">
        <f>((5803253*0.907184741)*36.74371)/1000000</f>
        <v>193.4417649628071</v>
      </c>
      <c r="K17" s="31"/>
      <c r="L17" s="102">
        <f>(5282181.2*36.74371)/1000000</f>
        <v>194.08693418025203</v>
      </c>
      <c r="M17" s="6"/>
      <c r="N17" s="104"/>
      <c r="Q17" s="83"/>
      <c r="R17" s="110"/>
      <c r="S17" s="111"/>
    </row>
    <row r="18" spans="1:24" ht="16.5" customHeight="1">
      <c r="A18" s="15" t="s">
        <v>45</v>
      </c>
      <c r="B18" s="80"/>
      <c r="C18" s="80"/>
      <c r="D18" s="80"/>
      <c r="E18" s="32">
        <f>N14</f>
        <v>3000.7190000000001</v>
      </c>
      <c r="F18" s="32"/>
      <c r="G18" s="102">
        <f>SUM(G15:G17)</f>
        <v>2.5273058612200003</v>
      </c>
      <c r="H18" s="13">
        <f>SUM(E18:G18)</f>
        <v>3003.2463058612202</v>
      </c>
      <c r="I18" s="80"/>
      <c r="J18" s="6">
        <f>SUM(J15:J17)</f>
        <v>592.00669478553004</v>
      </c>
      <c r="K18" s="31">
        <f>M18-L18-J18</f>
        <v>-18.804631403453755</v>
      </c>
      <c r="L18" s="102">
        <f>SUM(L15:L17)</f>
        <v>584.96524247914397</v>
      </c>
      <c r="M18" s="6">
        <f>H18-N18</f>
        <v>1158.1673058612203</v>
      </c>
      <c r="N18" s="104">
        <v>1845.079</v>
      </c>
      <c r="P18" s="34"/>
      <c r="R18" s="110"/>
      <c r="S18" s="111"/>
    </row>
    <row r="19" spans="1:24" ht="16.5" customHeight="1">
      <c r="A19" s="15" t="s">
        <v>46</v>
      </c>
      <c r="B19" s="80"/>
      <c r="C19" s="80"/>
      <c r="D19" s="80"/>
      <c r="E19" s="32"/>
      <c r="F19" s="32"/>
      <c r="G19" s="102">
        <f>(144231.4*36.74371)/1000000</f>
        <v>5.299596734494</v>
      </c>
      <c r="H19" s="13"/>
      <c r="I19" s="80"/>
      <c r="J19" s="6">
        <f>((6106056*0.907184741)*36.74371)/1000000</f>
        <v>203.53519820723619</v>
      </c>
      <c r="K19" s="31"/>
      <c r="L19" s="102">
        <f>(3189631.1*36.74371)/1000000</f>
        <v>117.198880145381</v>
      </c>
      <c r="M19" s="6"/>
      <c r="N19" s="104"/>
      <c r="Q19" s="83"/>
      <c r="R19" s="110"/>
      <c r="S19" s="111"/>
    </row>
    <row r="20" spans="1:24" ht="16.5" customHeight="1">
      <c r="A20" s="15" t="s">
        <v>47</v>
      </c>
      <c r="B20" s="80"/>
      <c r="C20" s="80"/>
      <c r="D20" s="80"/>
      <c r="E20" s="32"/>
      <c r="F20" s="32"/>
      <c r="G20" s="102">
        <f>(57161.8*36.74371)/1000000</f>
        <v>2.1003366022780003</v>
      </c>
      <c r="H20" s="13"/>
      <c r="I20" s="80"/>
      <c r="J20" s="6">
        <f>((5327076*0.907184741)*36.74371)/1000000</f>
        <v>177.56919843594798</v>
      </c>
      <c r="K20" s="31"/>
      <c r="L20" s="102">
        <f>(1783416.4*36.74371)/1000000</f>
        <v>65.529335010843994</v>
      </c>
      <c r="M20" s="6"/>
      <c r="N20" s="104"/>
      <c r="R20" s="110"/>
      <c r="S20" s="110"/>
    </row>
    <row r="21" spans="1:24" ht="16.5" customHeight="1">
      <c r="A21" s="15" t="s">
        <v>48</v>
      </c>
      <c r="B21" s="80"/>
      <c r="C21" s="80"/>
      <c r="D21" s="80"/>
      <c r="E21" s="32"/>
      <c r="F21" s="32"/>
      <c r="G21" s="102">
        <f>(32561.4*36.74371)/1000000</f>
        <v>1.1964266387940001</v>
      </c>
      <c r="H21" s="13"/>
      <c r="I21" s="80"/>
      <c r="J21" s="6">
        <f>((5748779*0.907184741)*36.74371)/1000000</f>
        <v>191.62596497880088</v>
      </c>
      <c r="K21" s="31"/>
      <c r="L21" s="102">
        <f>(1376752.8*36.74371)/1000000</f>
        <v>50.587005624888</v>
      </c>
      <c r="M21" s="6"/>
      <c r="N21" s="104"/>
      <c r="P21" s="80"/>
      <c r="Q21" s="83"/>
      <c r="R21" s="110"/>
      <c r="S21" s="110"/>
    </row>
    <row r="22" spans="1:24" ht="16.5" customHeight="1">
      <c r="A22" s="15" t="s">
        <v>49</v>
      </c>
      <c r="B22" s="80"/>
      <c r="C22" s="80"/>
      <c r="D22" s="80"/>
      <c r="E22" s="32">
        <f>N18</f>
        <v>1845.079</v>
      </c>
      <c r="F22" s="32"/>
      <c r="G22" s="102">
        <f>SUM(G19:G21)</f>
        <v>8.596359975566001</v>
      </c>
      <c r="H22" s="13">
        <f>SUM(E22:G22)</f>
        <v>1853.6753599755659</v>
      </c>
      <c r="I22" s="80"/>
      <c r="J22" s="6">
        <f>SUM(J19:J21)</f>
        <v>572.73036162198503</v>
      </c>
      <c r="K22" s="13">
        <f>M22-L22-J22</f>
        <v>77.579777572467947</v>
      </c>
      <c r="L22" s="102">
        <f>SUM(L19:L21)</f>
        <v>233.315220781113</v>
      </c>
      <c r="M22" s="6">
        <f>H22-N22</f>
        <v>883.62535997556597</v>
      </c>
      <c r="N22" s="13">
        <v>970.05</v>
      </c>
      <c r="P22" s="80"/>
      <c r="R22" s="110"/>
      <c r="S22" s="110"/>
    </row>
    <row r="23" spans="1:24" ht="16.5" customHeight="1">
      <c r="A23" s="15" t="s">
        <v>50</v>
      </c>
      <c r="B23" s="80"/>
      <c r="C23" s="80"/>
      <c r="D23" s="80"/>
      <c r="E23" s="32"/>
      <c r="F23" s="32"/>
      <c r="G23" s="102">
        <f>(31168.4*36.74371)/1000000</f>
        <v>1.1452426507640001</v>
      </c>
      <c r="H23" s="13"/>
      <c r="I23" s="80"/>
      <c r="J23" s="6">
        <f>((5504777*0.907184741)*36.74371)/1000000</f>
        <v>183.49256505044087</v>
      </c>
      <c r="K23" s="13"/>
      <c r="L23" s="102">
        <f>(1407564.3*36.74371)/1000000</f>
        <v>51.719134445553003</v>
      </c>
      <c r="M23" s="6"/>
      <c r="N23" s="13"/>
    </row>
    <row r="24" spans="1:24" ht="16.5" customHeight="1">
      <c r="A24" s="15" t="s">
        <v>51</v>
      </c>
      <c r="B24" s="80"/>
      <c r="C24" s="80"/>
      <c r="D24" s="80"/>
      <c r="E24" s="32"/>
      <c r="F24" s="32"/>
      <c r="G24" s="102">
        <f>(59814.7*36.74371)/1000000</f>
        <v>2.197813990537</v>
      </c>
      <c r="H24" s="13"/>
      <c r="I24" s="80"/>
      <c r="J24" s="6">
        <f>((5798234*0.907184741)*36.74371)/1000000</f>
        <v>193.2744649642807</v>
      </c>
      <c r="K24" s="13"/>
      <c r="L24" s="102">
        <f>(1490841.6*36.74371)/1000000</f>
        <v>54.779051406336002</v>
      </c>
      <c r="M24" s="6"/>
      <c r="N24" s="13"/>
      <c r="Q24" s="83"/>
    </row>
    <row r="25" spans="1:24" ht="16.5" customHeight="1">
      <c r="A25" s="15" t="s">
        <v>52</v>
      </c>
      <c r="B25" s="80"/>
      <c r="C25" s="80"/>
      <c r="D25" s="80"/>
      <c r="E25" s="32"/>
      <c r="F25" s="32"/>
      <c r="G25" s="102">
        <f>(69722.7*36.74371)/1000000</f>
        <v>2.5618706692169999</v>
      </c>
      <c r="H25" s="13"/>
      <c r="I25" s="80"/>
      <c r="J25" s="6">
        <f>((5026648*0.907184741)*36.74371)/1000000</f>
        <v>167.55493185748824</v>
      </c>
      <c r="K25" s="13"/>
      <c r="L25" s="102">
        <f>(1709852.1*36.74371)/1000000</f>
        <v>62.826309705291003</v>
      </c>
      <c r="M25" s="6"/>
      <c r="N25" s="13"/>
    </row>
    <row r="26" spans="1:24" ht="16.5" customHeight="1">
      <c r="A26" s="15" t="s">
        <v>53</v>
      </c>
      <c r="B26" s="80"/>
      <c r="C26" s="80"/>
      <c r="D26" s="80"/>
      <c r="E26" s="32">
        <f>N22</f>
        <v>970.05</v>
      </c>
      <c r="F26" s="32"/>
      <c r="G26" s="102">
        <f>SUM(G23:G25)</f>
        <v>5.9049273105179996</v>
      </c>
      <c r="H26" s="13">
        <f>SUM(E26:G26)</f>
        <v>975.95492731051797</v>
      </c>
      <c r="I26" s="80"/>
      <c r="J26" s="6">
        <f>SUM(J23:J25)</f>
        <v>544.32196187220984</v>
      </c>
      <c r="K26" s="31">
        <f>M26-J26-L26</f>
        <v>-80.12453011887186</v>
      </c>
      <c r="L26" s="102">
        <f>SUM(L23:L25)</f>
        <v>169.32449555718</v>
      </c>
      <c r="M26" s="6">
        <f>H26-N26</f>
        <v>633.52192731051798</v>
      </c>
      <c r="N26" s="96">
        <v>342.43299999999999</v>
      </c>
      <c r="Q26" s="120"/>
    </row>
    <row r="27" spans="1:24" ht="16.5" customHeight="1">
      <c r="A27" s="15" t="s">
        <v>29</v>
      </c>
      <c r="B27" s="80"/>
      <c r="C27" s="80"/>
      <c r="D27" s="80"/>
      <c r="E27" s="32"/>
      <c r="F27" s="32"/>
      <c r="G27" s="177">
        <f>(566924.6*36.74371)/1000000</f>
        <v>20.830913094265998</v>
      </c>
      <c r="H27" s="90"/>
      <c r="I27" s="91"/>
      <c r="J27" s="112">
        <f>SUM(J14,J18,J22,J26)</f>
        <v>2285.303146537427</v>
      </c>
      <c r="K27" s="6"/>
      <c r="L27" s="37">
        <f>(46265.718*36.74371)/1000</f>
        <v>1699.97412513378</v>
      </c>
      <c r="M27" s="6"/>
      <c r="N27" s="13"/>
      <c r="Q27" s="83"/>
    </row>
    <row r="28" spans="1:24" ht="16.5" customHeight="1">
      <c r="A28" s="15"/>
      <c r="B28" s="80"/>
      <c r="C28" s="80"/>
      <c r="D28" s="80"/>
      <c r="E28" s="32"/>
      <c r="F28" s="32"/>
      <c r="G28" s="102"/>
      <c r="H28" s="126"/>
      <c r="I28" s="124"/>
      <c r="J28" s="176"/>
      <c r="K28" s="127"/>
      <c r="L28" s="102"/>
      <c r="M28" s="6"/>
      <c r="N28" s="13"/>
      <c r="R28" s="80"/>
    </row>
    <row r="29" spans="1:24" ht="16.5" customHeight="1">
      <c r="A29" s="30" t="s">
        <v>54</v>
      </c>
      <c r="B29" s="80"/>
      <c r="C29" s="80"/>
      <c r="D29" s="80"/>
      <c r="E29" s="32"/>
      <c r="F29" s="32"/>
      <c r="G29" s="102"/>
      <c r="H29" s="126"/>
      <c r="I29" s="124"/>
      <c r="J29" s="126"/>
      <c r="K29" s="127"/>
      <c r="L29" s="102"/>
      <c r="M29" s="6"/>
      <c r="N29" s="13"/>
      <c r="Q29" s="80"/>
      <c r="V29" s="93"/>
      <c r="X29" s="94"/>
    </row>
    <row r="30" spans="1:24" ht="16.5" customHeight="1">
      <c r="A30" s="15" t="s">
        <v>38</v>
      </c>
      <c r="B30" s="80"/>
      <c r="C30" s="80"/>
      <c r="D30" s="80"/>
      <c r="E30" s="32"/>
      <c r="F30" s="32"/>
      <c r="G30" s="102">
        <f>(83562.5*36.74371)/1000000</f>
        <v>3.070396266875</v>
      </c>
      <c r="H30" s="13"/>
      <c r="I30" s="80"/>
      <c r="J30" s="6">
        <f>((5595095*0.907185)*36.74371)/1000000</f>
        <v>186.5032182703211</v>
      </c>
      <c r="K30" s="31"/>
      <c r="L30" s="102">
        <f>(3114160.4*36.74371)/1000000</f>
        <v>114.425806631084</v>
      </c>
      <c r="M30" s="6"/>
      <c r="N30" s="13"/>
      <c r="T30" s="92"/>
    </row>
    <row r="31" spans="1:24" s="123" customFormat="1" ht="16.5" customHeight="1">
      <c r="A31" s="118" t="s">
        <v>39</v>
      </c>
      <c r="B31" s="124"/>
      <c r="C31" s="124"/>
      <c r="D31" s="124"/>
      <c r="E31" s="125"/>
      <c r="F31" s="125"/>
      <c r="G31" s="102">
        <f>(20864.5*36.74371)/1000000</f>
        <v>0.76663913729499999</v>
      </c>
      <c r="H31" s="126"/>
      <c r="I31" s="124"/>
      <c r="J31" s="6">
        <f>((6473504*0.907185)*36.74371)/1000000</f>
        <v>215.78352637190193</v>
      </c>
      <c r="K31" s="127"/>
      <c r="L31" s="102">
        <f>(9418049.2*36.74371)/1000000</f>
        <v>346.05406857053197</v>
      </c>
      <c r="M31" s="102"/>
      <c r="N31" s="126"/>
      <c r="T31" s="128"/>
    </row>
    <row r="32" spans="1:24" ht="16.5" customHeight="1">
      <c r="A32" s="15" t="s">
        <v>40</v>
      </c>
      <c r="B32" s="80"/>
      <c r="C32" s="80"/>
      <c r="D32" s="80"/>
      <c r="E32" s="32"/>
      <c r="F32" s="32"/>
      <c r="G32" s="138">
        <f>(41573*36.74371)/1000000</f>
        <v>1.5275462558299999</v>
      </c>
      <c r="H32" s="13"/>
      <c r="I32" s="80"/>
      <c r="J32" s="6">
        <f>((6301225*0.907185)*36.74371)/1000000</f>
        <v>210.04089144963655</v>
      </c>
      <c r="K32" s="31"/>
      <c r="L32" s="138">
        <f>((10085242.9)*36.74371)/1000000</f>
        <v>370.56924039715904</v>
      </c>
      <c r="M32" s="6"/>
      <c r="N32" s="13"/>
      <c r="T32" s="92"/>
    </row>
    <row r="33" spans="1:20" ht="16.5" customHeight="1">
      <c r="A33" s="15" t="s">
        <v>41</v>
      </c>
      <c r="B33" s="80"/>
      <c r="C33" s="80"/>
      <c r="D33" s="80"/>
      <c r="E33" s="32">
        <f>N26</f>
        <v>342.43299999999999</v>
      </c>
      <c r="F33" s="59">
        <v>4366.4920000000002</v>
      </c>
      <c r="G33" s="102">
        <f>SUM(G30:G32)</f>
        <v>5.3645816599999998</v>
      </c>
      <c r="H33" s="13">
        <f>SUM(E33:G33)</f>
        <v>4714.2895816600003</v>
      </c>
      <c r="I33" s="80"/>
      <c r="J33" s="6">
        <f>SUM(J30:J32)</f>
        <v>612.32763609185963</v>
      </c>
      <c r="K33" s="31">
        <f>M33-L33-J33</f>
        <v>170.62782996936585</v>
      </c>
      <c r="L33" s="102">
        <f>SUM(L30:L32)</f>
        <v>831.04911559877496</v>
      </c>
      <c r="M33" s="6">
        <f>H33-N33</f>
        <v>1614.0045816600004</v>
      </c>
      <c r="N33" s="104">
        <v>3100.2849999999999</v>
      </c>
      <c r="P33" s="34"/>
      <c r="R33" s="110"/>
      <c r="S33" s="110"/>
    </row>
    <row r="34" spans="1:20" ht="16.5" customHeight="1">
      <c r="A34" s="15" t="s">
        <v>42</v>
      </c>
      <c r="B34" s="80"/>
      <c r="C34" s="80"/>
      <c r="D34" s="80"/>
      <c r="E34" s="32"/>
      <c r="F34" s="59"/>
      <c r="G34" s="138">
        <f>(52324.1*36.74371)/1000000</f>
        <v>1.922581556411</v>
      </c>
      <c r="H34" s="13"/>
      <c r="I34" s="80"/>
      <c r="J34" s="6">
        <f>((6531043*0.907185)*36.74371)/1000000</f>
        <v>217.70149356925177</v>
      </c>
      <c r="K34" s="31"/>
      <c r="L34" s="138">
        <f>(7482420.8*36.74371)/1000000</f>
        <v>274.93189997316802</v>
      </c>
      <c r="M34" s="6"/>
      <c r="N34" s="104"/>
      <c r="P34" s="34"/>
      <c r="R34" s="110"/>
      <c r="S34" s="110"/>
    </row>
    <row r="35" spans="1:20" ht="16.5" customHeight="1">
      <c r="A35" s="15" t="s">
        <v>43</v>
      </c>
      <c r="B35" s="80"/>
      <c r="C35" s="80"/>
      <c r="D35" s="80"/>
      <c r="E35" s="32"/>
      <c r="F35" s="59"/>
      <c r="G35" s="138">
        <f>(61026*36.74371)/1000000</f>
        <v>2.2423216464599998</v>
      </c>
      <c r="H35" s="13"/>
      <c r="I35" s="80"/>
      <c r="J35" s="6">
        <f>((6376635*0.907185)*36.74371)/1000000</f>
        <v>212.55455881181089</v>
      </c>
      <c r="K35" s="31"/>
      <c r="L35" s="138">
        <f>(5211687.1*36.74371)/1000000</f>
        <v>191.49671941314099</v>
      </c>
      <c r="M35" s="6"/>
      <c r="N35" s="104"/>
      <c r="P35" s="34"/>
      <c r="Q35" s="34"/>
      <c r="R35" s="87"/>
      <c r="S35" s="110"/>
    </row>
    <row r="36" spans="1:20" s="123" customFormat="1" ht="16.5" customHeight="1">
      <c r="A36" s="118" t="s">
        <v>44</v>
      </c>
      <c r="B36" s="124"/>
      <c r="C36" s="124"/>
      <c r="D36" s="124"/>
      <c r="E36" s="125"/>
      <c r="F36" s="139"/>
      <c r="G36" s="138">
        <f>(66815.2*36.74371)/1000000</f>
        <v>2.4550383323920002</v>
      </c>
      <c r="H36" s="126"/>
      <c r="I36" s="124"/>
      <c r="J36" s="102">
        <f>((5687304*0.907185)*36.74371)/1000000</f>
        <v>189.57685245409957</v>
      </c>
      <c r="K36" s="127"/>
      <c r="L36" s="138">
        <f>(3117201.8*36.74371)/1000000</f>
        <v>114.53755895067799</v>
      </c>
      <c r="M36" s="102"/>
      <c r="N36" s="140"/>
      <c r="P36" s="141"/>
      <c r="Q36" s="141"/>
      <c r="R36" s="142"/>
      <c r="S36" s="143"/>
    </row>
    <row r="37" spans="1:20" s="123" customFormat="1" ht="16.5" customHeight="1">
      <c r="A37" s="118" t="s">
        <v>45</v>
      </c>
      <c r="B37" s="124"/>
      <c r="C37" s="124"/>
      <c r="D37" s="124"/>
      <c r="E37" s="125">
        <f>N33</f>
        <v>3100.2849999999999</v>
      </c>
      <c r="F37" s="139"/>
      <c r="G37" s="138">
        <f>SUM(G34:G36)</f>
        <v>6.619941535263</v>
      </c>
      <c r="H37" s="126">
        <f>SUM(E37:G37)</f>
        <v>3106.9049415352629</v>
      </c>
      <c r="I37" s="138">
        <f t="shared" ref="I37" si="0">SUM(I34:I36)</f>
        <v>0</v>
      </c>
      <c r="J37" s="138">
        <f>SUM(J34:J36)</f>
        <v>619.83290483516225</v>
      </c>
      <c r="K37" s="127">
        <f>M37-L37-J37</f>
        <v>-4.8181416368863665</v>
      </c>
      <c r="L37" s="102">
        <f>SUM(L34:L36)</f>
        <v>580.96617833698701</v>
      </c>
      <c r="M37" s="102">
        <f>H37-N37</f>
        <v>1195.9809415352629</v>
      </c>
      <c r="N37" s="104">
        <v>1910.924</v>
      </c>
      <c r="P37" s="141"/>
      <c r="Q37" s="141"/>
      <c r="R37" s="142"/>
      <c r="S37" s="143"/>
    </row>
    <row r="38" spans="1:20" ht="16.5" customHeight="1">
      <c r="A38" s="15" t="s">
        <v>46</v>
      </c>
      <c r="B38" s="80"/>
      <c r="C38" s="80"/>
      <c r="D38" s="80"/>
      <c r="E38" s="32"/>
      <c r="F38" s="59"/>
      <c r="G38" s="138">
        <f>(47350.9*36.74371)/1000000</f>
        <v>1.739847737839</v>
      </c>
      <c r="H38" s="13"/>
      <c r="I38" s="99"/>
      <c r="J38" s="6">
        <f>((6202642*0.907185)*36.74371)/1000000</f>
        <v>206.75479054040389</v>
      </c>
      <c r="K38" s="31"/>
      <c r="L38" s="138">
        <f>(3498236.8*36.74371)/1000000</f>
        <v>128.53819849052798</v>
      </c>
      <c r="M38" s="6"/>
      <c r="N38" s="104"/>
      <c r="P38" s="34"/>
      <c r="Q38" s="34"/>
      <c r="R38" s="151"/>
      <c r="S38" s="110"/>
    </row>
    <row r="39" spans="1:20" ht="16.5" customHeight="1">
      <c r="A39" s="15" t="s">
        <v>47</v>
      </c>
      <c r="B39" s="80"/>
      <c r="C39" s="80"/>
      <c r="D39" s="80"/>
      <c r="E39" s="32"/>
      <c r="F39" s="59"/>
      <c r="G39" s="138">
        <f>(79328.8*36.74371)/1000000</f>
        <v>2.914834421848</v>
      </c>
      <c r="H39" s="13"/>
      <c r="I39" s="99"/>
      <c r="J39" s="6">
        <f>((6071540*0.907185)*36.74371)/1000000</f>
        <v>202.38472266458126</v>
      </c>
      <c r="K39" s="31"/>
      <c r="L39" s="138">
        <f>(2179781.36*36.74371)/1000000</f>
        <v>80.093254155245603</v>
      </c>
      <c r="M39" s="6"/>
      <c r="N39" s="104"/>
      <c r="P39" s="34"/>
      <c r="Q39" s="34"/>
      <c r="R39" s="151"/>
      <c r="S39" s="110"/>
    </row>
    <row r="40" spans="1:20" ht="16.5" customHeight="1">
      <c r="A40" s="15" t="s">
        <v>48</v>
      </c>
      <c r="B40" s="80"/>
      <c r="C40" s="80"/>
      <c r="D40" s="80"/>
      <c r="E40" s="32"/>
      <c r="F40" s="59"/>
      <c r="G40" s="99">
        <f>(69258.4*36.74371)/1000000</f>
        <v>2.5448105646639996</v>
      </c>
      <c r="H40" s="13"/>
      <c r="I40" s="99"/>
      <c r="J40" s="6">
        <f>((6111115*0.907185)*36.74371)/1000000</f>
        <v>203.70388969624886</v>
      </c>
      <c r="K40" s="31"/>
      <c r="L40" s="99">
        <f>(1595274.8*36.74371)/1000000</f>
        <v>58.616314621508003</v>
      </c>
      <c r="M40" s="6"/>
      <c r="N40" s="104"/>
      <c r="P40" s="34"/>
      <c r="Q40" s="34"/>
      <c r="R40" s="151"/>
      <c r="S40" s="110"/>
    </row>
    <row r="41" spans="1:20" ht="16.5" customHeight="1">
      <c r="A41" s="15" t="s">
        <v>49</v>
      </c>
      <c r="B41" s="80"/>
      <c r="C41" s="80"/>
      <c r="D41" s="80"/>
      <c r="E41" s="32">
        <f>N37</f>
        <v>1910.924</v>
      </c>
      <c r="F41" s="32"/>
      <c r="G41" s="6">
        <f>SUM(G38:G40)</f>
        <v>7.1994927243509999</v>
      </c>
      <c r="H41" s="13">
        <f>SUM(E41:G41)</f>
        <v>1918.1234927243511</v>
      </c>
      <c r="I41" s="80"/>
      <c r="J41" s="6">
        <f>SUM(J38:J40)</f>
        <v>612.84340290123407</v>
      </c>
      <c r="K41" s="13">
        <f>M41-L41-J41</f>
        <v>30.368322555835448</v>
      </c>
      <c r="L41" s="102">
        <f>SUM(L38:L40)</f>
        <v>267.24776726728157</v>
      </c>
      <c r="M41" s="6">
        <f>H41-N41</f>
        <v>910.45949272435109</v>
      </c>
      <c r="N41" s="13">
        <v>1007.664</v>
      </c>
      <c r="P41" s="34"/>
      <c r="Q41" s="34"/>
      <c r="R41" s="151"/>
      <c r="S41" s="110"/>
    </row>
    <row r="42" spans="1:20" ht="16.5" customHeight="1">
      <c r="A42" s="76" t="s">
        <v>55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77"/>
      <c r="M42" s="66"/>
      <c r="N42" s="66"/>
      <c r="T42" s="92"/>
    </row>
    <row r="43" spans="1:20" ht="16.5" customHeight="1">
      <c r="A43" s="15" t="s">
        <v>56</v>
      </c>
      <c r="B43" s="15"/>
      <c r="C43" s="15"/>
      <c r="D43" s="15"/>
      <c r="E43" s="35"/>
      <c r="F43" s="35"/>
      <c r="G43" s="35"/>
      <c r="H43" s="35"/>
      <c r="I43" s="35"/>
      <c r="J43" s="35"/>
      <c r="K43" s="35"/>
      <c r="L43" s="35"/>
      <c r="M43" s="35"/>
      <c r="N43" s="35"/>
      <c r="T43" s="92"/>
    </row>
    <row r="44" spans="1:20" ht="16.5" customHeight="1">
      <c r="A44" s="20" t="s">
        <v>57</v>
      </c>
      <c r="B44" s="36">
        <f>Contents!A18</f>
        <v>45853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T44" s="92"/>
    </row>
    <row r="45" spans="1:20" ht="16.5" customHeight="1">
      <c r="T45" s="92"/>
    </row>
    <row r="46" spans="1:20" ht="16.5" customHeight="1">
      <c r="J46" s="34"/>
      <c r="K46" s="34"/>
      <c r="L46" s="83"/>
      <c r="M46" s="87"/>
      <c r="T46" s="92"/>
    </row>
    <row r="47" spans="1:20" ht="16.5" customHeight="1">
      <c r="J47" s="34"/>
      <c r="K47" s="89"/>
      <c r="L47" s="34"/>
      <c r="M47" s="34"/>
      <c r="P47" s="34"/>
      <c r="T47" s="92"/>
    </row>
    <row r="48" spans="1:20" ht="16.5" customHeight="1">
      <c r="J48" s="34"/>
      <c r="L48" s="137"/>
      <c r="T48" s="92"/>
    </row>
    <row r="49" spans="5:73" ht="16.5" customHeight="1">
      <c r="J49" s="34"/>
      <c r="L49" s="122"/>
      <c r="T49" s="92"/>
    </row>
    <row r="50" spans="5:73" ht="16.5" customHeight="1">
      <c r="J50" s="34"/>
      <c r="L50" s="34"/>
      <c r="T50" s="92"/>
    </row>
    <row r="51" spans="5:73" ht="16.5" customHeight="1">
      <c r="J51" s="34"/>
      <c r="L51" s="34"/>
      <c r="T51" s="92"/>
    </row>
    <row r="52" spans="5:73" ht="16.5" customHeight="1">
      <c r="T52" s="92"/>
    </row>
    <row r="53" spans="5:73" ht="16.5" customHeight="1">
      <c r="T53" s="92"/>
    </row>
    <row r="54" spans="5:73" ht="16.5" customHeight="1">
      <c r="T54" s="92"/>
    </row>
    <row r="55" spans="5:73" ht="16.5" customHeight="1">
      <c r="E55" s="87"/>
      <c r="T55" s="92"/>
    </row>
    <row r="56" spans="5:73" ht="16.5" customHeight="1"/>
    <row r="57" spans="5:73" ht="16.5" customHeight="1"/>
    <row r="58" spans="5:73" ht="16.5" customHeight="1"/>
    <row r="59" spans="5:73" ht="16.5" customHeight="1"/>
    <row r="60" spans="5:73" ht="16.5" customHeight="1">
      <c r="O60" s="80"/>
      <c r="P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</row>
    <row r="61" spans="5:73">
      <c r="O61" s="80"/>
      <c r="P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</row>
    <row r="62" spans="5:73">
      <c r="O62" s="80"/>
      <c r="P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</row>
    <row r="63" spans="5:73">
      <c r="O63" s="80"/>
      <c r="P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</row>
    <row r="64" spans="5:73">
      <c r="O64" s="80"/>
      <c r="P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</row>
    <row r="65" spans="15:73">
      <c r="O65" s="80"/>
      <c r="P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</row>
    <row r="66" spans="15:73">
      <c r="O66" s="80"/>
      <c r="P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</row>
    <row r="67" spans="15:73">
      <c r="O67" s="80"/>
      <c r="P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</row>
    <row r="68" spans="15:73">
      <c r="O68" s="80"/>
      <c r="P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</row>
    <row r="69" spans="15:73">
      <c r="O69" s="80"/>
      <c r="P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</row>
    <row r="70" spans="15:73">
      <c r="O70" s="80"/>
      <c r="P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</row>
    <row r="71" spans="15:73">
      <c r="O71" s="80"/>
      <c r="P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</row>
    <row r="72" spans="15:73">
      <c r="O72" s="80"/>
      <c r="P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</row>
    <row r="73" spans="15:73">
      <c r="O73" s="80"/>
      <c r="P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</row>
    <row r="74" spans="15:73">
      <c r="O74" s="80"/>
      <c r="P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</row>
    <row r="75" spans="15:73">
      <c r="O75" s="80"/>
      <c r="P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</row>
    <row r="76" spans="15:73">
      <c r="O76" s="80"/>
      <c r="P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</row>
    <row r="77" spans="15:73">
      <c r="O77" s="80"/>
      <c r="P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</row>
    <row r="78" spans="15:73">
      <c r="O78" s="80"/>
      <c r="P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</row>
    <row r="79" spans="15:73">
      <c r="O79" s="80"/>
      <c r="P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</row>
    <row r="80" spans="15:73">
      <c r="O80" s="80"/>
      <c r="P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</row>
    <row r="81" spans="15:73">
      <c r="O81" s="80"/>
      <c r="P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</row>
    <row r="82" spans="15:73">
      <c r="O82" s="80"/>
      <c r="P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</row>
    <row r="83" spans="15:73">
      <c r="O83" s="80"/>
      <c r="P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</row>
    <row r="84" spans="15:73">
      <c r="O84" s="80"/>
      <c r="P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</row>
    <row r="85" spans="15:73">
      <c r="O85" s="80"/>
      <c r="P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</row>
    <row r="86" spans="15:73">
      <c r="O86" s="80"/>
      <c r="P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</row>
    <row r="87" spans="15:73">
      <c r="O87" s="80"/>
      <c r="P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</row>
    <row r="88" spans="15:73"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</row>
    <row r="89" spans="15:73"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</row>
    <row r="90" spans="15:73"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</row>
    <row r="91" spans="15:73"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</row>
    <row r="92" spans="15:73"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</row>
    <row r="93" spans="15:73"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</row>
    <row r="94" spans="15:73"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</row>
    <row r="95" spans="15:73"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</row>
    <row r="96" spans="15:73"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</row>
    <row r="97" spans="15:73"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</row>
    <row r="98" spans="15:73"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</row>
    <row r="99" spans="15:73"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</row>
    <row r="100" spans="15:73"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</row>
    <row r="101" spans="15:73"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</row>
    <row r="102" spans="15:73"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</row>
    <row r="103" spans="15:73"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</row>
    <row r="104" spans="15:73"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</row>
    <row r="105" spans="15:73"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</row>
    <row r="106" spans="15:73"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</row>
    <row r="107" spans="15:73"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</row>
    <row r="108" spans="15:73"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</row>
    <row r="109" spans="15:73"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</row>
    <row r="110" spans="15:73"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</row>
    <row r="111" spans="15:73"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</row>
    <row r="112" spans="15:73"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</row>
    <row r="113" spans="15:73"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</row>
    <row r="114" spans="15:73"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</row>
    <row r="115" spans="15:73"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</row>
    <row r="116" spans="15:73"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</row>
    <row r="117" spans="15:73"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</row>
    <row r="118" spans="15:73"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</row>
    <row r="119" spans="15:73"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</row>
    <row r="120" spans="15:73"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</row>
    <row r="121" spans="15:73"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</row>
    <row r="122" spans="15:73"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</row>
    <row r="123" spans="15:73"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</row>
    <row r="124" spans="15:73"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</row>
    <row r="125" spans="15:73"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</row>
    <row r="126" spans="15:73"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</row>
    <row r="127" spans="15:73"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</row>
    <row r="128" spans="15:73"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</row>
    <row r="129" spans="15:73"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</row>
    <row r="130" spans="15:73"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</row>
    <row r="131" spans="15:73"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</row>
    <row r="132" spans="15:73"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</row>
    <row r="133" spans="15:73"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</row>
    <row r="134" spans="15:73"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</row>
    <row r="135" spans="15:73"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</row>
    <row r="136" spans="15:73"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</row>
    <row r="137" spans="15:73"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</row>
    <row r="138" spans="15:73"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</row>
    <row r="139" spans="15:73"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</row>
    <row r="140" spans="15:73"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</row>
    <row r="141" spans="15:73"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</row>
    <row r="142" spans="15:73"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</row>
    <row r="143" spans="15:73"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</row>
    <row r="144" spans="15:73"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</row>
    <row r="145" spans="15:73"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</row>
    <row r="146" spans="15:73"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</row>
    <row r="147" spans="15:73"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</row>
    <row r="148" spans="15:73"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</row>
    <row r="149" spans="15:73"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</row>
    <row r="150" spans="15:73"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</row>
    <row r="151" spans="15:73"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</row>
    <row r="152" spans="15:73"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</row>
    <row r="153" spans="15:73"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</row>
    <row r="154" spans="15:73"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</row>
    <row r="155" spans="15:73"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</row>
    <row r="156" spans="15:73"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</row>
    <row r="157" spans="15:73"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</row>
    <row r="158" spans="15:73"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</row>
    <row r="159" spans="15:73"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</row>
    <row r="160" spans="15:73"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</row>
    <row r="161" spans="15:73"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</row>
    <row r="162" spans="15:73"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</row>
    <row r="163" spans="15:73"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</row>
    <row r="164" spans="15:73"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</row>
    <row r="165" spans="15:73"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</row>
    <row r="166" spans="15:73"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</row>
    <row r="167" spans="15:73"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</row>
    <row r="168" spans="15:73"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</row>
    <row r="169" spans="15:73"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</row>
    <row r="170" spans="15:73"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</row>
    <row r="171" spans="15:73"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</row>
    <row r="172" spans="15:73"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</row>
    <row r="173" spans="15:73"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</row>
    <row r="174" spans="15:73"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</row>
    <row r="175" spans="15:73"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</row>
    <row r="176" spans="15:73"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</row>
    <row r="177" spans="15:73"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</row>
    <row r="178" spans="15:73"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</row>
    <row r="179" spans="15:73"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</row>
    <row r="180" spans="15:73"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</row>
    <row r="181" spans="15:73"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</row>
    <row r="182" spans="15:73"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</row>
    <row r="183" spans="15:73"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</row>
    <row r="184" spans="15:73"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</row>
    <row r="185" spans="15:73"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</row>
    <row r="186" spans="15:73"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</row>
    <row r="187" spans="15:73"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</row>
    <row r="188" spans="15:73"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</row>
    <row r="189" spans="15:73"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</row>
    <row r="190" spans="15:73"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</row>
    <row r="191" spans="15:73"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</row>
    <row r="192" spans="15:73"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</row>
    <row r="193" spans="15:73"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</row>
    <row r="194" spans="15:73"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</row>
    <row r="195" spans="15:73"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</row>
    <row r="196" spans="15:73"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</row>
    <row r="197" spans="15:73"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</row>
    <row r="198" spans="15:73"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</row>
    <row r="199" spans="15:73"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</row>
    <row r="200" spans="15:73"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</row>
    <row r="201" spans="15:73"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</row>
    <row r="202" spans="15:73"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</row>
    <row r="203" spans="15:73"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</row>
    <row r="204" spans="15:73"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</row>
    <row r="205" spans="15:73"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</row>
    <row r="206" spans="15:73"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</row>
    <row r="207" spans="15:73"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</row>
    <row r="208" spans="15:73"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</row>
    <row r="209" spans="15:73"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</row>
    <row r="210" spans="15:73"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</row>
    <row r="211" spans="15:73"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</row>
    <row r="212" spans="15:73"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</row>
    <row r="213" spans="15:73"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</row>
    <row r="214" spans="15:73"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</row>
    <row r="215" spans="15:73"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</row>
    <row r="216" spans="15:73"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</row>
    <row r="217" spans="15:73"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</row>
    <row r="218" spans="15:73"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</row>
    <row r="219" spans="15:73"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</row>
    <row r="220" spans="15:73"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</row>
    <row r="221" spans="15:73"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</row>
    <row r="222" spans="15:73"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</row>
    <row r="223" spans="15:73"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</row>
    <row r="224" spans="15:73"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</row>
    <row r="225" spans="15:73"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</row>
    <row r="226" spans="15:73"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</row>
    <row r="227" spans="15:73"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</row>
    <row r="228" spans="15:73"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</row>
    <row r="229" spans="15:73"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</row>
    <row r="230" spans="15:73"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</row>
    <row r="231" spans="15:73"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</row>
    <row r="232" spans="15:73"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</row>
    <row r="233" spans="15:73"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</row>
    <row r="234" spans="15:73"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</row>
    <row r="235" spans="15:73"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</row>
    <row r="236" spans="15:73"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</row>
    <row r="237" spans="15:73"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</row>
    <row r="238" spans="15:73"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</row>
    <row r="239" spans="15:73"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</row>
    <row r="240" spans="15:73"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</row>
    <row r="241" spans="15:73"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</row>
    <row r="242" spans="15:73"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</row>
    <row r="243" spans="15:73"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</row>
    <row r="244" spans="15:73"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</row>
    <row r="245" spans="15:73"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</row>
    <row r="246" spans="15:73"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</row>
    <row r="247" spans="15:73"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</row>
    <row r="248" spans="15:73"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</row>
    <row r="249" spans="15:73"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</row>
    <row r="250" spans="15:73"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</row>
    <row r="251" spans="15:73"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</row>
    <row r="252" spans="15:73"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</row>
    <row r="253" spans="15:73"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</row>
    <row r="254" spans="15:73"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</row>
    <row r="255" spans="15:73"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</row>
    <row r="256" spans="15:73"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</row>
    <row r="257" spans="15:73"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</row>
    <row r="258" spans="15:73"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</row>
    <row r="259" spans="15:73"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</row>
    <row r="260" spans="15:73"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</row>
    <row r="261" spans="15:73"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</row>
    <row r="262" spans="15:73"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</row>
    <row r="263" spans="15:73"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</row>
    <row r="264" spans="15:73"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</row>
    <row r="265" spans="15:73"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</row>
    <row r="266" spans="15:73"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</row>
    <row r="267" spans="15:73"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</row>
    <row r="268" spans="15:73"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</row>
    <row r="269" spans="15:73"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</row>
    <row r="270" spans="15:73"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</row>
    <row r="271" spans="15:73"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</row>
    <row r="272" spans="15:73"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</row>
    <row r="273" spans="15:73"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</row>
    <row r="274" spans="15:73"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</row>
    <row r="275" spans="15:73"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</row>
    <row r="276" spans="15:73"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</row>
    <row r="277" spans="15:73"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</row>
    <row r="278" spans="15:73"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</row>
    <row r="279" spans="15:73"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</row>
    <row r="280" spans="15:73"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</row>
    <row r="281" spans="15:73"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</row>
    <row r="282" spans="15:73"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</row>
    <row r="283" spans="15:73"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</row>
    <row r="284" spans="15:73"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</row>
    <row r="285" spans="15:73"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</row>
    <row r="286" spans="15:73"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</row>
    <row r="287" spans="15:73"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</row>
    <row r="288" spans="15:73"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</row>
    <row r="289" spans="15:73"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</row>
    <row r="290" spans="15:73"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</row>
    <row r="291" spans="15:73"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</row>
    <row r="292" spans="15:73"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</row>
    <row r="293" spans="15:73"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</row>
    <row r="294" spans="15:73"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</row>
    <row r="295" spans="15:73"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</row>
    <row r="296" spans="15:73"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</row>
    <row r="297" spans="15:73"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</row>
    <row r="298" spans="15:73"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</row>
    <row r="299" spans="15:73"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</row>
    <row r="300" spans="15:73"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</row>
    <row r="301" spans="15:73"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</row>
    <row r="302" spans="15:73"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</row>
    <row r="303" spans="15:73"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</row>
    <row r="304" spans="15:73"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</row>
    <row r="305" spans="15:73"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</row>
    <row r="306" spans="15:73"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</row>
    <row r="307" spans="15:73"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</row>
    <row r="308" spans="15:73"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</row>
    <row r="309" spans="15:73"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</row>
    <row r="310" spans="15:73"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</row>
    <row r="311" spans="15:73"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</row>
    <row r="312" spans="15:73"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</row>
    <row r="313" spans="15:73"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</row>
    <row r="314" spans="15:73"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</row>
    <row r="315" spans="15:73"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</row>
    <row r="316" spans="15:73"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</row>
    <row r="317" spans="15:73"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</row>
    <row r="318" spans="15:73"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</row>
    <row r="319" spans="15:73"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</row>
    <row r="320" spans="15:73"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</row>
    <row r="321" spans="15:73"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</row>
    <row r="322" spans="15:73"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</row>
    <row r="323" spans="15:73"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</row>
    <row r="324" spans="15:73"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</row>
    <row r="325" spans="15:73"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</row>
    <row r="326" spans="15:73"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</row>
    <row r="327" spans="15:73"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</row>
    <row r="328" spans="15:73"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</row>
    <row r="329" spans="15:73"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</row>
    <row r="330" spans="15:73"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</row>
    <row r="331" spans="15:73"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</row>
    <row r="332" spans="15:73"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</row>
    <row r="333" spans="15:73"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</row>
    <row r="334" spans="15:73"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</row>
    <row r="335" spans="15:73"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</row>
    <row r="336" spans="15:73"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</row>
    <row r="337" spans="15:73"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</row>
    <row r="338" spans="15:73"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</row>
    <row r="339" spans="15:73"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</row>
    <row r="340" spans="15:73"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</row>
    <row r="341" spans="15:73"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</row>
    <row r="342" spans="15:73"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</row>
    <row r="343" spans="15:73"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</row>
    <row r="344" spans="15:73"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</row>
    <row r="345" spans="15:73"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</row>
    <row r="346" spans="15:73"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</row>
    <row r="347" spans="15:73"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</row>
    <row r="348" spans="15:73"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</row>
    <row r="349" spans="15:73"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</row>
    <row r="350" spans="15:73"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</row>
    <row r="351" spans="15:73"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</row>
    <row r="352" spans="15:73"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</row>
    <row r="353" spans="15:73"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</row>
    <row r="354" spans="15:73"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</row>
    <row r="355" spans="15:73"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</row>
    <row r="356" spans="15:73"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</row>
    <row r="357" spans="15:73"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</row>
    <row r="358" spans="15:73"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</row>
    <row r="359" spans="15:73"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</row>
    <row r="360" spans="15:73"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</row>
    <row r="361" spans="15:73"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</row>
    <row r="362" spans="15:73"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</row>
    <row r="363" spans="15:73"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</row>
    <row r="364" spans="15:73"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</row>
    <row r="365" spans="15:73"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</row>
    <row r="366" spans="15:73"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</row>
    <row r="367" spans="15:73"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</row>
    <row r="368" spans="15:73"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</row>
    <row r="369" spans="15:73"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</row>
    <row r="370" spans="15:73"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</row>
    <row r="371" spans="15:73"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</row>
    <row r="372" spans="15:73"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</row>
    <row r="373" spans="15:73"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</row>
    <row r="374" spans="15:73"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</row>
    <row r="375" spans="15:73"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</row>
    <row r="376" spans="15:73"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</row>
    <row r="377" spans="15:73"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</row>
    <row r="378" spans="15:73"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</row>
    <row r="379" spans="15:73"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</row>
    <row r="380" spans="15:73"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</row>
    <row r="381" spans="15:73"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</row>
    <row r="382" spans="15:73"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</row>
    <row r="383" spans="15:73"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</row>
    <row r="384" spans="15:73"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</row>
    <row r="385" spans="15:73"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</row>
    <row r="386" spans="15:73"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</row>
    <row r="387" spans="15:73"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</row>
    <row r="388" spans="15:73"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</row>
    <row r="389" spans="15:73"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</row>
    <row r="390" spans="15:73"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</row>
    <row r="391" spans="15:73"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</row>
    <row r="392" spans="15:73"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</row>
    <row r="393" spans="15:73"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</row>
    <row r="394" spans="15:73"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</row>
    <row r="395" spans="15:73"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</row>
    <row r="396" spans="15:73"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</row>
    <row r="397" spans="15:73"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</row>
    <row r="398" spans="15:73"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</row>
    <row r="399" spans="15:73"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</row>
    <row r="400" spans="15:73"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</row>
    <row r="401" spans="15:73"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</row>
    <row r="402" spans="15:73"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</row>
    <row r="403" spans="15:73"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</row>
    <row r="404" spans="15:73"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</row>
    <row r="405" spans="15:73"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</row>
    <row r="406" spans="15:73"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</row>
    <row r="407" spans="15:73"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</row>
    <row r="408" spans="15:73"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</row>
    <row r="409" spans="15:73"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</row>
    <row r="410" spans="15:73"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</row>
    <row r="411" spans="15:73"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</row>
    <row r="412" spans="15:73"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</row>
    <row r="413" spans="15:73"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</row>
    <row r="414" spans="15:73"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</row>
    <row r="415" spans="15:73"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</row>
    <row r="416" spans="15:73"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</row>
    <row r="417" spans="15:73"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</row>
    <row r="418" spans="15:73"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</row>
    <row r="419" spans="15:73"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</row>
    <row r="420" spans="15:73"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</row>
    <row r="421" spans="15:73"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</row>
    <row r="422" spans="15:73"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</row>
    <row r="423" spans="15:73"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</row>
    <row r="424" spans="15:73"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</row>
    <row r="425" spans="15:73"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</row>
    <row r="426" spans="15:73"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</row>
    <row r="427" spans="15:73"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</row>
    <row r="428" spans="15:73"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</row>
    <row r="429" spans="15:73"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</row>
    <row r="430" spans="15:73"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</row>
    <row r="431" spans="15:73"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</row>
    <row r="432" spans="15:73"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</row>
    <row r="433" spans="15:73"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</row>
    <row r="434" spans="15:73"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</row>
    <row r="435" spans="15:73"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</row>
    <row r="436" spans="15:73"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</row>
    <row r="437" spans="15:73"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</row>
    <row r="438" spans="15:73"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</row>
    <row r="439" spans="15:73"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</row>
    <row r="440" spans="15:73"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</row>
    <row r="441" spans="15:73"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</row>
    <row r="442" spans="15:73"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</row>
    <row r="443" spans="15:73"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</row>
    <row r="444" spans="15:73"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</row>
    <row r="445" spans="15:73"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</row>
    <row r="446" spans="15:73"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</row>
    <row r="447" spans="15:73"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</row>
    <row r="448" spans="15:73"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</row>
    <row r="449" spans="15:73"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</row>
    <row r="450" spans="15:73"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</row>
    <row r="451" spans="15:73"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</row>
    <row r="452" spans="15:73"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</row>
    <row r="453" spans="15:73"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</row>
    <row r="454" spans="15:73"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</row>
    <row r="455" spans="15:73"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</row>
    <row r="456" spans="15:73"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</row>
    <row r="457" spans="15:73"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</row>
    <row r="458" spans="15:73"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</row>
    <row r="459" spans="15:73"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</row>
    <row r="460" spans="15:73"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</row>
    <row r="461" spans="15:73"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</row>
    <row r="462" spans="15:73"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</row>
    <row r="463" spans="15:73"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</row>
    <row r="464" spans="15:73"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</row>
    <row r="465" spans="15:73"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</row>
    <row r="466" spans="15:73"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</row>
    <row r="467" spans="15:73"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</row>
    <row r="468" spans="15:73"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</row>
    <row r="469" spans="15:73"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</row>
    <row r="470" spans="15:73"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</row>
    <row r="471" spans="15:73"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</row>
    <row r="472" spans="15:73"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</row>
    <row r="473" spans="15:73"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</row>
    <row r="474" spans="15:73"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</row>
    <row r="475" spans="15:73"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</row>
    <row r="476" spans="15:73"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</row>
    <row r="477" spans="15:73"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</row>
    <row r="478" spans="15:73"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</row>
    <row r="479" spans="15:73"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</row>
    <row r="480" spans="15:73"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</row>
    <row r="481" spans="15:73"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</row>
    <row r="482" spans="15:73"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</row>
    <row r="483" spans="15:73"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</row>
    <row r="484" spans="15:73"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</row>
    <row r="485" spans="15:73"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</row>
    <row r="486" spans="15:73"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</row>
    <row r="487" spans="15:73"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</row>
    <row r="488" spans="15:73"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</row>
    <row r="489" spans="15:73"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</row>
    <row r="490" spans="15:73"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</row>
    <row r="491" spans="15:73"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</row>
    <row r="492" spans="15:73"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</row>
    <row r="493" spans="15:73"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</row>
    <row r="494" spans="15:73"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</row>
    <row r="495" spans="15:73"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</row>
    <row r="496" spans="15:73"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</row>
    <row r="497" spans="15:73"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</row>
    <row r="498" spans="15:73"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</row>
    <row r="499" spans="15:73"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</row>
    <row r="500" spans="15:73"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</row>
    <row r="501" spans="15:73"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</row>
    <row r="502" spans="15:73"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</row>
    <row r="503" spans="15:73"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</row>
    <row r="504" spans="15:73"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</row>
    <row r="505" spans="15:73"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</row>
    <row r="506" spans="15:73"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</row>
    <row r="507" spans="15:73"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</row>
    <row r="508" spans="15:73"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</row>
    <row r="509" spans="15:73"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</row>
    <row r="510" spans="15:73"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</row>
    <row r="511" spans="15:73"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</row>
    <row r="512" spans="15:73"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</row>
    <row r="513" spans="15:73"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</row>
    <row r="514" spans="15:73"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</row>
    <row r="515" spans="15:73"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</row>
    <row r="516" spans="15:73"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</row>
    <row r="517" spans="15:73"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</row>
    <row r="518" spans="15:73"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</row>
    <row r="519" spans="15:73"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</row>
    <row r="520" spans="15:73"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</row>
    <row r="521" spans="15:73"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</row>
    <row r="522" spans="15:73"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</row>
    <row r="523" spans="15:73"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</row>
    <row r="524" spans="15:73"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</row>
    <row r="525" spans="15:73"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</row>
    <row r="526" spans="15:73"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</row>
    <row r="527" spans="15:73"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</row>
    <row r="528" spans="15:73"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</row>
    <row r="529" spans="15:73"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</row>
    <row r="530" spans="15:73"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</row>
    <row r="531" spans="15:73"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</row>
    <row r="532" spans="15:73"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</row>
    <row r="533" spans="15:73"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</row>
    <row r="534" spans="15:73"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</row>
    <row r="535" spans="15:73"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</row>
    <row r="536" spans="15:73"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</row>
    <row r="537" spans="15:73"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</row>
    <row r="538" spans="15:73"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</row>
    <row r="539" spans="15:73"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</row>
    <row r="540" spans="15:73"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</row>
    <row r="541" spans="15:73"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</row>
    <row r="542" spans="15:73"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</row>
    <row r="543" spans="15:73"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</row>
    <row r="544" spans="15:73"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</row>
    <row r="545" spans="15:73"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</row>
    <row r="546" spans="15:73"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</row>
    <row r="547" spans="15:73"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</row>
    <row r="548" spans="15:73"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</row>
    <row r="549" spans="15:73"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</row>
    <row r="550" spans="15:73"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</row>
    <row r="551" spans="15:73"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</row>
    <row r="552" spans="15:73"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</row>
    <row r="553" spans="15:73"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</row>
    <row r="554" spans="15:73"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</row>
    <row r="555" spans="15:73"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</row>
    <row r="556" spans="15:73"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</row>
    <row r="557" spans="15:73"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</row>
  </sheetData>
  <dataConsolidate link="1"/>
  <phoneticPr fontId="60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5"/>
  <sheetViews>
    <sheetView showGridLines="0" zoomScale="70" zoomScaleNormal="70" workbookViewId="0"/>
  </sheetViews>
  <sheetFormatPr defaultColWidth="9.33203125" defaultRowHeight="13.2"/>
  <cols>
    <col min="1" max="1" width="16" customWidth="1"/>
    <col min="2" max="2" width="12.44140625" bestFit="1" customWidth="1"/>
    <col min="3" max="3" width="14.6640625" bestFit="1" customWidth="1"/>
    <col min="4" max="4" width="12" bestFit="1" customWidth="1"/>
    <col min="5" max="5" width="13.44140625" bestFit="1" customWidth="1"/>
    <col min="6" max="6" width="6.88671875" customWidth="1"/>
    <col min="7" max="7" width="14.44140625" bestFit="1" customWidth="1"/>
    <col min="8" max="8" width="15.44140625" bestFit="1" customWidth="1"/>
    <col min="9" max="9" width="13.44140625" bestFit="1" customWidth="1"/>
    <col min="10" max="10" width="10.5546875" customWidth="1"/>
    <col min="11" max="11" width="13.5546875" customWidth="1"/>
    <col min="12" max="12" width="11.5546875" bestFit="1" customWidth="1"/>
    <col min="13" max="13" width="14.6640625" customWidth="1"/>
    <col min="14" max="14" width="15.33203125" customWidth="1"/>
  </cols>
  <sheetData>
    <row r="1" spans="1:16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3.8">
      <c r="A2" s="15"/>
      <c r="B2" s="206" t="s">
        <v>58</v>
      </c>
      <c r="C2" s="206"/>
      <c r="D2" s="206"/>
      <c r="E2" s="206"/>
      <c r="F2" s="15"/>
      <c r="G2" s="206" t="s">
        <v>59</v>
      </c>
      <c r="H2" s="206"/>
      <c r="I2" s="206"/>
      <c r="J2" s="15"/>
    </row>
    <row r="3" spans="1:16" ht="13.8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3.8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4">
      <c r="A5" s="15"/>
      <c r="B5" s="207" t="s">
        <v>67</v>
      </c>
      <c r="C5" s="207"/>
      <c r="D5" s="207"/>
      <c r="E5" s="207"/>
      <c r="F5" s="207"/>
      <c r="G5" s="207"/>
      <c r="H5" s="207"/>
      <c r="I5" s="207"/>
      <c r="J5" s="207"/>
    </row>
    <row r="6" spans="1:16" ht="13.8">
      <c r="A6" s="15" t="s">
        <v>35</v>
      </c>
      <c r="B6" s="186">
        <v>370.89100000000002</v>
      </c>
      <c r="C6" s="37">
        <f>C23</f>
        <v>54106.152000000002</v>
      </c>
      <c r="D6" s="37">
        <f>D23</f>
        <v>687.19162825499996</v>
      </c>
      <c r="E6" s="112">
        <f>SUM(B6:D6)</f>
        <v>55164.234628255006</v>
      </c>
      <c r="F6" s="37"/>
      <c r="G6" s="37">
        <f>E6-H6-J6</f>
        <v>38656.549049055007</v>
      </c>
      <c r="H6" s="187">
        <f>H23</f>
        <v>16054.395579199998</v>
      </c>
      <c r="I6" s="37">
        <f>E6-J6</f>
        <v>54710.944628255005</v>
      </c>
      <c r="J6" s="37">
        <f>J22</f>
        <v>453.29</v>
      </c>
      <c r="K6" s="83"/>
      <c r="L6" s="122"/>
      <c r="M6" s="92"/>
    </row>
    <row r="7" spans="1:16" ht="16.2">
      <c r="A7" s="15" t="s">
        <v>36</v>
      </c>
      <c r="B7" s="186">
        <f>J6</f>
        <v>453.29</v>
      </c>
      <c r="C7" s="37">
        <v>57296.59</v>
      </c>
      <c r="D7" s="37">
        <v>725</v>
      </c>
      <c r="E7" s="112">
        <f>SUM(B7:D7)</f>
        <v>58474.879999999997</v>
      </c>
      <c r="F7" s="37"/>
      <c r="G7" s="37">
        <v>40625</v>
      </c>
      <c r="H7" s="187">
        <v>17400</v>
      </c>
      <c r="I7" s="37">
        <f>SUM(G7:H7)</f>
        <v>58025</v>
      </c>
      <c r="J7" s="37">
        <f>E7-I7</f>
        <v>449.87999999999738</v>
      </c>
      <c r="K7" s="83"/>
      <c r="L7" s="122"/>
    </row>
    <row r="8" spans="1:16" ht="16.2">
      <c r="A8" s="15" t="s">
        <v>37</v>
      </c>
      <c r="B8" s="186">
        <f>J7</f>
        <v>449.87999999999738</v>
      </c>
      <c r="C8" s="37">
        <v>59850</v>
      </c>
      <c r="D8" s="37">
        <v>650</v>
      </c>
      <c r="E8" s="112">
        <f>SUM(B8:D8)</f>
        <v>60949.88</v>
      </c>
      <c r="F8" s="37"/>
      <c r="G8" s="37">
        <v>41775</v>
      </c>
      <c r="H8" s="187">
        <v>18700</v>
      </c>
      <c r="I8" s="37">
        <f>SUM(G8:H8)</f>
        <v>60475</v>
      </c>
      <c r="J8" s="37">
        <f>E8-I8</f>
        <v>474.87999999999738</v>
      </c>
      <c r="L8" s="122"/>
    </row>
    <row r="9" spans="1:16" ht="13.8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3.8">
      <c r="A10" s="30" t="s">
        <v>35</v>
      </c>
      <c r="B10" s="39"/>
      <c r="C10" s="6"/>
      <c r="D10" s="6"/>
      <c r="E10" s="6"/>
      <c r="F10" s="6"/>
      <c r="G10" s="6"/>
      <c r="H10" s="6"/>
      <c r="I10" s="6"/>
      <c r="J10" s="6"/>
    </row>
    <row r="11" spans="1:16" ht="14.4">
      <c r="A11" s="15" t="s">
        <v>39</v>
      </c>
      <c r="B11" s="101">
        <v>370.89100000000002</v>
      </c>
      <c r="C11" s="102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5">
        <f t="shared" ref="I11:I20" si="2">E11-J11</f>
        <v>4822.5225635819997</v>
      </c>
      <c r="J11" s="102">
        <v>334.63900000000001</v>
      </c>
      <c r="K11" s="81"/>
      <c r="M11" s="114"/>
      <c r="N11" s="34"/>
    </row>
    <row r="12" spans="1:16" ht="14.4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(48399.9*1.10231)/1000</f>
        <v>53.351693769000001</v>
      </c>
      <c r="E12" s="6">
        <f t="shared" si="0"/>
        <v>5094.1986937689999</v>
      </c>
      <c r="F12" s="6"/>
      <c r="G12" s="6">
        <f t="shared" si="1"/>
        <v>3279.4650472620001</v>
      </c>
      <c r="H12" s="6">
        <f>(1370119.7*1.10231)/1000</f>
        <v>1510.2966465069999</v>
      </c>
      <c r="I12" s="6">
        <f t="shared" si="2"/>
        <v>4789.761693769</v>
      </c>
      <c r="J12" s="6">
        <v>304.43700000000001</v>
      </c>
      <c r="K12" s="81"/>
      <c r="M12" s="114"/>
      <c r="N12" s="34"/>
    </row>
    <row r="13" spans="1:16" ht="14.4">
      <c r="A13" s="15" t="s">
        <v>42</v>
      </c>
      <c r="B13" s="39">
        <f t="shared" si="3"/>
        <v>304.43700000000001</v>
      </c>
      <c r="C13" s="6">
        <v>4818.3419999999996</v>
      </c>
      <c r="D13" s="99">
        <f>(53119.3*1.10231)/1000</f>
        <v>58.553935582999998</v>
      </c>
      <c r="E13" s="99">
        <f t="shared" si="0"/>
        <v>5181.3329355829992</v>
      </c>
      <c r="F13" s="99"/>
      <c r="G13" s="99">
        <f t="shared" si="1"/>
        <v>3047.0038594659991</v>
      </c>
      <c r="H13" s="99">
        <f>(1481950.7*1.10231)/1000</f>
        <v>1633.5690761169999</v>
      </c>
      <c r="I13" s="99">
        <f t="shared" si="2"/>
        <v>4680.572935582999</v>
      </c>
      <c r="J13" s="6">
        <v>500.76</v>
      </c>
      <c r="K13" s="81"/>
      <c r="M13" s="114"/>
      <c r="N13" s="34"/>
    </row>
    <row r="14" spans="1:16" ht="14.4">
      <c r="A14" s="15" t="s">
        <v>43</v>
      </c>
      <c r="B14" s="39">
        <f t="shared" si="3"/>
        <v>500.76</v>
      </c>
      <c r="C14" s="6">
        <v>4583.558</v>
      </c>
      <c r="D14" s="99">
        <f>(52827.5*1.10231)/1000</f>
        <v>58.232281524999991</v>
      </c>
      <c r="E14" s="99">
        <f t="shared" si="0"/>
        <v>5142.5502815250002</v>
      </c>
      <c r="F14" s="99"/>
      <c r="G14" s="99">
        <f t="shared" si="1"/>
        <v>3339.3040949930009</v>
      </c>
      <c r="H14" s="99">
        <f>(1318297.2*1.10231)/1000</f>
        <v>1453.1721865319998</v>
      </c>
      <c r="I14" s="99">
        <f t="shared" si="2"/>
        <v>4792.4762815250006</v>
      </c>
      <c r="J14" s="6">
        <v>350.07400000000001</v>
      </c>
      <c r="K14" s="81"/>
      <c r="M14" s="114"/>
      <c r="N14" s="34"/>
      <c r="P14" s="34"/>
    </row>
    <row r="15" spans="1:16" ht="14.4">
      <c r="A15" s="15" t="s">
        <v>44</v>
      </c>
      <c r="B15" s="39">
        <f t="shared" si="3"/>
        <v>350.07400000000001</v>
      </c>
      <c r="C15" s="6">
        <v>4546.5569999999998</v>
      </c>
      <c r="D15" s="99">
        <f>(58043.6*1.10231)/1000</f>
        <v>63.982040715999993</v>
      </c>
      <c r="E15" s="99">
        <f t="shared" si="0"/>
        <v>4960.613040715999</v>
      </c>
      <c r="F15" s="99"/>
      <c r="G15" s="99">
        <f t="shared" si="1"/>
        <v>3079.5834602569989</v>
      </c>
      <c r="H15" s="99">
        <f>(1410298.9*1.10231)/1000</f>
        <v>1554.5865804589998</v>
      </c>
      <c r="I15" s="99">
        <f t="shared" si="2"/>
        <v>4634.1700407159988</v>
      </c>
      <c r="J15" s="6">
        <v>326.44299999999998</v>
      </c>
      <c r="K15" s="81"/>
      <c r="M15" s="114"/>
      <c r="N15" s="34"/>
      <c r="P15" s="34"/>
    </row>
    <row r="16" spans="1:16" ht="14.4">
      <c r="A16" s="15" t="s">
        <v>46</v>
      </c>
      <c r="B16" s="39">
        <f t="shared" si="3"/>
        <v>326.44299999999998</v>
      </c>
      <c r="C16" s="6">
        <v>4793.0349999999999</v>
      </c>
      <c r="D16" s="99">
        <f>(52418.3*1.10231)/1000</f>
        <v>57.781216272999998</v>
      </c>
      <c r="E16" s="99">
        <f t="shared" si="0"/>
        <v>5177.2592162729998</v>
      </c>
      <c r="F16" s="99"/>
      <c r="G16" s="99">
        <f t="shared" si="1"/>
        <v>3008.5963363159999</v>
      </c>
      <c r="H16" s="99">
        <f>(1459614.7*1.10231)/1000</f>
        <v>1608.9478799569997</v>
      </c>
      <c r="I16" s="99">
        <f t="shared" si="2"/>
        <v>4617.5442162729996</v>
      </c>
      <c r="J16" s="6">
        <v>559.71500000000003</v>
      </c>
      <c r="K16" s="81"/>
      <c r="M16" s="114"/>
      <c r="N16" s="34"/>
      <c r="P16" s="34"/>
    </row>
    <row r="17" spans="1:16" ht="14.4">
      <c r="A17" s="15" t="s">
        <v>47</v>
      </c>
      <c r="B17" s="39">
        <f t="shared" si="3"/>
        <v>559.71500000000003</v>
      </c>
      <c r="C17" s="6">
        <v>4201.777</v>
      </c>
      <c r="D17" s="99">
        <f>(45672*1.10231)/1000</f>
        <v>50.344702319999996</v>
      </c>
      <c r="E17" s="99">
        <f t="shared" si="0"/>
        <v>4811.8367023199999</v>
      </c>
      <c r="F17" s="99"/>
      <c r="G17" s="99">
        <f t="shared" si="1"/>
        <v>3088.506345672</v>
      </c>
      <c r="H17" s="99">
        <f>(1259080.8*1.10231)/1000</f>
        <v>1387.8973566479999</v>
      </c>
      <c r="I17" s="99">
        <f t="shared" si="2"/>
        <v>4476.4037023199999</v>
      </c>
      <c r="J17" s="6">
        <v>335.43299999999999</v>
      </c>
      <c r="K17" s="81"/>
      <c r="M17" s="114"/>
      <c r="N17" s="34"/>
      <c r="P17" s="34"/>
    </row>
    <row r="18" spans="1:16" ht="14.4">
      <c r="A18" s="15" t="s">
        <v>48</v>
      </c>
      <c r="B18" s="39">
        <f t="shared" si="3"/>
        <v>335.43299999999999</v>
      </c>
      <c r="C18" s="6">
        <v>4506.893</v>
      </c>
      <c r="D18" s="99">
        <f>(61779.5*1.10231)/1000</f>
        <v>68.100160645000003</v>
      </c>
      <c r="E18" s="99">
        <f t="shared" si="0"/>
        <v>4910.426160645</v>
      </c>
      <c r="F18" s="99"/>
      <c r="G18" s="99">
        <f t="shared" si="1"/>
        <v>3412.0848311660002</v>
      </c>
      <c r="H18" s="99">
        <f>(1039540.9*1.10231)/1000</f>
        <v>1145.8963294789999</v>
      </c>
      <c r="I18" s="99">
        <f t="shared" si="2"/>
        <v>4557.9811606450003</v>
      </c>
      <c r="J18" s="6">
        <v>352.44499999999999</v>
      </c>
      <c r="K18" s="81"/>
      <c r="M18" s="114"/>
      <c r="N18" s="34"/>
      <c r="P18" s="34"/>
    </row>
    <row r="19" spans="1:16" ht="14.4">
      <c r="A19" s="15" t="s">
        <v>50</v>
      </c>
      <c r="B19" s="39">
        <f>J18</f>
        <v>352.44499999999999</v>
      </c>
      <c r="C19" s="6">
        <v>4330.68</v>
      </c>
      <c r="D19" s="99">
        <f>(45020.5*1.10231)/1000</f>
        <v>49.626547354999992</v>
      </c>
      <c r="E19" s="99">
        <f t="shared" si="0"/>
        <v>4732.7515473550002</v>
      </c>
      <c r="F19" s="99"/>
      <c r="G19" s="99">
        <f t="shared" si="1"/>
        <v>3034.9173589560005</v>
      </c>
      <c r="H19" s="99">
        <f>(1093072.9*1.10231)/1000</f>
        <v>1204.9051883989998</v>
      </c>
      <c r="I19" s="99">
        <f t="shared" si="2"/>
        <v>4239.8225473550001</v>
      </c>
      <c r="J19" s="6">
        <v>492.92899999999997</v>
      </c>
      <c r="K19" s="81"/>
      <c r="M19" s="114"/>
      <c r="N19" s="34"/>
      <c r="P19" s="34"/>
    </row>
    <row r="20" spans="1:16" ht="14.4">
      <c r="A20" s="15" t="s">
        <v>51</v>
      </c>
      <c r="B20" s="39">
        <f>J19</f>
        <v>492.92899999999997</v>
      </c>
      <c r="C20" s="6">
        <v>4548.6549999999997</v>
      </c>
      <c r="D20" s="99">
        <f>(38702.9*1.10231)/1000</f>
        <v>42.662593698999999</v>
      </c>
      <c r="E20" s="99">
        <f t="shared" si="0"/>
        <v>5084.2465936990002</v>
      </c>
      <c r="F20" s="99"/>
      <c r="G20" s="99">
        <f t="shared" si="1"/>
        <v>3535.9337989220003</v>
      </c>
      <c r="H20" s="99">
        <f>(1014036.7*1.10231)/1000</f>
        <v>1117.7827947769999</v>
      </c>
      <c r="I20" s="99">
        <f t="shared" si="2"/>
        <v>4653.7165936990004</v>
      </c>
      <c r="J20" s="6">
        <v>430.53</v>
      </c>
      <c r="K20" s="81"/>
      <c r="M20" s="114"/>
      <c r="N20" s="34"/>
      <c r="P20" s="34"/>
    </row>
    <row r="21" spans="1:16" ht="14.4">
      <c r="A21" s="15" t="s">
        <v>52</v>
      </c>
      <c r="B21" s="39">
        <f>J20</f>
        <v>430.53</v>
      </c>
      <c r="C21" s="6">
        <v>3963.0810000000001</v>
      </c>
      <c r="D21" s="99">
        <f>(54052.6*1.10231)/1000</f>
        <v>59.582721505999992</v>
      </c>
      <c r="E21" s="99">
        <f t="shared" si="0"/>
        <v>4453.1937215059997</v>
      </c>
      <c r="F21" s="99"/>
      <c r="G21" s="99">
        <f>I21-H21</f>
        <v>3096.7477066129995</v>
      </c>
      <c r="H21" s="99">
        <f>(909820.3*1.10231)/1000</f>
        <v>1002.9040148930001</v>
      </c>
      <c r="I21" s="99">
        <f>E21-J21</f>
        <v>4099.6517215059994</v>
      </c>
      <c r="J21" s="6">
        <v>353.54199999999997</v>
      </c>
      <c r="K21" s="81"/>
      <c r="M21" s="114"/>
      <c r="N21" s="34"/>
      <c r="P21" s="34"/>
    </row>
    <row r="22" spans="1:16" ht="14.4">
      <c r="A22" s="15" t="s">
        <v>38</v>
      </c>
      <c r="B22" s="39">
        <f>J21</f>
        <v>353.54199999999997</v>
      </c>
      <c r="C22" s="6">
        <v>4368.8829999999998</v>
      </c>
      <c r="D22" s="99">
        <f>(70022*1.10231)/1000</f>
        <v>77.185950820000002</v>
      </c>
      <c r="E22" s="99">
        <f t="shared" si="0"/>
        <v>4799.6109508199997</v>
      </c>
      <c r="F22" s="99"/>
      <c r="G22" s="99">
        <f>I22-H22</f>
        <v>3131.4083308549998</v>
      </c>
      <c r="H22" s="99">
        <f>(1102151.5*1.10231)/1000</f>
        <v>1214.9126199649997</v>
      </c>
      <c r="I22" s="99">
        <f>E22-J22</f>
        <v>4346.3209508199998</v>
      </c>
      <c r="J22" s="6">
        <v>453.29</v>
      </c>
      <c r="K22" s="84"/>
      <c r="M22" s="114"/>
      <c r="N22" s="34"/>
      <c r="P22" s="34"/>
    </row>
    <row r="23" spans="1:16" ht="14.4">
      <c r="A23" s="15" t="s">
        <v>29</v>
      </c>
      <c r="B23" s="39"/>
      <c r="C23" s="6">
        <f>SUM(C11:C22)</f>
        <v>54106.152000000002</v>
      </c>
      <c r="D23" s="6">
        <f>(623410.5*1.10231)/1000</f>
        <v>687.19162825499996</v>
      </c>
      <c r="E23" s="6">
        <f>B11+C23+D23</f>
        <v>55164.234628255006</v>
      </c>
      <c r="F23" s="6"/>
      <c r="G23" s="6">
        <f>SUM(G11:G22)</f>
        <v>38656.548828593004</v>
      </c>
      <c r="H23" s="6">
        <f>(14564320*1.10231)/1000</f>
        <v>16054.395579199998</v>
      </c>
      <c r="I23" s="5">
        <f>SUM(I11:I22)</f>
        <v>54710.944407793002</v>
      </c>
      <c r="J23" s="6"/>
      <c r="K23" s="113"/>
      <c r="M23" s="114"/>
      <c r="N23" s="34"/>
      <c r="P23" s="34"/>
    </row>
    <row r="24" spans="1:16" ht="14.4">
      <c r="A24" s="15"/>
      <c r="B24" s="39"/>
      <c r="C24" s="6"/>
      <c r="D24" s="6"/>
      <c r="E24" s="6"/>
      <c r="F24" s="6"/>
      <c r="G24" s="6"/>
      <c r="H24" s="6"/>
      <c r="I24" s="6"/>
      <c r="J24" s="6"/>
      <c r="K24" s="81"/>
      <c r="M24" s="114"/>
      <c r="N24" s="34"/>
      <c r="P24" s="34"/>
    </row>
    <row r="25" spans="1:16" ht="14.4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1"/>
      <c r="M25" s="114"/>
      <c r="N25" s="34"/>
      <c r="P25" s="34"/>
    </row>
    <row r="26" spans="1:16" ht="14.4">
      <c r="A26" s="15" t="s">
        <v>39</v>
      </c>
      <c r="B26" s="39">
        <f>J22</f>
        <v>453.29</v>
      </c>
      <c r="C26" s="6">
        <v>5088.7489999999998</v>
      </c>
      <c r="D26" s="99">
        <f>(42996.7*1.10231)/1000</f>
        <v>47.395692376999989</v>
      </c>
      <c r="E26" s="6">
        <f t="shared" ref="E26:E31" si="4">SUM(B26:D26)</f>
        <v>5589.4346923769999</v>
      </c>
      <c r="F26" s="6"/>
      <c r="G26" s="13">
        <f t="shared" ref="G26:G31" si="5">I26-H26</f>
        <v>3795.6486350929999</v>
      </c>
      <c r="H26" s="99">
        <f>(1317756.4*1.10231)/1000</f>
        <v>1452.5760572839999</v>
      </c>
      <c r="I26" s="99">
        <f t="shared" ref="I26:I31" si="6">E26-J26</f>
        <v>5248.2246923769999</v>
      </c>
      <c r="J26" s="6">
        <v>341.21000000000004</v>
      </c>
      <c r="K26" s="81"/>
      <c r="M26" s="114"/>
      <c r="N26" s="34"/>
      <c r="P26" s="34"/>
    </row>
    <row r="27" spans="1:16" ht="14.4">
      <c r="A27" s="15" t="s">
        <v>40</v>
      </c>
      <c r="B27" s="39">
        <f t="shared" ref="B27:B32" si="7">J26</f>
        <v>341.21000000000004</v>
      </c>
      <c r="C27" s="6">
        <v>4974.8110000000006</v>
      </c>
      <c r="D27" s="99">
        <f>(46651.6*1.10231)/1000</f>
        <v>51.424525195999998</v>
      </c>
      <c r="E27" s="99">
        <f t="shared" si="4"/>
        <v>5367.4455251960007</v>
      </c>
      <c r="F27" s="6"/>
      <c r="G27" s="13">
        <f t="shared" si="5"/>
        <v>3180.0653300800004</v>
      </c>
      <c r="H27" s="99">
        <f>(1518283.6*1.10231)/1000</f>
        <v>1673.6191951160001</v>
      </c>
      <c r="I27" s="99">
        <f t="shared" si="6"/>
        <v>4853.6845251960003</v>
      </c>
      <c r="J27" s="6">
        <v>513.76099999999997</v>
      </c>
      <c r="K27" s="81"/>
      <c r="M27" s="114"/>
      <c r="N27" s="34"/>
      <c r="P27" s="34"/>
    </row>
    <row r="28" spans="1:16" ht="14.4">
      <c r="A28" s="15" t="s">
        <v>42</v>
      </c>
      <c r="B28" s="39">
        <f t="shared" si="7"/>
        <v>513.76099999999997</v>
      </c>
      <c r="C28" s="97">
        <v>5162.1440000000002</v>
      </c>
      <c r="D28" s="99">
        <f>(31881.2*1.10231)/1000</f>
        <v>35.142965572000001</v>
      </c>
      <c r="E28" s="99">
        <f t="shared" si="4"/>
        <v>5711.047965572001</v>
      </c>
      <c r="F28" s="99"/>
      <c r="G28" s="13">
        <f t="shared" si="5"/>
        <v>3587.6579006430011</v>
      </c>
      <c r="H28" s="99">
        <f>(1513235.9*1.10231)/1000</f>
        <v>1668.0550649289996</v>
      </c>
      <c r="I28" s="99">
        <f t="shared" si="6"/>
        <v>5255.7129655720009</v>
      </c>
      <c r="J28" s="6">
        <v>455.33500000000004</v>
      </c>
      <c r="K28" s="81"/>
      <c r="L28" s="98"/>
      <c r="M28" s="114"/>
      <c r="N28" s="34"/>
      <c r="P28" s="34"/>
    </row>
    <row r="29" spans="1:16" ht="14.4">
      <c r="A29" s="15" t="s">
        <v>43</v>
      </c>
      <c r="B29" s="39">
        <f t="shared" si="7"/>
        <v>455.33500000000004</v>
      </c>
      <c r="C29" s="6">
        <v>5046.0140000000001</v>
      </c>
      <c r="D29" s="99">
        <f>(49274.6*1.10231)/1000</f>
        <v>54.315884325999995</v>
      </c>
      <c r="E29" s="99">
        <f t="shared" si="4"/>
        <v>5555.664884326</v>
      </c>
      <c r="F29" s="99"/>
      <c r="G29" s="13">
        <f t="shared" si="5"/>
        <v>3522.7561092720007</v>
      </c>
      <c r="H29" s="99">
        <f>(1425123.4*1.10231)/1000</f>
        <v>1570.9277750539998</v>
      </c>
      <c r="I29" s="99">
        <f t="shared" si="6"/>
        <v>5093.6838843260002</v>
      </c>
      <c r="J29" s="6">
        <v>461.98099999999999</v>
      </c>
      <c r="K29" s="81"/>
      <c r="M29" s="114"/>
      <c r="N29" s="34"/>
    </row>
    <row r="30" spans="1:16" s="123" customFormat="1" ht="14.4">
      <c r="A30" s="118" t="s">
        <v>44</v>
      </c>
      <c r="B30" s="101">
        <f t="shared" si="7"/>
        <v>461.98099999999999</v>
      </c>
      <c r="C30" s="102">
        <v>4504.5150000000003</v>
      </c>
      <c r="D30" s="138">
        <f>(53629.4*1.10231)/1000</f>
        <v>59.116223913999995</v>
      </c>
      <c r="E30" s="138">
        <f t="shared" si="4"/>
        <v>5025.6122239140004</v>
      </c>
      <c r="F30" s="138"/>
      <c r="G30" s="13">
        <f t="shared" si="5"/>
        <v>3314.0849477780007</v>
      </c>
      <c r="H30" s="138">
        <f>(1124725.6*1.10231)/1000</f>
        <v>1239.796276136</v>
      </c>
      <c r="I30" s="138">
        <f t="shared" si="6"/>
        <v>4553.8812239140007</v>
      </c>
      <c r="J30" s="102">
        <v>471.73099999999999</v>
      </c>
      <c r="K30" s="144"/>
      <c r="M30" s="114"/>
      <c r="N30" s="34"/>
    </row>
    <row r="31" spans="1:16" s="123" customFormat="1" ht="14.4">
      <c r="A31" s="118" t="s">
        <v>46</v>
      </c>
      <c r="B31" s="39">
        <f t="shared" si="7"/>
        <v>471.73099999999999</v>
      </c>
      <c r="C31" s="6">
        <v>4930.2179999999998</v>
      </c>
      <c r="D31" s="99">
        <f>(62064.5*1.10231)/1000</f>
        <v>68.414318994999988</v>
      </c>
      <c r="E31" s="99">
        <f t="shared" si="4"/>
        <v>5470.3633189949996</v>
      </c>
      <c r="F31" s="99"/>
      <c r="G31" s="13">
        <f t="shared" si="5"/>
        <v>3292.4341531029995</v>
      </c>
      <c r="H31" s="99">
        <f>(1593353.2*1.10231)/1000</f>
        <v>1756.369165892</v>
      </c>
      <c r="I31" s="99">
        <f t="shared" si="6"/>
        <v>5048.8033189949992</v>
      </c>
      <c r="J31" s="6">
        <v>421.56</v>
      </c>
      <c r="K31" s="144"/>
      <c r="M31" s="114"/>
      <c r="N31" s="34"/>
    </row>
    <row r="32" spans="1:16" ht="14.4">
      <c r="A32" s="15" t="s">
        <v>47</v>
      </c>
      <c r="B32" s="39">
        <f t="shared" si="7"/>
        <v>421.56</v>
      </c>
      <c r="C32" s="6">
        <v>4813.8410000000003</v>
      </c>
      <c r="D32" s="99">
        <f>(71057.1*1.10231)/1000</f>
        <v>78.326951900999987</v>
      </c>
      <c r="E32" s="99">
        <f t="shared" ref="E32" si="8">SUM(B32:D32)</f>
        <v>5313.7279519010008</v>
      </c>
      <c r="F32" s="99"/>
      <c r="G32" s="184">
        <f t="shared" ref="G32" si="9">I32-H32</f>
        <v>3401.4645248270012</v>
      </c>
      <c r="H32" s="99">
        <f>(1345665.4*1.10231)/1000</f>
        <v>1483.3404270739998</v>
      </c>
      <c r="I32" s="99">
        <f t="shared" ref="I32" si="10">E32-J32</f>
        <v>4884.804951901001</v>
      </c>
      <c r="J32" s="6">
        <v>428.923</v>
      </c>
      <c r="K32" s="81"/>
      <c r="M32" s="114"/>
      <c r="N32" s="34"/>
    </row>
    <row r="33" spans="1:14" ht="14.4">
      <c r="A33" s="15" t="s">
        <v>48</v>
      </c>
      <c r="B33" s="39">
        <f t="shared" ref="B33" si="11">J32</f>
        <v>428.923</v>
      </c>
      <c r="C33" s="6">
        <v>4832.6099999999997</v>
      </c>
      <c r="D33" s="99">
        <f>(92777.2*1.10231)/1000</f>
        <v>102.26923533199998</v>
      </c>
      <c r="E33" s="99">
        <f t="shared" ref="E33" si="12">SUM(B33:D33)</f>
        <v>5363.8022353319993</v>
      </c>
      <c r="F33" s="99"/>
      <c r="G33" s="185">
        <f t="shared" ref="G33" si="13">I33-H33</f>
        <v>3408.8013213889994</v>
      </c>
      <c r="H33" s="99">
        <f>(1361075.3*1.10231)/1000</f>
        <v>1500.3269139429999</v>
      </c>
      <c r="I33" s="99">
        <f t="shared" ref="I33" si="14">E33-J33</f>
        <v>4909.1282353319993</v>
      </c>
      <c r="J33" s="6">
        <v>454.67399999999998</v>
      </c>
      <c r="K33" s="81"/>
      <c r="M33" s="114"/>
      <c r="N33" s="34"/>
    </row>
    <row r="34" spans="1:14" ht="16.2">
      <c r="A34" s="203" t="s">
        <v>175</v>
      </c>
      <c r="B34" s="66"/>
      <c r="C34" s="66"/>
      <c r="D34" s="66"/>
      <c r="E34" s="66"/>
      <c r="F34" s="66"/>
      <c r="G34" s="66"/>
      <c r="H34" s="66"/>
      <c r="I34" s="66"/>
      <c r="J34" s="66"/>
      <c r="N34" s="34"/>
    </row>
    <row r="35" spans="1:14" ht="14.4">
      <c r="A35" s="15" t="s">
        <v>68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4" ht="13.8">
      <c r="A36" s="20" t="s">
        <v>57</v>
      </c>
      <c r="B36" s="36">
        <f>Contents!A18</f>
        <v>45853</v>
      </c>
      <c r="C36" s="33"/>
      <c r="D36" s="28"/>
      <c r="E36" s="28"/>
      <c r="F36" s="28"/>
      <c r="G36" s="28"/>
      <c r="H36" s="28"/>
      <c r="I36" s="28"/>
      <c r="J36" s="28"/>
    </row>
    <row r="37" spans="1:14">
      <c r="B37" s="40"/>
      <c r="C37" s="41"/>
      <c r="D37" s="40"/>
      <c r="E37" s="78"/>
      <c r="F37" s="40"/>
      <c r="G37" s="40"/>
      <c r="H37" s="42"/>
      <c r="I37" s="78"/>
      <c r="J37" s="40"/>
    </row>
    <row r="38" spans="1:14">
      <c r="B38" s="40"/>
      <c r="D38" s="40"/>
      <c r="E38" s="40"/>
      <c r="F38" s="40"/>
      <c r="G38" s="40"/>
      <c r="H38" s="40"/>
      <c r="I38" s="40"/>
      <c r="J38" s="40"/>
    </row>
    <row r="39" spans="1:14">
      <c r="G39" s="132"/>
      <c r="H39" s="65"/>
    </row>
    <row r="40" spans="1:14">
      <c r="G40" s="87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  <row r="63" spans="2:9">
      <c r="B63" s="34"/>
      <c r="C63" s="34"/>
      <c r="D63" s="34"/>
      <c r="E63" s="34"/>
      <c r="F63" s="34"/>
      <c r="G63" s="34"/>
      <c r="H63" s="34"/>
      <c r="I63" s="34"/>
    </row>
    <row r="64" spans="2:9">
      <c r="B64" s="34"/>
      <c r="C64" s="34"/>
      <c r="D64" s="34"/>
      <c r="E64" s="34"/>
      <c r="F64" s="34"/>
      <c r="G64" s="34"/>
      <c r="H64" s="34"/>
      <c r="I64" s="34"/>
    </row>
    <row r="65" spans="2:9">
      <c r="B65" s="34"/>
      <c r="C65" s="34"/>
      <c r="D65" s="34"/>
      <c r="E65" s="34"/>
      <c r="F65" s="34"/>
      <c r="G65" s="34"/>
      <c r="H65" s="34"/>
      <c r="I65" s="34"/>
    </row>
  </sheetData>
  <mergeCells count="3">
    <mergeCell ref="G2:I2"/>
    <mergeCell ref="B5:J5"/>
    <mergeCell ref="B2:E2"/>
  </mergeCells>
  <phoneticPr fontId="60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61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33203125" defaultRowHeight="13.2"/>
  <cols>
    <col min="1" max="1" width="15.44140625" customWidth="1"/>
    <col min="2" max="2" width="12.44140625" bestFit="1" customWidth="1"/>
    <col min="3" max="3" width="14.886718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3" max="13" width="11.5546875" bestFit="1" customWidth="1"/>
    <col min="14" max="14" width="11.3320312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206" t="s">
        <v>58</v>
      </c>
      <c r="C2" s="206"/>
      <c r="D2" s="206"/>
      <c r="E2" s="206"/>
      <c r="F2" s="15"/>
      <c r="G2" s="206" t="s">
        <v>59</v>
      </c>
      <c r="H2" s="206"/>
      <c r="I2" s="206"/>
      <c r="J2" s="200"/>
      <c r="K2" s="200"/>
      <c r="L2" s="15"/>
    </row>
    <row r="3" spans="1:20" ht="13.8">
      <c r="A3" s="15" t="s">
        <v>18</v>
      </c>
      <c r="B3" s="17" t="s">
        <v>69</v>
      </c>
      <c r="C3" s="17" t="s">
        <v>27</v>
      </c>
      <c r="D3" s="17" t="s">
        <v>70</v>
      </c>
      <c r="E3" s="17" t="s">
        <v>63</v>
      </c>
      <c r="F3" s="17"/>
      <c r="G3" s="200" t="s">
        <v>64</v>
      </c>
      <c r="H3" s="200"/>
      <c r="I3" s="200"/>
      <c r="J3" s="17" t="s">
        <v>71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72</v>
      </c>
      <c r="I4" s="23" t="s">
        <v>73</v>
      </c>
      <c r="J4" s="24"/>
      <c r="K4" s="24"/>
      <c r="L4" s="17" t="s">
        <v>66</v>
      </c>
    </row>
    <row r="5" spans="1:20" ht="14.4">
      <c r="A5" s="15"/>
      <c r="B5" s="208" t="s">
        <v>74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</row>
    <row r="6" spans="1:20" ht="16.2">
      <c r="A6" s="15" t="s">
        <v>75</v>
      </c>
      <c r="B6" s="38">
        <v>1607.0719999999999</v>
      </c>
      <c r="C6" s="38">
        <f>C23</f>
        <v>27092.798000000003</v>
      </c>
      <c r="D6" s="188">
        <f>D23</f>
        <v>620.70845809140008</v>
      </c>
      <c r="E6" s="38">
        <f>SUM(B6:D6)</f>
        <v>29320.578458091404</v>
      </c>
      <c r="F6" s="38"/>
      <c r="G6" s="38">
        <f>K6-J6</f>
        <v>27152.951218589606</v>
      </c>
      <c r="H6" s="38">
        <f>H23</f>
        <v>12989.041999999999</v>
      </c>
      <c r="I6" s="112">
        <f>G6-H6</f>
        <v>14163.909218589606</v>
      </c>
      <c r="J6" s="38">
        <f>J23</f>
        <v>616.76923950180003</v>
      </c>
      <c r="K6" s="38">
        <f>E6-L6</f>
        <v>27769.720458091404</v>
      </c>
      <c r="L6" s="38">
        <f>L22</f>
        <v>1550.8580000000002</v>
      </c>
    </row>
    <row r="7" spans="1:20" ht="16.2">
      <c r="A7" s="15" t="s">
        <v>76</v>
      </c>
      <c r="B7" s="38">
        <f>L6</f>
        <v>1550.8580000000002</v>
      </c>
      <c r="C7" s="38">
        <v>28800</v>
      </c>
      <c r="D7" s="188">
        <v>400</v>
      </c>
      <c r="E7" s="38">
        <f>SUM(B7:D7)</f>
        <v>30750.858</v>
      </c>
      <c r="F7" s="38"/>
      <c r="G7" s="38">
        <f>H7+I7</f>
        <v>26700</v>
      </c>
      <c r="H7" s="38">
        <v>12250</v>
      </c>
      <c r="I7" s="112">
        <v>14450</v>
      </c>
      <c r="J7" s="38">
        <v>2600</v>
      </c>
      <c r="K7" s="38">
        <f>G7+J7</f>
        <v>29300</v>
      </c>
      <c r="L7" s="38">
        <f>E7-K7</f>
        <v>1450.8580000000002</v>
      </c>
      <c r="M7" s="122"/>
      <c r="N7" s="122"/>
      <c r="O7" s="122"/>
      <c r="P7" s="122"/>
      <c r="Q7" s="122"/>
      <c r="R7" s="122"/>
      <c r="S7" s="122"/>
      <c r="T7" s="122"/>
    </row>
    <row r="8" spans="1:20" ht="16.2">
      <c r="A8" s="15" t="s">
        <v>37</v>
      </c>
      <c r="B8" s="38">
        <f>L7</f>
        <v>1450.8580000000002</v>
      </c>
      <c r="C8" s="38">
        <v>29970</v>
      </c>
      <c r="D8" s="188">
        <v>450</v>
      </c>
      <c r="E8" s="38">
        <f>SUM(B8:D8)</f>
        <v>31870.858</v>
      </c>
      <c r="F8" s="38"/>
      <c r="G8" s="38">
        <v>29500</v>
      </c>
      <c r="H8" s="38">
        <v>15500</v>
      </c>
      <c r="I8" s="112">
        <v>14000</v>
      </c>
      <c r="J8" s="38">
        <v>700</v>
      </c>
      <c r="K8" s="38">
        <f>G8+J8</f>
        <v>30200</v>
      </c>
      <c r="L8" s="38">
        <f>E8-K8</f>
        <v>1670.8580000000002</v>
      </c>
    </row>
    <row r="9" spans="1:20" ht="13.8">
      <c r="A9" s="15"/>
      <c r="B9" s="38"/>
      <c r="C9" s="38"/>
      <c r="D9" s="38"/>
      <c r="E9" s="38"/>
      <c r="F9" s="38"/>
      <c r="G9" s="38"/>
      <c r="H9" s="38"/>
      <c r="I9" s="75"/>
      <c r="J9" s="38"/>
      <c r="K9" s="38"/>
      <c r="L9" s="38"/>
    </row>
    <row r="10" spans="1:20" ht="13.8">
      <c r="A10" s="30" t="s">
        <v>35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0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16"/>
      <c r="N11" s="83"/>
      <c r="P11" s="34"/>
    </row>
    <row r="12" spans="1:20" ht="13.8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0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16"/>
      <c r="N12" s="83"/>
      <c r="P12" s="34"/>
    </row>
    <row r="13" spans="1:20" ht="13.8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2186.9788636947997</v>
      </c>
      <c r="H13" s="100">
        <v>1141.8820000000001</v>
      </c>
      <c r="I13" s="6">
        <f t="shared" si="2"/>
        <v>1045.0968636947996</v>
      </c>
      <c r="J13" s="6">
        <f>(5812.3*2204.622)/1000000</f>
        <v>12.8139244506</v>
      </c>
      <c r="K13" s="6">
        <f t="shared" si="3"/>
        <v>2199.7927881453998</v>
      </c>
      <c r="L13" s="5">
        <v>1823.8340000000001</v>
      </c>
      <c r="M13" s="116"/>
      <c r="N13" s="83"/>
      <c r="P13" s="34"/>
    </row>
    <row r="14" spans="1:20" ht="13.8">
      <c r="A14" s="15" t="s">
        <v>43</v>
      </c>
      <c r="B14" s="5">
        <f t="shared" si="4"/>
        <v>1823.8340000000001</v>
      </c>
      <c r="C14" s="6">
        <v>2282.3240000000001</v>
      </c>
      <c r="D14" s="6">
        <f>(22997.3*2204.622)/1000000</f>
        <v>50.70035352059999</v>
      </c>
      <c r="E14" s="6">
        <f t="shared" si="0"/>
        <v>4156.8583535206008</v>
      </c>
      <c r="F14" s="5"/>
      <c r="G14" s="5">
        <f t="shared" si="1"/>
        <v>2117.3029903782008</v>
      </c>
      <c r="H14" s="119">
        <v>960.20299999999997</v>
      </c>
      <c r="I14" s="6">
        <f t="shared" si="2"/>
        <v>1157.0999903782008</v>
      </c>
      <c r="J14" s="6">
        <f>(5219.2*2204.622)/1000000</f>
        <v>11.506363142399998</v>
      </c>
      <c r="K14" s="6">
        <f t="shared" si="3"/>
        <v>2128.8093535206008</v>
      </c>
      <c r="L14" s="5">
        <v>2028.049</v>
      </c>
      <c r="M14" s="136"/>
      <c r="N14" s="83"/>
      <c r="P14" s="34"/>
    </row>
    <row r="15" spans="1:20" ht="13.8">
      <c r="A15" s="15" t="s">
        <v>44</v>
      </c>
      <c r="B15" s="5">
        <f t="shared" si="4"/>
        <v>2028.049</v>
      </c>
      <c r="C15" s="6">
        <v>2288.2179999999998</v>
      </c>
      <c r="D15" s="6">
        <f>(15959.7*2204.622)/1000000</f>
        <v>35.1851057334</v>
      </c>
      <c r="E15" s="6">
        <f t="shared" si="0"/>
        <v>4351.4521057333995</v>
      </c>
      <c r="F15" s="5"/>
      <c r="G15" s="5">
        <f t="shared" si="1"/>
        <v>2190.4728978283993</v>
      </c>
      <c r="H15" s="119">
        <v>888.49</v>
      </c>
      <c r="I15" s="6">
        <f t="shared" si="2"/>
        <v>1301.9828978283992</v>
      </c>
      <c r="J15" s="6">
        <f>(6427.5*2204.622)/1000000</f>
        <v>14.170207905</v>
      </c>
      <c r="K15" s="6">
        <f t="shared" si="3"/>
        <v>2204.6431057333994</v>
      </c>
      <c r="L15" s="5">
        <v>2146.8090000000002</v>
      </c>
      <c r="M15" s="136"/>
      <c r="N15" s="83"/>
      <c r="P15" s="34"/>
    </row>
    <row r="16" spans="1:20" ht="13.8">
      <c r="A16" s="15" t="s">
        <v>46</v>
      </c>
      <c r="B16" s="5">
        <f t="shared" si="4"/>
        <v>2146.8090000000002</v>
      </c>
      <c r="C16" s="6">
        <v>2403.7959999999998</v>
      </c>
      <c r="D16" s="6">
        <f>(22601.9*2204.622)/1000000</f>
        <v>49.828645981799994</v>
      </c>
      <c r="E16" s="6">
        <f t="shared" si="0"/>
        <v>4600.4336459817996</v>
      </c>
      <c r="F16" s="5"/>
      <c r="G16" s="5">
        <f t="shared" si="1"/>
        <v>2133.1231698371994</v>
      </c>
      <c r="H16" s="119">
        <v>1026.1990000000001</v>
      </c>
      <c r="I16" s="6">
        <f t="shared" si="2"/>
        <v>1106.9241698371993</v>
      </c>
      <c r="J16" s="6">
        <f>(44789.3*2204.622)/1000000</f>
        <v>98.74347614460001</v>
      </c>
      <c r="K16" s="6">
        <f t="shared" si="3"/>
        <v>2231.8666459817996</v>
      </c>
      <c r="L16" s="5">
        <v>2368.567</v>
      </c>
      <c r="M16" s="136"/>
      <c r="N16" s="83"/>
      <c r="P16" s="34"/>
    </row>
    <row r="17" spans="1:17" ht="13.8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2186.8431246112</v>
      </c>
      <c r="H17" s="119">
        <v>1070.029</v>
      </c>
      <c r="I17" s="6">
        <f t="shared" si="2"/>
        <v>1116.8141246112</v>
      </c>
      <c r="J17" s="6">
        <f>(10067.3*2204.622)/1000000</f>
        <v>22.194591060599997</v>
      </c>
      <c r="K17" s="6">
        <f t="shared" si="3"/>
        <v>2209.0377156718</v>
      </c>
      <c r="L17" s="5">
        <v>2310.846</v>
      </c>
      <c r="M17" s="136"/>
      <c r="N17" s="83"/>
      <c r="P17" s="34"/>
    </row>
    <row r="18" spans="1:17" ht="13.8">
      <c r="A18" s="15" t="s">
        <v>48</v>
      </c>
      <c r="B18" s="5">
        <f t="shared" si="4"/>
        <v>2310.846</v>
      </c>
      <c r="C18" s="6">
        <v>2267.1660000000002</v>
      </c>
      <c r="D18" s="6">
        <f>(40376.9*2204.622)/1000000</f>
        <v>89.015802031800007</v>
      </c>
      <c r="E18" s="6">
        <f t="shared" si="0"/>
        <v>4667.027802031801</v>
      </c>
      <c r="F18" s="5"/>
      <c r="G18" s="5">
        <f t="shared" si="1"/>
        <v>2385.3173101740008</v>
      </c>
      <c r="H18" s="119">
        <v>1076.011</v>
      </c>
      <c r="I18" s="6">
        <f t="shared" si="2"/>
        <v>1309.3063101740008</v>
      </c>
      <c r="J18" s="6">
        <f>(42559.9*2204.622)/1000000</f>
        <v>93.828491857799989</v>
      </c>
      <c r="K18" s="6">
        <f t="shared" si="3"/>
        <v>2479.1458020318009</v>
      </c>
      <c r="L18" s="5">
        <v>2187.8820000000001</v>
      </c>
      <c r="M18" s="136"/>
      <c r="N18" s="83"/>
      <c r="P18" s="34"/>
    </row>
    <row r="19" spans="1:17" ht="13.8">
      <c r="A19" s="15" t="s">
        <v>50</v>
      </c>
      <c r="B19" s="5">
        <f t="shared" si="4"/>
        <v>2187.8820000000001</v>
      </c>
      <c r="C19" s="6">
        <v>2182.25</v>
      </c>
      <c r="D19" s="6">
        <f>(45967.2*2204.622)/1000000</f>
        <v>101.34030039839999</v>
      </c>
      <c r="E19" s="6">
        <f t="shared" si="0"/>
        <v>4471.4723003984</v>
      </c>
      <c r="F19" s="5"/>
      <c r="G19" s="5">
        <f t="shared" si="1"/>
        <v>2231.2033797160002</v>
      </c>
      <c r="H19" s="119">
        <v>1266.837</v>
      </c>
      <c r="I19" s="6">
        <f t="shared" si="2"/>
        <v>964.36637971600021</v>
      </c>
      <c r="J19" s="6">
        <f>(52289.2*2204.622)/1000000</f>
        <v>115.27792068239999</v>
      </c>
      <c r="K19" s="6">
        <f t="shared" si="3"/>
        <v>2346.4813003984</v>
      </c>
      <c r="L19" s="5">
        <v>2124.991</v>
      </c>
      <c r="M19" s="136"/>
      <c r="N19" s="83"/>
      <c r="P19" s="34"/>
    </row>
    <row r="20" spans="1:17" ht="13.8">
      <c r="A20" s="15" t="s">
        <v>51</v>
      </c>
      <c r="B20" s="5">
        <f t="shared" si="4"/>
        <v>2124.991</v>
      </c>
      <c r="C20" s="6">
        <v>2303.0819999999999</v>
      </c>
      <c r="D20" s="6">
        <f>(33102.1*2204.622)/1000000</f>
        <v>72.977617906199995</v>
      </c>
      <c r="E20" s="6">
        <f t="shared" si="0"/>
        <v>4501.0506179062004</v>
      </c>
      <c r="F20" s="5"/>
      <c r="G20" s="5">
        <f t="shared" si="1"/>
        <v>2395.4132623784008</v>
      </c>
      <c r="H20" s="119">
        <v>1139.1510000000001</v>
      </c>
      <c r="I20" s="6">
        <f t="shared" si="2"/>
        <v>1256.2622623784007</v>
      </c>
      <c r="J20" s="6">
        <f>(44044.9*2204.622)/1000000</f>
        <v>97.1023555278</v>
      </c>
      <c r="K20" s="6">
        <f t="shared" si="3"/>
        <v>2492.5156179062005</v>
      </c>
      <c r="L20" s="5">
        <v>2008.5349999999999</v>
      </c>
      <c r="M20" s="136"/>
      <c r="N20" s="83"/>
      <c r="P20" s="34"/>
    </row>
    <row r="21" spans="1:17" ht="13.8">
      <c r="A21" s="15" t="s">
        <v>52</v>
      </c>
      <c r="B21" s="5">
        <f t="shared" si="4"/>
        <v>2008.5349999999999</v>
      </c>
      <c r="C21" s="97">
        <v>1991.846</v>
      </c>
      <c r="D21" s="6">
        <f>(6929.9*2204.622)/1000000</f>
        <v>15.277809997799999</v>
      </c>
      <c r="E21" s="6">
        <f t="shared" si="0"/>
        <v>4015.6588099977998</v>
      </c>
      <c r="F21" s="5"/>
      <c r="G21" s="5">
        <f t="shared" si="1"/>
        <v>2322.1978709407999</v>
      </c>
      <c r="H21" s="119">
        <v>1217.0319999999999</v>
      </c>
      <c r="I21" s="6">
        <f t="shared" si="2"/>
        <v>1105.1658709408</v>
      </c>
      <c r="J21" s="6">
        <f>(29043.5*2204.622)/1000000</f>
        <v>64.029939056999993</v>
      </c>
      <c r="K21" s="6">
        <f t="shared" si="3"/>
        <v>2386.2278099977998</v>
      </c>
      <c r="L21" s="5">
        <v>1629.431</v>
      </c>
      <c r="M21" s="136"/>
      <c r="N21" s="83"/>
      <c r="P21" s="34"/>
    </row>
    <row r="22" spans="1:17" ht="13.8">
      <c r="A22" s="15" t="s">
        <v>38</v>
      </c>
      <c r="B22" s="5">
        <v>1629.431</v>
      </c>
      <c r="C22" s="97">
        <v>2201.3490000000002</v>
      </c>
      <c r="D22" s="6">
        <f>(9365.6*2204.622)/1000000</f>
        <v>20.6476078032</v>
      </c>
      <c r="E22" s="6">
        <f t="shared" si="0"/>
        <v>3851.4276078032003</v>
      </c>
      <c r="F22" s="5"/>
      <c r="G22" s="5">
        <f t="shared" si="1"/>
        <v>2240.2145531579999</v>
      </c>
      <c r="H22" s="119">
        <v>1076.2909999999999</v>
      </c>
      <c r="I22" s="6">
        <f t="shared" si="2"/>
        <v>1163.923553158</v>
      </c>
      <c r="J22" s="6">
        <f>(27376.6*2204.622)/1000000</f>
        <v>60.355054645199992</v>
      </c>
      <c r="K22" s="6">
        <f t="shared" si="3"/>
        <v>2300.5696078032001</v>
      </c>
      <c r="L22" s="5">
        <v>1550.8580000000002</v>
      </c>
      <c r="M22" s="136"/>
      <c r="N22" s="83"/>
      <c r="P22" s="34"/>
    </row>
    <row r="23" spans="1:17" ht="13.8">
      <c r="A23" s="15" t="s">
        <v>29</v>
      </c>
      <c r="B23" s="5"/>
      <c r="C23" s="97">
        <f>SUM(C11:C22)</f>
        <v>27092.798000000003</v>
      </c>
      <c r="D23" s="6">
        <f>(281548.7*2204.622)/1000000</f>
        <v>620.70845809140008</v>
      </c>
      <c r="E23" s="6">
        <f>B11+C23+D23</f>
        <v>29320.578458091404</v>
      </c>
      <c r="F23" s="5"/>
      <c r="G23" s="5">
        <f>K23-J23</f>
        <v>27152.950998127406</v>
      </c>
      <c r="H23" s="119">
        <f>SUM(H11:H22)</f>
        <v>12989.041999999999</v>
      </c>
      <c r="I23" s="99">
        <f>G23-H23</f>
        <v>14163.908998127406</v>
      </c>
      <c r="J23" s="6">
        <f>(279761.9*2204.622)/1000000</f>
        <v>616.76923950180003</v>
      </c>
      <c r="K23" s="6">
        <f>SUM(K11:K22)</f>
        <v>27769.720237629204</v>
      </c>
      <c r="L23" s="5"/>
      <c r="P23" s="34"/>
    </row>
    <row r="24" spans="1:17" ht="1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 s="149"/>
      <c r="P24" s="34"/>
    </row>
    <row r="25" spans="1:17" ht="13.8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7" ht="13.8">
      <c r="A26" s="15" t="s">
        <v>39</v>
      </c>
      <c r="B26" s="5">
        <f>L22</f>
        <v>1550.8580000000002</v>
      </c>
      <c r="C26" s="6">
        <v>2543.453</v>
      </c>
      <c r="D26" s="6">
        <f>(13180.2*2204.622)/1000000</f>
        <v>29.057358884399999</v>
      </c>
      <c r="E26" s="6">
        <f t="shared" ref="E26:E31" si="5">SUM(B26:D26)</f>
        <v>4123.3683588844005</v>
      </c>
      <c r="F26" s="5"/>
      <c r="G26" s="5">
        <f t="shared" ref="G26:G31" si="6">K26-J26</f>
        <v>2501.2259029592005</v>
      </c>
      <c r="H26" s="129">
        <v>1227.0820000000001</v>
      </c>
      <c r="I26" s="6">
        <f t="shared" ref="I26" si="7">G26-H26</f>
        <v>1274.1439029592004</v>
      </c>
      <c r="J26" s="6">
        <f>(13616.6*2204.622)/1000000</f>
        <v>30.019455925199999</v>
      </c>
      <c r="K26" s="6">
        <f t="shared" ref="K26:K31" si="8">E26-L26</f>
        <v>2531.2453588844005</v>
      </c>
      <c r="L26" s="6">
        <v>1592.123</v>
      </c>
      <c r="N26" s="34"/>
      <c r="P26" s="34"/>
    </row>
    <row r="27" spans="1:17" ht="13.8">
      <c r="A27" s="15" t="s">
        <v>40</v>
      </c>
      <c r="B27" s="5">
        <f t="shared" ref="B27:B32" si="9">L26</f>
        <v>1592.123</v>
      </c>
      <c r="C27" s="6">
        <v>2489.9409999999998</v>
      </c>
      <c r="D27" s="99">
        <f>(30584.4*2204.622)/1000000</f>
        <v>67.427041096799996</v>
      </c>
      <c r="E27" s="99">
        <f t="shared" si="5"/>
        <v>4149.4910410967996</v>
      </c>
      <c r="F27" s="5"/>
      <c r="G27" s="75">
        <f t="shared" si="6"/>
        <v>2402.7585652577995</v>
      </c>
      <c r="H27" s="129">
        <v>1191.5230000000001</v>
      </c>
      <c r="I27" s="99">
        <f t="shared" ref="I27:I32" si="10">G27-H27</f>
        <v>1211.2355652577994</v>
      </c>
      <c r="J27" s="99">
        <f>(58324.5*2204.622)/1000000</f>
        <v>128.58347583899999</v>
      </c>
      <c r="K27" s="99">
        <f t="shared" si="8"/>
        <v>2531.3420410967997</v>
      </c>
      <c r="L27" s="6">
        <v>1618.1489999999999</v>
      </c>
      <c r="N27" s="34"/>
      <c r="P27" s="34"/>
    </row>
    <row r="28" spans="1:17" ht="13.8">
      <c r="A28" s="15" t="s">
        <v>42</v>
      </c>
      <c r="B28" s="5">
        <f t="shared" si="9"/>
        <v>1618.1489999999999</v>
      </c>
      <c r="C28" s="6">
        <v>2572.6219999999998</v>
      </c>
      <c r="D28" s="99">
        <f>(12365.1*2204.622)/1000000</f>
        <v>27.260371492199997</v>
      </c>
      <c r="E28" s="99">
        <f t="shared" si="5"/>
        <v>4218.0313714921995</v>
      </c>
      <c r="F28" s="75"/>
      <c r="G28" s="75">
        <f t="shared" si="6"/>
        <v>2251.2077308781995</v>
      </c>
      <c r="H28" s="145">
        <v>1096.6990000000001</v>
      </c>
      <c r="I28" s="138">
        <f t="shared" si="10"/>
        <v>1154.5087308781995</v>
      </c>
      <c r="J28" s="99">
        <f>(126837*2204.622)/1000000</f>
        <v>279.62764061399997</v>
      </c>
      <c r="K28" s="99">
        <f t="shared" si="8"/>
        <v>2530.8353714921996</v>
      </c>
      <c r="L28" s="6">
        <v>1687.1959999999999</v>
      </c>
      <c r="N28" s="34"/>
      <c r="P28" s="34"/>
    </row>
    <row r="29" spans="1:17" ht="13.8">
      <c r="A29" s="15" t="s">
        <v>43</v>
      </c>
      <c r="B29" s="5">
        <f t="shared" si="9"/>
        <v>1687.1959999999999</v>
      </c>
      <c r="C29" s="6">
        <v>2526.6570000000002</v>
      </c>
      <c r="D29" s="99">
        <f>(13775.3*2204.622)/1000000</f>
        <v>30.369329436599998</v>
      </c>
      <c r="E29" s="99">
        <f t="shared" si="5"/>
        <v>4244.2223294366004</v>
      </c>
      <c r="F29" s="75"/>
      <c r="G29" s="75">
        <f t="shared" si="6"/>
        <v>1958.7118062530008</v>
      </c>
      <c r="H29" s="145">
        <v>654.25386278320002</v>
      </c>
      <c r="I29" s="138">
        <f t="shared" si="10"/>
        <v>1304.4579434698007</v>
      </c>
      <c r="J29" s="99">
        <f>(212713.8*2204.622)/1000000</f>
        <v>468.95352318359994</v>
      </c>
      <c r="K29" s="99">
        <f t="shared" si="8"/>
        <v>2427.6653294366006</v>
      </c>
      <c r="L29" s="6">
        <v>1816.557</v>
      </c>
      <c r="N29" s="34"/>
      <c r="P29" s="34"/>
    </row>
    <row r="30" spans="1:17" s="123" customFormat="1" ht="13.8">
      <c r="A30" s="118" t="s">
        <v>44</v>
      </c>
      <c r="B30" s="146">
        <f t="shared" si="9"/>
        <v>1816.557</v>
      </c>
      <c r="C30" s="102">
        <v>2245.19</v>
      </c>
      <c r="D30" s="99">
        <f>(11981.2*2204.622)/1000000</f>
        <v>26.414017106399999</v>
      </c>
      <c r="E30" s="138">
        <f t="shared" si="5"/>
        <v>4088.1610171064003</v>
      </c>
      <c r="F30" s="147"/>
      <c r="G30" s="147">
        <f t="shared" si="6"/>
        <v>1864.1661514552004</v>
      </c>
      <c r="H30" s="129">
        <v>576.33199999999999</v>
      </c>
      <c r="I30" s="99">
        <f t="shared" si="10"/>
        <v>1287.8341514552003</v>
      </c>
      <c r="J30" s="99">
        <f>(136249.6*2204.622)/1000000</f>
        <v>300.37886565119999</v>
      </c>
      <c r="K30" s="138">
        <f t="shared" si="8"/>
        <v>2164.5450171064003</v>
      </c>
      <c r="L30" s="6">
        <v>1923.616</v>
      </c>
      <c r="N30" s="141"/>
      <c r="O30"/>
      <c r="P30" s="34"/>
      <c r="Q30"/>
    </row>
    <row r="31" spans="1:17" ht="13.8">
      <c r="A31" s="15" t="s">
        <v>46</v>
      </c>
      <c r="B31" s="5">
        <f t="shared" si="9"/>
        <v>1923.616</v>
      </c>
      <c r="C31" s="6">
        <v>2475.2069999999999</v>
      </c>
      <c r="D31" s="99">
        <f>(12692.6*2204.622)/1000000</f>
        <v>27.982385197199999</v>
      </c>
      <c r="E31" s="99">
        <f t="shared" si="5"/>
        <v>4426.8053851971999</v>
      </c>
      <c r="F31" s="75"/>
      <c r="G31" s="75">
        <f t="shared" si="6"/>
        <v>2003.3059631614001</v>
      </c>
      <c r="H31" s="129">
        <v>832.27700000000004</v>
      </c>
      <c r="I31" s="99">
        <f t="shared" si="10"/>
        <v>1171.0289631614</v>
      </c>
      <c r="J31" s="99">
        <f>(155958.9*2204.622)/1000000</f>
        <v>343.83042203579998</v>
      </c>
      <c r="K31" s="99">
        <f t="shared" si="8"/>
        <v>2347.1363851972001</v>
      </c>
      <c r="L31" s="6">
        <v>2079.6689999999999</v>
      </c>
      <c r="N31" s="34"/>
      <c r="P31" s="34"/>
    </row>
    <row r="32" spans="1:17" ht="13.8">
      <c r="A32" s="15" t="s">
        <v>47</v>
      </c>
      <c r="B32" s="5">
        <f t="shared" si="9"/>
        <v>2079.6689999999999</v>
      </c>
      <c r="C32" s="6">
        <v>2402.8789999999999</v>
      </c>
      <c r="D32" s="99">
        <f>(12042.9*2204.622)/1000000</f>
        <v>26.5500422838</v>
      </c>
      <c r="E32" s="99">
        <f t="shared" ref="E32" si="11">SUM(B32:D32)</f>
        <v>4509.0980422838002</v>
      </c>
      <c r="F32" s="75"/>
      <c r="G32" s="75">
        <f t="shared" ref="G32" si="12">K32-J32</f>
        <v>2182.6129131838002</v>
      </c>
      <c r="H32" s="129">
        <v>829.46</v>
      </c>
      <c r="I32" s="99">
        <f t="shared" si="10"/>
        <v>1353.1529131838001</v>
      </c>
      <c r="J32" s="99">
        <f>(159050*2204.622)/1000000</f>
        <v>350.64512909999996</v>
      </c>
      <c r="K32" s="99">
        <f t="shared" ref="K32" si="13">E32-L32</f>
        <v>2533.2580422838</v>
      </c>
      <c r="L32" s="6">
        <v>1975.84</v>
      </c>
      <c r="N32" s="34"/>
      <c r="P32" s="34"/>
    </row>
    <row r="33" spans="1:16" ht="13.8">
      <c r="A33" s="15" t="s">
        <v>48</v>
      </c>
      <c r="B33" s="5">
        <f t="shared" ref="B33" si="14">L32</f>
        <v>1975.84</v>
      </c>
      <c r="C33" s="6">
        <v>2415.5070000000001</v>
      </c>
      <c r="D33" s="99">
        <f>(14753*2204.622)/1000000</f>
        <v>32.524788365999996</v>
      </c>
      <c r="E33" s="99">
        <f t="shared" ref="E33" si="15">SUM(B33:D33)</f>
        <v>4423.8717883660001</v>
      </c>
      <c r="F33" s="75"/>
      <c r="G33" s="75">
        <f t="shared" ref="G33" si="16">K33-J33</f>
        <v>2234.2212434378002</v>
      </c>
      <c r="H33" s="129" t="s">
        <v>77</v>
      </c>
      <c r="I33" s="99" t="s">
        <v>77</v>
      </c>
      <c r="J33" s="99">
        <f>(142303.1*2204.622)/1000000</f>
        <v>313.72454492820003</v>
      </c>
      <c r="K33" s="99">
        <f t="shared" ref="K33" si="17">E33-L33</f>
        <v>2547.9457883660002</v>
      </c>
      <c r="L33" s="6">
        <v>1875.9259999999999</v>
      </c>
      <c r="N33" s="34"/>
      <c r="P33" s="34"/>
    </row>
    <row r="34" spans="1:16" ht="16.2">
      <c r="A34" s="203" t="s">
        <v>176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6" ht="14.4">
      <c r="A35" s="15" t="s">
        <v>68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6" ht="13.8">
      <c r="A36" s="20" t="s">
        <v>57</v>
      </c>
      <c r="B36" s="36">
        <f>Contents!A18</f>
        <v>45853</v>
      </c>
      <c r="K36" s="34"/>
    </row>
    <row r="37" spans="1:16">
      <c r="E37" s="34"/>
    </row>
    <row r="38" spans="1:16">
      <c r="C38" s="133"/>
      <c r="D38" s="133"/>
      <c r="E38" s="134"/>
      <c r="F38" s="133"/>
      <c r="G38" s="133"/>
      <c r="H38" s="133"/>
      <c r="I38" s="133"/>
      <c r="J38" s="133"/>
      <c r="K38" s="135"/>
    </row>
    <row r="39" spans="1:16">
      <c r="C39" s="133"/>
      <c r="D39" s="133"/>
      <c r="E39" s="134"/>
      <c r="F39" s="133"/>
      <c r="G39" s="133"/>
      <c r="H39" s="133"/>
      <c r="I39" s="133"/>
      <c r="J39" s="133"/>
      <c r="K39" s="135"/>
    </row>
    <row r="40" spans="1:16">
      <c r="C40" s="133"/>
      <c r="D40" s="133"/>
      <c r="E40" s="134"/>
      <c r="F40" s="133"/>
      <c r="G40" s="133"/>
      <c r="H40" s="133"/>
      <c r="I40" s="133"/>
      <c r="J40" s="133"/>
      <c r="K40" s="135"/>
    </row>
    <row r="41" spans="1:16">
      <c r="C41" s="133"/>
      <c r="D41" s="133"/>
      <c r="E41" s="134"/>
      <c r="F41" s="133"/>
      <c r="G41" s="133"/>
      <c r="H41" s="133"/>
      <c r="I41" s="133"/>
      <c r="J41" s="133"/>
      <c r="K41" s="135"/>
    </row>
    <row r="42" spans="1:16">
      <c r="C42" s="133"/>
      <c r="D42" s="133"/>
      <c r="E42" s="134"/>
      <c r="F42" s="133"/>
      <c r="G42" s="133"/>
      <c r="H42" s="133"/>
      <c r="I42" s="133"/>
      <c r="J42" s="133"/>
      <c r="K42" s="135"/>
    </row>
    <row r="43" spans="1:16">
      <c r="C43" s="133"/>
      <c r="D43" s="133"/>
      <c r="E43" s="134"/>
      <c r="F43" s="133"/>
      <c r="G43" s="133"/>
      <c r="H43" s="133"/>
      <c r="I43" s="133"/>
      <c r="J43" s="133"/>
      <c r="K43" s="135"/>
    </row>
    <row r="44" spans="1:16">
      <c r="C44" s="133"/>
      <c r="D44" s="133"/>
      <c r="E44" s="134"/>
      <c r="F44" s="133"/>
      <c r="G44" s="133"/>
      <c r="H44" s="133"/>
      <c r="I44" s="133"/>
      <c r="J44" s="133"/>
      <c r="K44" s="135"/>
    </row>
    <row r="45" spans="1:16">
      <c r="C45" s="133"/>
      <c r="D45" s="133"/>
      <c r="E45" s="134"/>
      <c r="F45" s="133"/>
      <c r="G45" s="133"/>
      <c r="H45" s="133"/>
      <c r="I45" s="133"/>
      <c r="J45" s="133"/>
      <c r="K45" s="135"/>
    </row>
    <row r="46" spans="1:16">
      <c r="C46" s="133"/>
      <c r="D46" s="133"/>
      <c r="E46" s="134"/>
      <c r="F46" s="133"/>
      <c r="G46" s="133"/>
      <c r="H46" s="133"/>
      <c r="I46" s="133"/>
      <c r="J46" s="133"/>
      <c r="K46" s="135"/>
    </row>
    <row r="47" spans="1:16">
      <c r="C47" s="133"/>
      <c r="D47" s="133"/>
      <c r="E47" s="134"/>
      <c r="F47" s="133"/>
      <c r="G47" s="133"/>
      <c r="H47" s="133"/>
      <c r="I47" s="133"/>
      <c r="J47" s="133"/>
      <c r="K47" s="135"/>
    </row>
    <row r="48" spans="1:16">
      <c r="C48" s="133"/>
      <c r="D48" s="133"/>
      <c r="E48" s="134"/>
      <c r="F48" s="133"/>
      <c r="G48" s="133"/>
      <c r="H48" s="133"/>
      <c r="I48" s="133"/>
      <c r="J48" s="133"/>
      <c r="K48" s="135"/>
    </row>
    <row r="49" spans="3:11">
      <c r="C49" s="133"/>
      <c r="D49" s="133"/>
      <c r="E49" s="134"/>
      <c r="F49" s="133"/>
      <c r="G49" s="133"/>
      <c r="H49" s="133"/>
      <c r="I49" s="133"/>
      <c r="J49" s="133"/>
      <c r="K49" s="135"/>
    </row>
    <row r="51" spans="3:11">
      <c r="C51" s="34"/>
      <c r="D51" s="34"/>
      <c r="E51" s="34"/>
      <c r="F51" s="34"/>
      <c r="G51" s="34"/>
      <c r="H51" s="34"/>
      <c r="I51" s="34"/>
      <c r="J51" s="34"/>
      <c r="K51" s="34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  <row r="58" spans="3:11">
      <c r="C58" s="34"/>
      <c r="D58" s="34"/>
      <c r="E58" s="34"/>
      <c r="F58" s="34"/>
      <c r="G58" s="34"/>
      <c r="H58" s="34"/>
      <c r="I58" s="34"/>
      <c r="J58" s="34"/>
      <c r="K58" s="34"/>
    </row>
    <row r="59" spans="3:11">
      <c r="C59" s="34"/>
      <c r="D59" s="34"/>
      <c r="E59" s="34"/>
      <c r="F59" s="34"/>
      <c r="G59" s="34"/>
      <c r="H59" s="34"/>
      <c r="I59" s="34"/>
      <c r="J59" s="34"/>
      <c r="K59" s="34"/>
    </row>
    <row r="60" spans="3:11">
      <c r="C60" s="34"/>
      <c r="D60" s="34"/>
      <c r="E60" s="34"/>
      <c r="F60" s="34"/>
      <c r="G60" s="34"/>
      <c r="H60" s="34"/>
      <c r="I60" s="34"/>
      <c r="J60" s="34"/>
      <c r="K60" s="34"/>
    </row>
    <row r="61" spans="3:11">
      <c r="C61" s="34"/>
      <c r="D61" s="34"/>
      <c r="E61" s="34"/>
      <c r="F61" s="34"/>
      <c r="G61" s="34"/>
      <c r="H61" s="34"/>
      <c r="I61" s="34"/>
      <c r="J61" s="34"/>
      <c r="K61" s="34"/>
    </row>
  </sheetData>
  <mergeCells count="3">
    <mergeCell ref="B5:L5"/>
    <mergeCell ref="G2:I2"/>
    <mergeCell ref="B2:E2"/>
  </mergeCells>
  <phoneticPr fontId="60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33203125" defaultRowHeight="13.2"/>
  <cols>
    <col min="1" max="1" width="15.44140625" customWidth="1"/>
    <col min="2" max="2" width="13.33203125" customWidth="1"/>
    <col min="3" max="3" width="12.3320312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10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206" t="s">
        <v>58</v>
      </c>
      <c r="C2" s="206"/>
      <c r="D2" s="206"/>
      <c r="E2" s="206"/>
      <c r="F2" s="66"/>
      <c r="G2" s="206" t="s">
        <v>59</v>
      </c>
      <c r="H2" s="206"/>
      <c r="I2" s="206"/>
      <c r="J2" s="206"/>
      <c r="K2" s="66"/>
      <c r="L2" s="15"/>
      <c r="M2" s="15"/>
      <c r="N2" s="15"/>
      <c r="O2" s="15"/>
    </row>
    <row r="3" spans="1:15" ht="13.8">
      <c r="A3" s="15" t="s">
        <v>18</v>
      </c>
      <c r="B3" s="20" t="s">
        <v>69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78</v>
      </c>
      <c r="B4" s="23" t="s">
        <v>79</v>
      </c>
      <c r="C4" s="52" t="s">
        <v>27</v>
      </c>
      <c r="D4" s="25" t="s">
        <v>70</v>
      </c>
      <c r="E4" s="23" t="s">
        <v>80</v>
      </c>
      <c r="F4" s="24"/>
      <c r="G4" s="23" t="s">
        <v>81</v>
      </c>
      <c r="H4" s="23" t="s">
        <v>31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4">
      <c r="A5" s="15"/>
      <c r="B5" s="211" t="s">
        <v>84</v>
      </c>
      <c r="C5" s="211"/>
      <c r="D5" s="211"/>
      <c r="E5" s="211"/>
      <c r="F5" s="211"/>
      <c r="G5" s="211"/>
      <c r="H5" s="211"/>
      <c r="I5" s="211"/>
      <c r="J5" s="211"/>
      <c r="K5" s="211"/>
      <c r="L5" s="15"/>
      <c r="M5" s="15"/>
      <c r="N5" s="15"/>
      <c r="O5" s="15"/>
    </row>
    <row r="6" spans="1:15" ht="13.8">
      <c r="A6" s="15" t="s">
        <v>35</v>
      </c>
      <c r="B6" s="68">
        <v>385.13499999999999</v>
      </c>
      <c r="C6" s="68">
        <v>3644</v>
      </c>
      <c r="D6" s="152">
        <v>24.143999999999998</v>
      </c>
      <c r="E6" s="68">
        <f>B6+C6+D6</f>
        <v>4053.279</v>
      </c>
      <c r="F6" s="69"/>
      <c r="G6" s="68">
        <v>1371.923</v>
      </c>
      <c r="H6" s="153">
        <v>389.28699999999998</v>
      </c>
      <c r="I6" s="68">
        <f>J6-G6-H6</f>
        <v>1921.8943148147448</v>
      </c>
      <c r="J6" s="68">
        <f>E6-K6</f>
        <v>3683.1043148147451</v>
      </c>
      <c r="K6" s="68">
        <v>370.17468518525493</v>
      </c>
      <c r="L6" s="115"/>
      <c r="M6" s="115"/>
      <c r="N6" s="115"/>
      <c r="O6" s="15"/>
    </row>
    <row r="7" spans="1:15" ht="15" customHeight="1">
      <c r="A7" s="15" t="s">
        <v>36</v>
      </c>
      <c r="B7" s="68">
        <f>K6</f>
        <v>370.17468518525493</v>
      </c>
      <c r="C7" s="68">
        <v>4262</v>
      </c>
      <c r="D7" s="152">
        <v>50</v>
      </c>
      <c r="E7" s="68">
        <f>B7+C7+D7</f>
        <v>4682.1746851852549</v>
      </c>
      <c r="F7" s="69"/>
      <c r="G7" s="68">
        <v>1200</v>
      </c>
      <c r="H7" s="153">
        <v>250</v>
      </c>
      <c r="I7" s="68">
        <v>2832</v>
      </c>
      <c r="J7" s="68">
        <f>SUM(G7:I7)</f>
        <v>4282</v>
      </c>
      <c r="K7" s="68">
        <f>E7-J7</f>
        <v>400.17468518525493</v>
      </c>
      <c r="L7" s="115"/>
      <c r="M7" s="15"/>
      <c r="N7" s="115"/>
      <c r="O7" s="15"/>
    </row>
    <row r="8" spans="1:15" ht="15" customHeight="1">
      <c r="A8" s="14" t="s">
        <v>37</v>
      </c>
      <c r="B8" s="156">
        <f>K7</f>
        <v>400.17468518525493</v>
      </c>
      <c r="C8" s="156">
        <v>4635</v>
      </c>
      <c r="D8" s="157">
        <v>50</v>
      </c>
      <c r="E8" s="156">
        <f>B8+C8+D8</f>
        <v>5085.1746851852549</v>
      </c>
      <c r="F8" s="158"/>
      <c r="G8" s="156">
        <v>1400</v>
      </c>
      <c r="H8" s="159">
        <v>200</v>
      </c>
      <c r="I8" s="156">
        <v>3035</v>
      </c>
      <c r="J8" s="156">
        <f>SUM(G8:I8)</f>
        <v>4635</v>
      </c>
      <c r="K8" s="156">
        <f>E8-J8</f>
        <v>450.17468518525493</v>
      </c>
      <c r="L8" s="15"/>
      <c r="M8" s="15"/>
      <c r="N8" s="15"/>
      <c r="O8" s="15"/>
    </row>
    <row r="9" spans="1:15" ht="16.2">
      <c r="A9" s="202" t="s">
        <v>177</v>
      </c>
      <c r="B9" s="15"/>
      <c r="C9" s="67"/>
      <c r="D9" s="67"/>
      <c r="E9" s="67"/>
      <c r="F9" s="67"/>
      <c r="G9" s="70"/>
      <c r="H9" s="67"/>
      <c r="I9" s="67"/>
      <c r="J9" s="67"/>
      <c r="K9" s="15"/>
      <c r="L9" s="15"/>
      <c r="M9" s="15"/>
      <c r="N9" s="15"/>
      <c r="O9" s="15"/>
    </row>
    <row r="10" spans="1:15" ht="14.4">
      <c r="A10" s="15" t="s">
        <v>85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4">
      <c r="A11" s="15" t="s">
        <v>86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3.8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206" t="s">
        <v>58</v>
      </c>
      <c r="C15" s="206"/>
      <c r="D15" s="206"/>
      <c r="E15" s="206"/>
      <c r="F15" s="15"/>
      <c r="G15" s="206" t="s">
        <v>59</v>
      </c>
      <c r="H15" s="206"/>
      <c r="I15" s="206"/>
      <c r="J15" s="15"/>
      <c r="K15" s="15"/>
      <c r="L15" s="15"/>
      <c r="M15" s="15"/>
      <c r="N15" s="15"/>
      <c r="O15" s="15"/>
    </row>
    <row r="16" spans="1:15" ht="13.8">
      <c r="A16" s="15" t="s">
        <v>18</v>
      </c>
      <c r="B16" s="17" t="s">
        <v>69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2" t="s">
        <v>27</v>
      </c>
      <c r="D17" s="25" t="s">
        <v>70</v>
      </c>
      <c r="E17" s="23" t="s">
        <v>83</v>
      </c>
      <c r="F17" s="24"/>
      <c r="G17" s="68" t="s">
        <v>87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11" t="s">
        <v>88</v>
      </c>
      <c r="C18" s="211"/>
      <c r="D18" s="211"/>
      <c r="E18" s="211"/>
      <c r="F18" s="211"/>
      <c r="G18" s="211"/>
      <c r="H18" s="211"/>
      <c r="I18" s="211"/>
      <c r="J18" s="211"/>
      <c r="K18" s="15"/>
      <c r="L18" s="15"/>
      <c r="M18" s="15"/>
      <c r="N18" s="15"/>
      <c r="O18" s="15"/>
    </row>
    <row r="19" spans="1:15" ht="13.8">
      <c r="A19" s="15" t="s">
        <v>35</v>
      </c>
      <c r="B19" s="68">
        <v>32.561</v>
      </c>
      <c r="C19" s="153">
        <v>568.43899999999996</v>
      </c>
      <c r="D19" s="152">
        <v>0.05</v>
      </c>
      <c r="E19" s="153">
        <f t="shared" ref="E19:E20" si="0">B19+C19+D19</f>
        <v>601.04999999999995</v>
      </c>
      <c r="F19" s="69"/>
      <c r="G19" s="153">
        <f>I19-H19</f>
        <v>515.85099999999989</v>
      </c>
      <c r="H19" s="153">
        <v>50.69</v>
      </c>
      <c r="I19" s="153">
        <f>E19-J19</f>
        <v>566.54099999999994</v>
      </c>
      <c r="J19" s="68">
        <v>34.509</v>
      </c>
      <c r="K19" s="15"/>
      <c r="L19" s="115"/>
      <c r="M19" s="15"/>
      <c r="N19" s="15"/>
      <c r="O19" s="15"/>
    </row>
    <row r="20" spans="1:15" ht="16.2">
      <c r="A20" s="15" t="s">
        <v>36</v>
      </c>
      <c r="B20" s="68">
        <f>J19</f>
        <v>34.509</v>
      </c>
      <c r="C20" s="153">
        <v>575</v>
      </c>
      <c r="D20" s="152">
        <v>0</v>
      </c>
      <c r="E20" s="153">
        <f t="shared" si="0"/>
        <v>609.50900000000001</v>
      </c>
      <c r="F20" s="69"/>
      <c r="G20" s="153">
        <v>520</v>
      </c>
      <c r="H20" s="153">
        <v>50</v>
      </c>
      <c r="I20" s="153">
        <f>SUM(G20:H20)</f>
        <v>570</v>
      </c>
      <c r="J20" s="68">
        <f>E20-I20</f>
        <v>39.509000000000015</v>
      </c>
      <c r="K20" s="15"/>
      <c r="L20" s="115"/>
      <c r="M20" s="15"/>
      <c r="N20" s="15"/>
      <c r="O20" s="15"/>
    </row>
    <row r="21" spans="1:15" ht="16.2">
      <c r="A21" s="15" t="s">
        <v>37</v>
      </c>
      <c r="B21" s="68">
        <f>J20</f>
        <v>39.509000000000015</v>
      </c>
      <c r="C21" s="153">
        <v>615</v>
      </c>
      <c r="D21" s="152">
        <v>0</v>
      </c>
      <c r="E21" s="153">
        <f>B21+C21+D21</f>
        <v>654.50900000000001</v>
      </c>
      <c r="F21" s="69"/>
      <c r="G21" s="153">
        <v>565</v>
      </c>
      <c r="H21" s="153">
        <v>50</v>
      </c>
      <c r="I21" s="153">
        <f>SUM(G21:H21)</f>
        <v>615</v>
      </c>
      <c r="J21" s="68">
        <f>E21-I21</f>
        <v>39.509000000000015</v>
      </c>
      <c r="K21" s="15"/>
      <c r="L21" s="15"/>
      <c r="M21" s="15"/>
      <c r="N21" s="15"/>
      <c r="O21" s="15"/>
    </row>
    <row r="22" spans="1:15" ht="16.2">
      <c r="A22" s="202" t="s">
        <v>177</v>
      </c>
      <c r="B22" s="66"/>
      <c r="C22" s="150"/>
      <c r="D22" s="150"/>
      <c r="E22" s="150"/>
      <c r="F22" s="150"/>
      <c r="G22" s="150"/>
      <c r="H22" s="150"/>
      <c r="I22" s="66"/>
      <c r="J22" s="66"/>
      <c r="K22" s="15"/>
      <c r="L22" s="15"/>
      <c r="M22" s="15"/>
      <c r="N22" s="15"/>
      <c r="O22" s="15"/>
    </row>
    <row r="23" spans="1:15" ht="14.4">
      <c r="A23" s="15" t="s">
        <v>89</v>
      </c>
      <c r="B23" s="69"/>
      <c r="C23" s="69"/>
      <c r="D23" s="69"/>
      <c r="E23" s="69"/>
      <c r="F23" s="69"/>
      <c r="G23" s="69"/>
      <c r="H23" s="69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206" t="s">
        <v>58</v>
      </c>
      <c r="C27" s="206"/>
      <c r="D27" s="206"/>
      <c r="E27" s="206"/>
      <c r="F27" s="15"/>
      <c r="G27" s="206" t="s">
        <v>59</v>
      </c>
      <c r="H27" s="206"/>
      <c r="I27" s="206"/>
      <c r="J27" s="15"/>
      <c r="K27" s="15"/>
      <c r="L27" s="15"/>
      <c r="M27" s="15"/>
      <c r="N27" s="15"/>
      <c r="O27" s="15"/>
    </row>
    <row r="28" spans="1:15" ht="13.8">
      <c r="A28" s="15" t="s">
        <v>18</v>
      </c>
      <c r="B28" s="17" t="s">
        <v>69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27</v>
      </c>
      <c r="D29" s="25" t="s">
        <v>70</v>
      </c>
      <c r="E29" s="23" t="s">
        <v>83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11" t="s">
        <v>74</v>
      </c>
      <c r="C30" s="211"/>
      <c r="D30" s="211"/>
      <c r="E30" s="211"/>
      <c r="F30" s="211"/>
      <c r="G30" s="211"/>
      <c r="H30" s="211"/>
      <c r="I30" s="211"/>
      <c r="J30" s="211"/>
      <c r="K30" s="15"/>
      <c r="L30" s="15"/>
      <c r="M30" s="15"/>
      <c r="N30" s="15"/>
      <c r="O30" s="15"/>
    </row>
    <row r="31" spans="1:15" ht="13.8">
      <c r="A31" s="15" t="s">
        <v>35</v>
      </c>
      <c r="B31" s="152">
        <v>50.117999999999995</v>
      </c>
      <c r="C31" s="153">
        <v>358.70499999999998</v>
      </c>
      <c r="D31" s="152">
        <v>1.9690000000000001</v>
      </c>
      <c r="E31" s="154">
        <f>B31+C31+D31</f>
        <v>410.79199999999997</v>
      </c>
      <c r="F31" s="69"/>
      <c r="G31" s="153">
        <f>I31-H31</f>
        <v>338.35299999999995</v>
      </c>
      <c r="H31" s="153">
        <v>22.446000000000002</v>
      </c>
      <c r="I31" s="153">
        <f>E31-J31</f>
        <v>360.79899999999998</v>
      </c>
      <c r="J31" s="153">
        <v>49.993000000000002</v>
      </c>
      <c r="K31" s="15"/>
      <c r="L31" s="115"/>
      <c r="M31" s="15"/>
      <c r="N31" s="15"/>
      <c r="O31" s="15"/>
    </row>
    <row r="32" spans="1:15" ht="16.2">
      <c r="A32" s="15" t="s">
        <v>36</v>
      </c>
      <c r="B32" s="152">
        <f>J31</f>
        <v>49.993000000000002</v>
      </c>
      <c r="C32" s="153">
        <v>320</v>
      </c>
      <c r="D32" s="152">
        <v>5</v>
      </c>
      <c r="E32" s="154">
        <f>B32+C32+D32</f>
        <v>374.99299999999999</v>
      </c>
      <c r="F32" s="69"/>
      <c r="G32" s="153">
        <v>290</v>
      </c>
      <c r="H32" s="153">
        <v>35</v>
      </c>
      <c r="I32" s="153">
        <f>SUM(G32:H32)</f>
        <v>325</v>
      </c>
      <c r="J32" s="153">
        <f>E32-I32</f>
        <v>49.992999999999995</v>
      </c>
      <c r="K32" s="15"/>
      <c r="L32" s="15"/>
      <c r="M32" s="15"/>
      <c r="N32" s="15"/>
      <c r="O32" s="15"/>
    </row>
    <row r="33" spans="1:18" ht="16.2">
      <c r="A33" s="14" t="s">
        <v>37</v>
      </c>
      <c r="B33" s="157">
        <f>J32</f>
        <v>49.992999999999995</v>
      </c>
      <c r="C33" s="159">
        <v>375</v>
      </c>
      <c r="D33" s="157">
        <v>5</v>
      </c>
      <c r="E33" s="205">
        <f>B33+C33+D33</f>
        <v>429.99299999999999</v>
      </c>
      <c r="F33" s="158"/>
      <c r="G33" s="159">
        <v>330</v>
      </c>
      <c r="H33" s="159">
        <v>50</v>
      </c>
      <c r="I33" s="159">
        <f>SUM(G33:H33)</f>
        <v>380</v>
      </c>
      <c r="J33" s="159">
        <f>E33-I33</f>
        <v>49.992999999999995</v>
      </c>
      <c r="K33" s="15"/>
      <c r="L33" s="15"/>
      <c r="M33" s="15"/>
      <c r="N33" s="15"/>
      <c r="O33" s="15"/>
    </row>
    <row r="34" spans="1:18" ht="16.2">
      <c r="A34" s="202" t="s">
        <v>177</v>
      </c>
      <c r="B34" s="15"/>
      <c r="C34" s="67"/>
      <c r="D34" s="67"/>
      <c r="E34" s="67"/>
      <c r="F34" s="67"/>
      <c r="G34" s="67"/>
      <c r="H34" s="67"/>
      <c r="I34" s="15"/>
      <c r="J34" s="15"/>
      <c r="K34" s="15"/>
      <c r="L34" s="15"/>
      <c r="M34" s="15"/>
      <c r="N34" s="15"/>
      <c r="O34" s="15"/>
      <c r="R34" s="105"/>
    </row>
    <row r="35" spans="1:18" ht="14.4">
      <c r="A35" s="15" t="s">
        <v>89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5"/>
    </row>
    <row r="36" spans="1:18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3.8">
      <c r="A39" s="15"/>
      <c r="B39" s="206" t="s">
        <v>14</v>
      </c>
      <c r="C39" s="206"/>
      <c r="D39" s="17" t="s">
        <v>15</v>
      </c>
      <c r="E39" s="206" t="s">
        <v>16</v>
      </c>
      <c r="F39" s="206"/>
      <c r="G39" s="206"/>
      <c r="H39" s="206"/>
      <c r="I39" s="15"/>
      <c r="J39" s="206" t="s">
        <v>59</v>
      </c>
      <c r="K39" s="206"/>
      <c r="L39" s="206"/>
      <c r="M39" s="206"/>
      <c r="N39" s="206"/>
      <c r="O39" s="66"/>
    </row>
    <row r="40" spans="1:18" ht="13.8">
      <c r="A40" s="15" t="s">
        <v>18</v>
      </c>
      <c r="B40" s="17" t="s">
        <v>19</v>
      </c>
      <c r="C40" s="17" t="s">
        <v>20</v>
      </c>
      <c r="D40" s="15"/>
      <c r="E40" s="17" t="s">
        <v>69</v>
      </c>
      <c r="F40" s="17"/>
      <c r="G40" s="17"/>
      <c r="H40" s="17"/>
      <c r="I40" s="15"/>
      <c r="J40" s="49" t="s">
        <v>87</v>
      </c>
      <c r="K40" s="17"/>
      <c r="L40" s="17" t="s">
        <v>23</v>
      </c>
      <c r="M40" s="17"/>
      <c r="N40" s="17"/>
      <c r="O40" s="17" t="s">
        <v>60</v>
      </c>
    </row>
    <row r="41" spans="1:18" ht="13.8">
      <c r="A41" s="21" t="s">
        <v>78</v>
      </c>
      <c r="B41" s="22"/>
      <c r="C41" s="22"/>
      <c r="D41" s="22"/>
      <c r="E41" s="23" t="s">
        <v>62</v>
      </c>
      <c r="F41" s="23" t="s">
        <v>27</v>
      </c>
      <c r="G41" s="23" t="s">
        <v>70</v>
      </c>
      <c r="H41" s="23" t="s">
        <v>83</v>
      </c>
      <c r="I41" s="23"/>
      <c r="J41" s="23" t="s">
        <v>90</v>
      </c>
      <c r="K41" s="23" t="s">
        <v>81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4">
      <c r="A42" s="15"/>
      <c r="B42" s="209" t="s">
        <v>91</v>
      </c>
      <c r="C42" s="210"/>
      <c r="D42" s="71" t="s">
        <v>92</v>
      </c>
      <c r="E42" s="212" t="s">
        <v>93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0"/>
    </row>
    <row r="43" spans="1:18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3.8">
      <c r="A44" s="15" t="s">
        <v>35</v>
      </c>
      <c r="B44" s="68">
        <v>1645</v>
      </c>
      <c r="C44" s="68">
        <v>1557</v>
      </c>
      <c r="D44" s="68">
        <v>3774.9261400128453</v>
      </c>
      <c r="E44" s="68">
        <v>2033.086</v>
      </c>
      <c r="F44" s="68">
        <v>5877.56</v>
      </c>
      <c r="G44" s="153">
        <v>104.29</v>
      </c>
      <c r="H44" s="68">
        <v>8014.9596675784951</v>
      </c>
      <c r="I44" s="68"/>
      <c r="J44" s="68">
        <v>3123.4</v>
      </c>
      <c r="K44" s="68">
        <v>654.23564369999997</v>
      </c>
      <c r="L44" s="153">
        <f>N44-M44-J44-K44</f>
        <v>1301.3553895999735</v>
      </c>
      <c r="M44" s="153">
        <v>1455.3466342785212</v>
      </c>
      <c r="N44" s="68">
        <f>H44-O44</f>
        <v>6534.3376675784948</v>
      </c>
      <c r="O44" s="68">
        <v>1480.6220000000001</v>
      </c>
      <c r="P44" s="105"/>
      <c r="Q44" s="105"/>
    </row>
    <row r="45" spans="1:18" ht="16.2">
      <c r="A45" s="15" t="s">
        <v>36</v>
      </c>
      <c r="B45" s="68">
        <v>1801</v>
      </c>
      <c r="C45" s="68">
        <v>1758</v>
      </c>
      <c r="D45" s="68">
        <f>F45*1000/C45</f>
        <v>3667.8156996587031</v>
      </c>
      <c r="E45" s="68">
        <f>O44</f>
        <v>1480.6220000000001</v>
      </c>
      <c r="F45" s="68">
        <v>6448.02</v>
      </c>
      <c r="G45" s="153">
        <v>110</v>
      </c>
      <c r="H45" s="68">
        <f>SUM(E45:G45)</f>
        <v>8038.6420000000007</v>
      </c>
      <c r="I45" s="68"/>
      <c r="J45" s="68">
        <v>3095</v>
      </c>
      <c r="K45" s="68">
        <v>720</v>
      </c>
      <c r="L45" s="153">
        <v>1312.5</v>
      </c>
      <c r="M45" s="153">
        <v>1225</v>
      </c>
      <c r="N45" s="68">
        <f>SUM(J45:M45)</f>
        <v>6352.5</v>
      </c>
      <c r="O45" s="68">
        <f>H45-N45</f>
        <v>1686.1420000000007</v>
      </c>
      <c r="P45" s="105"/>
      <c r="Q45" s="105"/>
    </row>
    <row r="46" spans="1:18" ht="16.2">
      <c r="A46" s="14" t="s">
        <v>37</v>
      </c>
      <c r="B46" s="156">
        <v>1900</v>
      </c>
      <c r="C46" s="156">
        <v>1850</v>
      </c>
      <c r="D46" s="156">
        <v>4000</v>
      </c>
      <c r="E46" s="156">
        <f>O45</f>
        <v>1686.1420000000007</v>
      </c>
      <c r="F46" s="189">
        <f>(C46*D46)/1000</f>
        <v>7400</v>
      </c>
      <c r="G46" s="159">
        <v>105</v>
      </c>
      <c r="H46" s="156">
        <f>SUM(E46:G46)</f>
        <v>9191.1419999999998</v>
      </c>
      <c r="I46" s="156"/>
      <c r="J46" s="156">
        <v>3136.54</v>
      </c>
      <c r="K46" s="156">
        <v>875</v>
      </c>
      <c r="L46" s="159">
        <v>1472.125</v>
      </c>
      <c r="M46" s="159">
        <v>1450</v>
      </c>
      <c r="N46" s="156">
        <f>SUM(J46:M46)</f>
        <v>6933.665</v>
      </c>
      <c r="O46" s="156">
        <f>H46-N46</f>
        <v>2257.4769999999999</v>
      </c>
      <c r="P46" s="105"/>
      <c r="Q46" s="105"/>
    </row>
    <row r="47" spans="1:18" ht="16.2">
      <c r="A47" s="202" t="s">
        <v>177</v>
      </c>
      <c r="B47" s="15"/>
      <c r="C47" s="67"/>
      <c r="D47" s="67"/>
      <c r="E47" s="67"/>
      <c r="F47" s="67"/>
      <c r="G47" s="67"/>
      <c r="H47" s="67"/>
      <c r="I47" s="15"/>
      <c r="J47" s="15"/>
      <c r="K47" s="15"/>
      <c r="L47" s="15"/>
      <c r="M47" s="15"/>
      <c r="N47" s="15"/>
      <c r="O47" s="15"/>
    </row>
    <row r="48" spans="1:18" ht="14.4">
      <c r="A48" s="15" t="s">
        <v>94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2">
        <f>Contents!A18</f>
        <v>45853</v>
      </c>
      <c r="C50" s="15"/>
      <c r="D50" s="15"/>
      <c r="E50" s="15"/>
      <c r="F50" s="15"/>
      <c r="G50" s="15"/>
      <c r="H50" s="15"/>
      <c r="I50" s="15"/>
      <c r="J50" s="115"/>
      <c r="K50" s="15"/>
      <c r="L50" s="15"/>
      <c r="M50" s="15"/>
      <c r="N50" s="15"/>
      <c r="O50" s="15"/>
    </row>
    <row r="51" spans="1:15" ht="18" customHeight="1">
      <c r="A51" s="73"/>
      <c r="B51" s="74"/>
      <c r="C51" s="74"/>
      <c r="D51" s="74"/>
      <c r="E51" s="74"/>
      <c r="F51" s="74"/>
      <c r="G51" s="74"/>
      <c r="H51" s="74"/>
      <c r="I51" s="74"/>
      <c r="J51" s="86"/>
      <c r="K51" s="74"/>
      <c r="L51" s="74"/>
      <c r="M51" s="74"/>
      <c r="N51" s="74"/>
      <c r="O51" s="74"/>
    </row>
    <row r="52" spans="1:15" ht="15.6">
      <c r="G52" s="57"/>
      <c r="H52" s="57"/>
    </row>
    <row r="53" spans="1:15" ht="15.6">
      <c r="G53" s="57"/>
      <c r="H53" s="57"/>
    </row>
    <row r="54" spans="1:15" ht="15.6">
      <c r="G54" s="57"/>
      <c r="H54" s="57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60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9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2" width="18.6640625" bestFit="1" customWidth="1"/>
    <col min="3" max="3" width="22.33203125" bestFit="1" customWidth="1"/>
    <col min="4" max="4" width="23.6640625" customWidth="1"/>
    <col min="5" max="5" width="25.44140625" customWidth="1"/>
    <col min="6" max="6" width="16.5546875" bestFit="1" customWidth="1"/>
    <col min="7" max="7" width="18.664062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95</v>
      </c>
      <c r="B2" s="17" t="s">
        <v>96</v>
      </c>
      <c r="C2" s="17" t="s">
        <v>97</v>
      </c>
      <c r="D2" s="17" t="s">
        <v>98</v>
      </c>
      <c r="E2" s="17" t="s">
        <v>99</v>
      </c>
      <c r="F2" s="17" t="s">
        <v>100</v>
      </c>
      <c r="G2" s="17" t="s">
        <v>101</v>
      </c>
    </row>
    <row r="3" spans="1:10" ht="15.6" customHeight="1">
      <c r="A3" s="14" t="s">
        <v>102</v>
      </c>
      <c r="B3" s="24"/>
      <c r="C3" s="43"/>
      <c r="D3" s="43"/>
      <c r="E3" s="43"/>
      <c r="F3" s="43"/>
      <c r="G3" s="43"/>
    </row>
    <row r="4" spans="1:10" ht="14.4">
      <c r="A4" s="44"/>
      <c r="B4" s="45" t="s">
        <v>103</v>
      </c>
      <c r="C4" s="45" t="s">
        <v>104</v>
      </c>
      <c r="D4" s="45" t="s">
        <v>105</v>
      </c>
      <c r="E4" s="45" t="s">
        <v>105</v>
      </c>
      <c r="F4" s="45" t="s">
        <v>106</v>
      </c>
      <c r="G4" s="45" t="s">
        <v>103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107</v>
      </c>
      <c r="B6" s="46">
        <v>11.3</v>
      </c>
      <c r="C6" s="46">
        <v>161</v>
      </c>
      <c r="D6" s="46">
        <v>23.3</v>
      </c>
      <c r="E6" s="46">
        <v>19.3</v>
      </c>
      <c r="F6" s="46">
        <v>22.5</v>
      </c>
      <c r="G6" s="46">
        <v>12.2</v>
      </c>
      <c r="J6" s="58"/>
    </row>
    <row r="7" spans="1:10" ht="13.8">
      <c r="A7" s="15" t="s">
        <v>108</v>
      </c>
      <c r="B7" s="46">
        <v>12.5</v>
      </c>
      <c r="C7" s="46">
        <v>260</v>
      </c>
      <c r="D7" s="46">
        <v>29.1</v>
      </c>
      <c r="E7" s="46">
        <v>24</v>
      </c>
      <c r="F7" s="46">
        <v>31.8</v>
      </c>
      <c r="G7" s="46">
        <v>13.9</v>
      </c>
      <c r="J7" s="58"/>
    </row>
    <row r="8" spans="1:10" ht="13.8">
      <c r="A8" s="15" t="s">
        <v>109</v>
      </c>
      <c r="B8" s="46">
        <v>14.4</v>
      </c>
      <c r="C8" s="46">
        <v>252</v>
      </c>
      <c r="D8" s="46">
        <v>25.4</v>
      </c>
      <c r="E8" s="46">
        <v>26.5</v>
      </c>
      <c r="F8" s="46">
        <v>30.1</v>
      </c>
      <c r="G8" s="46">
        <v>13.8</v>
      </c>
      <c r="J8" s="58"/>
    </row>
    <row r="9" spans="1:10" ht="13.8">
      <c r="A9" s="15" t="s">
        <v>110</v>
      </c>
      <c r="B9" s="46">
        <v>13</v>
      </c>
      <c r="C9" s="46">
        <v>246</v>
      </c>
      <c r="D9" s="46">
        <v>21.4</v>
      </c>
      <c r="E9" s="46">
        <v>20.6</v>
      </c>
      <c r="F9" s="46">
        <v>24.9</v>
      </c>
      <c r="G9" s="46">
        <v>13.8</v>
      </c>
      <c r="J9" s="58"/>
    </row>
    <row r="10" spans="1:10" ht="13.8">
      <c r="A10" s="15" t="s">
        <v>111</v>
      </c>
      <c r="B10" s="46">
        <v>10.1</v>
      </c>
      <c r="C10" s="46">
        <v>194</v>
      </c>
      <c r="D10" s="46">
        <v>21.7</v>
      </c>
      <c r="E10" s="46">
        <v>16.899999999999999</v>
      </c>
      <c r="F10" s="46">
        <v>22</v>
      </c>
      <c r="G10" s="46">
        <v>11.8</v>
      </c>
      <c r="J10" s="58"/>
    </row>
    <row r="11" spans="1:10" ht="13.8">
      <c r="A11" s="15" t="s">
        <v>112</v>
      </c>
      <c r="B11" s="46">
        <v>8.9499999999999993</v>
      </c>
      <c r="C11" s="46">
        <v>227</v>
      </c>
      <c r="D11" s="46">
        <v>19.600000000000001</v>
      </c>
      <c r="E11" s="46">
        <v>15.6</v>
      </c>
      <c r="F11" s="46">
        <v>19.3</v>
      </c>
      <c r="G11" s="46">
        <v>8.9499999999999993</v>
      </c>
      <c r="J11" s="58"/>
    </row>
    <row r="12" spans="1:10" ht="13.8">
      <c r="A12" s="15" t="s">
        <v>113</v>
      </c>
      <c r="B12" s="46">
        <v>9.4700000000000006</v>
      </c>
      <c r="C12" s="46">
        <v>195</v>
      </c>
      <c r="D12" s="46">
        <v>17.399999999999999</v>
      </c>
      <c r="E12" s="46">
        <v>16.600000000000001</v>
      </c>
      <c r="F12" s="46">
        <v>19.7</v>
      </c>
      <c r="G12" s="46">
        <v>8</v>
      </c>
      <c r="J12" s="58"/>
    </row>
    <row r="13" spans="1:10" ht="13.8">
      <c r="A13" s="15" t="s">
        <v>114</v>
      </c>
      <c r="B13" s="46">
        <v>9.33</v>
      </c>
      <c r="C13" s="46">
        <v>142</v>
      </c>
      <c r="D13" s="46">
        <v>17.2</v>
      </c>
      <c r="E13" s="46">
        <v>17.5</v>
      </c>
      <c r="F13" s="46">
        <v>22.9</v>
      </c>
      <c r="G13" s="46">
        <v>9.5299999999999994</v>
      </c>
      <c r="J13" s="58"/>
    </row>
    <row r="14" spans="1:10" ht="13.8">
      <c r="A14" s="15" t="s">
        <v>115</v>
      </c>
      <c r="B14" s="46">
        <v>8.48</v>
      </c>
      <c r="C14" s="46">
        <v>155</v>
      </c>
      <c r="D14" s="46">
        <v>17.399999999999999</v>
      </c>
      <c r="E14" s="46">
        <v>15.8</v>
      </c>
      <c r="F14" s="46">
        <v>21.5</v>
      </c>
      <c r="G14" s="46">
        <v>9.89</v>
      </c>
      <c r="J14" s="58"/>
    </row>
    <row r="15" spans="1:10" ht="13.8">
      <c r="A15" s="15" t="s">
        <v>116</v>
      </c>
      <c r="B15" s="46">
        <v>8.57</v>
      </c>
      <c r="C15" s="46">
        <v>161</v>
      </c>
      <c r="D15" s="46">
        <v>19.5</v>
      </c>
      <c r="E15" s="46">
        <v>14.8</v>
      </c>
      <c r="F15" s="46">
        <v>20.5</v>
      </c>
      <c r="G15" s="46">
        <v>9.15</v>
      </c>
      <c r="J15" s="58"/>
    </row>
    <row r="16" spans="1:10" ht="13.8">
      <c r="A16" s="15" t="s">
        <v>117</v>
      </c>
      <c r="B16" s="46">
        <v>10.8</v>
      </c>
      <c r="C16" s="46">
        <v>194</v>
      </c>
      <c r="D16" s="46">
        <v>21.3</v>
      </c>
      <c r="E16" s="46">
        <v>18.400000000000002</v>
      </c>
      <c r="F16" s="46">
        <v>21</v>
      </c>
      <c r="G16" s="46">
        <v>11.1</v>
      </c>
      <c r="J16" s="58"/>
    </row>
    <row r="17" spans="1:10" ht="13.8">
      <c r="A17" s="15" t="s">
        <v>118</v>
      </c>
      <c r="B17" s="46">
        <v>13.3</v>
      </c>
      <c r="C17" s="46">
        <v>243</v>
      </c>
      <c r="D17" s="88">
        <v>32.9</v>
      </c>
      <c r="E17" s="46">
        <v>32.9</v>
      </c>
      <c r="F17" s="46">
        <v>24.3</v>
      </c>
      <c r="G17" s="46">
        <v>25.9</v>
      </c>
      <c r="J17" s="58"/>
    </row>
    <row r="18" spans="1:10" ht="13.8">
      <c r="A18" s="15" t="s">
        <v>119</v>
      </c>
      <c r="B18" s="46">
        <v>14.2</v>
      </c>
      <c r="C18" s="88">
        <v>306</v>
      </c>
      <c r="D18" s="46">
        <v>27.8</v>
      </c>
      <c r="E18" s="46">
        <v>29.8</v>
      </c>
      <c r="F18" s="46">
        <v>26.8</v>
      </c>
      <c r="G18" s="88">
        <v>17.5</v>
      </c>
      <c r="H18" s="98"/>
      <c r="J18" s="58"/>
    </row>
    <row r="19" spans="1:10" ht="13.8">
      <c r="A19" s="15" t="s">
        <v>35</v>
      </c>
      <c r="B19" s="46">
        <v>12.4</v>
      </c>
      <c r="C19" s="46">
        <v>223</v>
      </c>
      <c r="D19" s="88">
        <v>21.2</v>
      </c>
      <c r="E19" s="46">
        <v>24.3</v>
      </c>
      <c r="F19" s="46">
        <v>26.9</v>
      </c>
      <c r="G19" s="88">
        <v>12.1</v>
      </c>
      <c r="H19" s="98"/>
      <c r="J19" s="58"/>
    </row>
    <row r="20" spans="1:10" ht="16.2">
      <c r="A20" s="15" t="s">
        <v>120</v>
      </c>
      <c r="B20" s="46">
        <v>10</v>
      </c>
      <c r="C20" s="46">
        <v>225</v>
      </c>
      <c r="D20" s="88">
        <v>23.15</v>
      </c>
      <c r="E20" s="46">
        <v>20</v>
      </c>
      <c r="F20" s="46">
        <v>25.9</v>
      </c>
      <c r="G20" s="88">
        <v>12.4</v>
      </c>
      <c r="H20" s="98"/>
      <c r="J20" s="58"/>
    </row>
    <row r="21" spans="1:10" ht="16.2">
      <c r="A21" s="15" t="s">
        <v>121</v>
      </c>
      <c r="B21" s="46">
        <v>10.1</v>
      </c>
      <c r="C21" s="46">
        <v>222</v>
      </c>
      <c r="D21" s="88">
        <v>22.4</v>
      </c>
      <c r="E21" s="46">
        <v>20</v>
      </c>
      <c r="F21" s="46">
        <v>25</v>
      </c>
      <c r="G21" s="88">
        <v>12.25</v>
      </c>
      <c r="H21" s="98"/>
      <c r="J21" s="58"/>
    </row>
    <row r="22" spans="1:10" ht="13.8">
      <c r="A22" s="15"/>
      <c r="B22" s="155"/>
      <c r="C22" s="155"/>
      <c r="D22" s="155"/>
      <c r="E22" s="155"/>
      <c r="F22" s="155"/>
      <c r="G22" s="155"/>
      <c r="H22" s="40"/>
      <c r="J22" s="58"/>
    </row>
    <row r="23" spans="1:10" ht="13.8">
      <c r="A23" s="48" t="s">
        <v>35</v>
      </c>
      <c r="B23" s="46"/>
      <c r="C23" s="46"/>
      <c r="D23" s="46"/>
      <c r="E23" s="117"/>
      <c r="F23" s="46"/>
      <c r="G23" s="117"/>
    </row>
    <row r="24" spans="1:10" ht="13.8">
      <c r="A24" s="15" t="s">
        <v>38</v>
      </c>
      <c r="B24" s="46">
        <v>13.2</v>
      </c>
      <c r="C24" s="46">
        <v>242</v>
      </c>
      <c r="D24" s="46">
        <v>24.2</v>
      </c>
      <c r="E24" s="117">
        <v>25</v>
      </c>
      <c r="F24" s="46">
        <v>26.9</v>
      </c>
      <c r="G24" s="117">
        <v>12</v>
      </c>
    </row>
    <row r="25" spans="1:10" ht="13.8">
      <c r="A25" s="15" t="s">
        <v>39</v>
      </c>
      <c r="B25" s="46">
        <v>12.7</v>
      </c>
      <c r="C25" s="46">
        <v>233</v>
      </c>
      <c r="D25" s="46">
        <v>20</v>
      </c>
      <c r="E25" s="117">
        <v>23.7</v>
      </c>
      <c r="F25" s="46">
        <v>26.7</v>
      </c>
      <c r="G25" s="117">
        <v>13</v>
      </c>
    </row>
    <row r="26" spans="1:10" ht="13.8">
      <c r="A26" s="15" t="s">
        <v>40</v>
      </c>
      <c r="B26" s="46">
        <v>13</v>
      </c>
      <c r="C26" s="46">
        <v>227</v>
      </c>
      <c r="D26" s="46">
        <v>22.6</v>
      </c>
      <c r="E26" s="117">
        <v>25.6</v>
      </c>
      <c r="F26" s="46">
        <v>29.4</v>
      </c>
      <c r="G26" s="117">
        <v>12.2</v>
      </c>
    </row>
    <row r="27" spans="1:10" ht="13.8">
      <c r="A27" s="15" t="s">
        <v>42</v>
      </c>
      <c r="B27" s="46">
        <v>13.1</v>
      </c>
      <c r="C27" s="46">
        <v>209</v>
      </c>
      <c r="D27" s="46">
        <v>24</v>
      </c>
      <c r="E27" s="117">
        <v>23.9</v>
      </c>
      <c r="F27" s="46">
        <v>23.7</v>
      </c>
      <c r="G27" s="117">
        <v>13.4</v>
      </c>
    </row>
    <row r="28" spans="1:10" ht="13.8">
      <c r="A28" s="15" t="s">
        <v>43</v>
      </c>
      <c r="B28" s="46">
        <v>12.8</v>
      </c>
      <c r="C28" s="46">
        <v>174</v>
      </c>
      <c r="D28" s="46">
        <v>21.4</v>
      </c>
      <c r="E28" s="117">
        <v>24.4</v>
      </c>
      <c r="F28" s="46">
        <v>27.1</v>
      </c>
      <c r="G28" s="117">
        <v>12.1</v>
      </c>
    </row>
    <row r="29" spans="1:10" ht="13.8">
      <c r="A29" s="15" t="s">
        <v>44</v>
      </c>
      <c r="B29" s="46">
        <v>11.9</v>
      </c>
      <c r="C29" s="46">
        <v>177</v>
      </c>
      <c r="D29" s="46">
        <v>22.4</v>
      </c>
      <c r="E29" s="117">
        <v>22.8</v>
      </c>
      <c r="F29" s="46">
        <v>26.4</v>
      </c>
      <c r="G29" s="117">
        <v>12.3</v>
      </c>
    </row>
    <row r="30" spans="1:10" ht="13.8">
      <c r="A30" s="15" t="s">
        <v>46</v>
      </c>
      <c r="B30" s="46">
        <v>11.8</v>
      </c>
      <c r="C30" s="46" t="s">
        <v>77</v>
      </c>
      <c r="D30" s="46">
        <v>22.5</v>
      </c>
      <c r="E30" s="117">
        <v>21.6</v>
      </c>
      <c r="F30" s="46">
        <v>27</v>
      </c>
      <c r="G30" s="117">
        <v>11.5</v>
      </c>
    </row>
    <row r="31" spans="1:10" ht="13.8">
      <c r="A31" s="15" t="s">
        <v>47</v>
      </c>
      <c r="B31" s="46">
        <v>11.8</v>
      </c>
      <c r="C31" s="46" t="s">
        <v>77</v>
      </c>
      <c r="D31" s="46">
        <v>20</v>
      </c>
      <c r="E31" s="117">
        <v>21.9</v>
      </c>
      <c r="F31" s="46">
        <v>27.2</v>
      </c>
      <c r="G31" s="117">
        <v>12.1</v>
      </c>
    </row>
    <row r="32" spans="1:10" ht="13.8">
      <c r="A32" s="15" t="s">
        <v>48</v>
      </c>
      <c r="B32" s="46">
        <v>11.9</v>
      </c>
      <c r="C32" s="46" t="s">
        <v>77</v>
      </c>
      <c r="D32" s="46">
        <v>23</v>
      </c>
      <c r="E32" s="117">
        <v>25.1</v>
      </c>
      <c r="F32" s="46">
        <v>26.7</v>
      </c>
      <c r="G32" s="117">
        <v>12.2</v>
      </c>
    </row>
    <row r="33" spans="1:12" ht="13.8">
      <c r="A33" s="118" t="s">
        <v>50</v>
      </c>
      <c r="B33" s="117">
        <v>11.8</v>
      </c>
      <c r="C33" s="117" t="s">
        <v>77</v>
      </c>
      <c r="D33" s="46">
        <v>17</v>
      </c>
      <c r="E33" s="117">
        <v>20.6</v>
      </c>
      <c r="F33" s="117">
        <v>26.2</v>
      </c>
      <c r="G33" s="117">
        <v>12</v>
      </c>
    </row>
    <row r="34" spans="1:12" ht="13.8">
      <c r="A34" s="15" t="s">
        <v>51</v>
      </c>
      <c r="B34" s="46">
        <v>11.3</v>
      </c>
      <c r="C34" s="46" t="s">
        <v>77</v>
      </c>
      <c r="D34" s="46">
        <v>20.9</v>
      </c>
      <c r="E34" s="46">
        <v>20.3</v>
      </c>
      <c r="F34" s="46">
        <v>27.3</v>
      </c>
      <c r="G34" s="46">
        <v>12.2</v>
      </c>
    </row>
    <row r="35" spans="1:12" ht="13.8">
      <c r="A35" s="15" t="s">
        <v>52</v>
      </c>
      <c r="B35" s="46">
        <v>10.3</v>
      </c>
      <c r="C35" s="46">
        <v>226</v>
      </c>
      <c r="D35" s="46">
        <v>18</v>
      </c>
      <c r="E35" s="46">
        <v>20</v>
      </c>
      <c r="F35" s="46">
        <v>26.8</v>
      </c>
      <c r="G35" s="46">
        <v>12</v>
      </c>
    </row>
    <row r="36" spans="1:12" ht="13.8">
      <c r="A36" s="15"/>
      <c r="B36" s="46"/>
      <c r="C36" s="46"/>
      <c r="D36" s="46"/>
      <c r="E36" s="117"/>
      <c r="F36" s="46"/>
      <c r="G36" s="117"/>
    </row>
    <row r="37" spans="1:12" ht="13.8">
      <c r="A37" s="48" t="s">
        <v>54</v>
      </c>
      <c r="B37" s="46"/>
      <c r="C37" s="46"/>
      <c r="D37" s="46"/>
      <c r="E37" s="117"/>
      <c r="F37" s="46"/>
      <c r="G37" s="117"/>
    </row>
    <row r="38" spans="1:12" ht="13.8">
      <c r="A38" s="15" t="s">
        <v>38</v>
      </c>
      <c r="B38" s="46">
        <v>10.199999999999999</v>
      </c>
      <c r="C38" s="46">
        <v>229</v>
      </c>
      <c r="D38" s="46">
        <v>18.2</v>
      </c>
      <c r="E38" s="46">
        <v>19</v>
      </c>
      <c r="F38" s="46">
        <v>26.7</v>
      </c>
      <c r="G38" s="46">
        <v>12</v>
      </c>
      <c r="L38" s="58"/>
    </row>
    <row r="39" spans="1:12" ht="13.8">
      <c r="A39" s="15" t="s">
        <v>39</v>
      </c>
      <c r="B39" s="46">
        <v>9.91</v>
      </c>
      <c r="C39" s="46">
        <v>223</v>
      </c>
      <c r="D39" s="46">
        <v>21</v>
      </c>
      <c r="E39" s="46">
        <v>20.3</v>
      </c>
      <c r="F39" s="46">
        <v>26</v>
      </c>
      <c r="G39" s="46">
        <v>11.9</v>
      </c>
      <c r="L39" s="58"/>
    </row>
    <row r="40" spans="1:12" ht="13.8">
      <c r="A40" s="15" t="s">
        <v>40</v>
      </c>
      <c r="B40" s="46">
        <v>9.84</v>
      </c>
      <c r="C40" s="46">
        <v>221</v>
      </c>
      <c r="D40" s="46">
        <v>18.5</v>
      </c>
      <c r="E40" s="46">
        <v>19.7</v>
      </c>
      <c r="F40" s="46">
        <v>25.2</v>
      </c>
      <c r="G40" s="46">
        <v>11.7</v>
      </c>
      <c r="H40" s="46"/>
      <c r="L40" s="58"/>
    </row>
    <row r="41" spans="1:12" ht="13.8">
      <c r="A41" s="15" t="s">
        <v>42</v>
      </c>
      <c r="B41" s="46">
        <v>9.7899999999999991</v>
      </c>
      <c r="C41" s="46">
        <v>224</v>
      </c>
      <c r="D41" s="46">
        <v>21.5</v>
      </c>
      <c r="E41" s="46">
        <v>19.3</v>
      </c>
      <c r="F41" s="46">
        <v>23.9</v>
      </c>
      <c r="G41" s="46">
        <v>12.3</v>
      </c>
      <c r="L41" s="58"/>
    </row>
    <row r="42" spans="1:12" ht="13.8">
      <c r="A42" s="15" t="s">
        <v>43</v>
      </c>
      <c r="B42" s="46">
        <v>10</v>
      </c>
      <c r="C42" s="46">
        <v>217</v>
      </c>
      <c r="D42" s="46">
        <v>23.1</v>
      </c>
      <c r="E42" s="46">
        <v>20.100000000000001</v>
      </c>
      <c r="F42" s="46">
        <v>25.9</v>
      </c>
      <c r="G42" s="46">
        <v>12.8</v>
      </c>
      <c r="L42" s="58"/>
    </row>
    <row r="43" spans="1:12" s="123" customFormat="1" ht="13.8">
      <c r="A43" s="118" t="s">
        <v>44</v>
      </c>
      <c r="B43" s="117">
        <v>10.199999999999999</v>
      </c>
      <c r="C43" s="117">
        <v>250</v>
      </c>
      <c r="D43" s="117">
        <v>25.2</v>
      </c>
      <c r="E43" s="117">
        <v>20.9</v>
      </c>
      <c r="F43" s="117">
        <v>25.3</v>
      </c>
      <c r="G43" s="117">
        <v>12.5</v>
      </c>
      <c r="L43" s="148"/>
    </row>
    <row r="44" spans="1:12" ht="13.8">
      <c r="A44" s="15" t="s">
        <v>46</v>
      </c>
      <c r="B44" s="46">
        <v>10.199999999999999</v>
      </c>
      <c r="C44" s="46" t="s">
        <v>77</v>
      </c>
      <c r="D44" s="46">
        <v>26.5</v>
      </c>
      <c r="E44" s="46">
        <v>20</v>
      </c>
      <c r="F44" s="46">
        <v>26.4</v>
      </c>
      <c r="G44" s="46">
        <v>13</v>
      </c>
      <c r="L44" s="58"/>
    </row>
    <row r="45" spans="1:12" ht="13.8">
      <c r="A45" s="15" t="s">
        <v>47</v>
      </c>
      <c r="B45" s="46">
        <v>10.199999999999999</v>
      </c>
      <c r="C45" s="46" t="s">
        <v>77</v>
      </c>
      <c r="D45" s="46">
        <v>26.9</v>
      </c>
      <c r="E45" s="46">
        <v>20.7</v>
      </c>
      <c r="F45" s="46">
        <v>25.6</v>
      </c>
      <c r="G45" s="46">
        <v>13.4</v>
      </c>
      <c r="L45" s="58"/>
    </row>
    <row r="46" spans="1:12" ht="13.8">
      <c r="A46" s="15" t="s">
        <v>48</v>
      </c>
      <c r="B46" s="46">
        <v>10.4</v>
      </c>
      <c r="C46" s="46" t="s">
        <v>77</v>
      </c>
      <c r="D46" s="46">
        <v>28.7</v>
      </c>
      <c r="E46" s="46">
        <v>23.6</v>
      </c>
      <c r="F46" s="46">
        <v>25.9</v>
      </c>
      <c r="G46" s="46">
        <v>13.1</v>
      </c>
      <c r="L46" s="58"/>
    </row>
    <row r="47" spans="1:12" ht="16.2">
      <c r="A47" s="204" t="s">
        <v>178</v>
      </c>
      <c r="B47" s="66"/>
      <c r="C47" s="66"/>
      <c r="D47" s="66"/>
      <c r="E47" s="66"/>
      <c r="F47" s="66"/>
      <c r="G47" s="66"/>
      <c r="H47" s="89"/>
    </row>
    <row r="48" spans="1:12" ht="14.4">
      <c r="A48" s="15" t="s">
        <v>122</v>
      </c>
      <c r="B48" s="15"/>
      <c r="C48" s="15"/>
      <c r="D48" s="15"/>
      <c r="E48" s="15"/>
      <c r="F48" s="15"/>
      <c r="G48" s="15"/>
    </row>
    <row r="49" spans="1:7" ht="13.8">
      <c r="A49" s="20" t="s">
        <v>57</v>
      </c>
      <c r="B49" s="36">
        <f>Contents!A18</f>
        <v>45853</v>
      </c>
      <c r="C49" s="15"/>
      <c r="D49" s="15"/>
      <c r="E49" s="15"/>
      <c r="F49" s="15"/>
      <c r="G49" s="15"/>
    </row>
  </sheetData>
  <phoneticPr fontId="6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70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2" width="11.5546875" customWidth="1"/>
    <col min="3" max="3" width="12.33203125" bestFit="1" customWidth="1"/>
    <col min="4" max="4" width="13.5546875" customWidth="1"/>
    <col min="5" max="5" width="11.5546875" customWidth="1"/>
    <col min="6" max="7" width="13.33203125" customWidth="1"/>
    <col min="8" max="8" width="12" customWidth="1"/>
    <col min="9" max="9" width="13.44140625" customWidth="1"/>
  </cols>
  <sheetData>
    <row r="1" spans="1:14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4" ht="15.6" customHeight="1">
      <c r="A2" s="49" t="s">
        <v>95</v>
      </c>
      <c r="B2" s="17" t="s">
        <v>123</v>
      </c>
      <c r="C2" s="17" t="s">
        <v>124</v>
      </c>
      <c r="D2" s="17" t="s">
        <v>125</v>
      </c>
      <c r="E2" s="50" t="s">
        <v>126</v>
      </c>
      <c r="F2" s="50" t="s">
        <v>127</v>
      </c>
      <c r="G2" s="17" t="s">
        <v>128</v>
      </c>
      <c r="H2" s="17" t="s">
        <v>129</v>
      </c>
      <c r="I2" s="51" t="s">
        <v>130</v>
      </c>
    </row>
    <row r="3" spans="1:14" ht="15.6" customHeight="1">
      <c r="A3" s="52" t="s">
        <v>102</v>
      </c>
      <c r="B3" s="23" t="s">
        <v>131</v>
      </c>
      <c r="C3" s="23" t="s">
        <v>132</v>
      </c>
      <c r="D3" s="23" t="s">
        <v>133</v>
      </c>
      <c r="E3" s="23" t="s">
        <v>133</v>
      </c>
      <c r="F3" s="23" t="s">
        <v>134</v>
      </c>
      <c r="G3" s="23" t="s">
        <v>135</v>
      </c>
      <c r="H3" s="23"/>
      <c r="I3" s="23" t="s">
        <v>136</v>
      </c>
    </row>
    <row r="4" spans="1:14" ht="14.4">
      <c r="A4" s="53" t="s">
        <v>137</v>
      </c>
      <c r="C4" s="54"/>
      <c r="D4" s="54"/>
      <c r="E4" s="54"/>
      <c r="F4" s="54"/>
      <c r="G4" s="54"/>
      <c r="H4" s="54"/>
      <c r="I4" s="54"/>
    </row>
    <row r="5" spans="1:14" ht="13.8">
      <c r="A5" s="15"/>
      <c r="B5" s="15"/>
      <c r="C5" s="15"/>
      <c r="D5" s="15"/>
      <c r="E5" s="15"/>
      <c r="F5" s="15"/>
      <c r="G5" s="15"/>
      <c r="H5" s="15"/>
      <c r="I5" s="15"/>
    </row>
    <row r="6" spans="1:14" ht="13.8">
      <c r="A6" s="15" t="s">
        <v>107</v>
      </c>
      <c r="B6" s="46">
        <v>53.2</v>
      </c>
      <c r="C6" s="46">
        <v>54.5</v>
      </c>
      <c r="D6" s="46">
        <v>86.12</v>
      </c>
      <c r="E6" s="46">
        <v>58.68</v>
      </c>
      <c r="F6" s="46">
        <v>77.239999999999995</v>
      </c>
      <c r="G6" s="46">
        <v>60.76</v>
      </c>
      <c r="H6" s="46">
        <v>51.52</v>
      </c>
      <c r="I6" s="46">
        <v>51.34</v>
      </c>
    </row>
    <row r="7" spans="1:14" ht="13.8">
      <c r="A7" s="15" t="s">
        <v>108</v>
      </c>
      <c r="B7" s="46">
        <v>51.9</v>
      </c>
      <c r="C7" s="46">
        <v>53.22</v>
      </c>
      <c r="D7" s="46">
        <v>83.2</v>
      </c>
      <c r="E7" s="46">
        <v>57.19</v>
      </c>
      <c r="F7" s="46">
        <v>100.15</v>
      </c>
      <c r="G7" s="46">
        <v>56.09</v>
      </c>
      <c r="H7" s="46">
        <v>48.11</v>
      </c>
      <c r="I7" s="46">
        <v>50.33</v>
      </c>
    </row>
    <row r="8" spans="1:14" ht="13.8">
      <c r="A8" s="15" t="s">
        <v>109</v>
      </c>
      <c r="B8" s="46">
        <v>47.13</v>
      </c>
      <c r="C8" s="46">
        <v>48.6</v>
      </c>
      <c r="D8" s="46">
        <v>65.87</v>
      </c>
      <c r="E8" s="46">
        <v>56.17</v>
      </c>
      <c r="F8" s="46">
        <v>91.83</v>
      </c>
      <c r="G8" s="46">
        <v>46.66</v>
      </c>
      <c r="H8" s="46">
        <v>51.8</v>
      </c>
      <c r="I8" s="46">
        <v>43.24</v>
      </c>
    </row>
    <row r="9" spans="1:14" ht="13.8">
      <c r="A9" s="15" t="s">
        <v>110</v>
      </c>
      <c r="B9" s="46">
        <v>38.229999999999997</v>
      </c>
      <c r="C9" s="46">
        <v>60.66</v>
      </c>
      <c r="D9" s="46">
        <v>59.12</v>
      </c>
      <c r="E9" s="46">
        <v>43.7</v>
      </c>
      <c r="F9" s="46">
        <v>68.23</v>
      </c>
      <c r="G9" s="46">
        <v>39.43</v>
      </c>
      <c r="H9" s="46">
        <v>43.93</v>
      </c>
      <c r="I9" s="46">
        <v>39.76</v>
      </c>
    </row>
    <row r="10" spans="1:14" ht="13.8">
      <c r="A10" s="15" t="s">
        <v>111</v>
      </c>
      <c r="B10" s="46">
        <v>31.6</v>
      </c>
      <c r="C10" s="46">
        <v>45.74</v>
      </c>
      <c r="D10" s="46">
        <v>66.72</v>
      </c>
      <c r="E10" s="46">
        <v>37.81</v>
      </c>
      <c r="F10" s="46">
        <v>57.96</v>
      </c>
      <c r="G10" s="46">
        <v>37.479999999999997</v>
      </c>
      <c r="H10" s="46">
        <v>33.43</v>
      </c>
      <c r="I10" s="46">
        <v>31.36</v>
      </c>
    </row>
    <row r="11" spans="1:14" ht="13.8">
      <c r="A11" s="15" t="s">
        <v>112</v>
      </c>
      <c r="B11" s="46">
        <v>29.86</v>
      </c>
      <c r="C11" s="46">
        <v>45.87</v>
      </c>
      <c r="D11" s="46">
        <v>57.81</v>
      </c>
      <c r="E11" s="46">
        <v>35.270000000000003</v>
      </c>
      <c r="F11" s="46">
        <v>58.26</v>
      </c>
      <c r="G11" s="46">
        <v>39.25</v>
      </c>
      <c r="H11" s="46">
        <v>32.229999999999997</v>
      </c>
      <c r="I11" s="46">
        <v>30.07</v>
      </c>
    </row>
    <row r="12" spans="1:14" ht="13.8">
      <c r="A12" s="15" t="s">
        <v>113</v>
      </c>
      <c r="B12" s="46">
        <v>32.549999999999997</v>
      </c>
      <c r="C12" s="46">
        <v>40.92</v>
      </c>
      <c r="D12" s="46">
        <v>53.54</v>
      </c>
      <c r="E12" s="46">
        <v>38.729999999999997</v>
      </c>
      <c r="F12" s="46">
        <v>66.73</v>
      </c>
      <c r="G12" s="46">
        <v>37.43</v>
      </c>
      <c r="H12" s="46">
        <v>33.07</v>
      </c>
      <c r="I12" s="46">
        <v>34.75</v>
      </c>
    </row>
    <row r="13" spans="1:14" ht="13.8">
      <c r="A13" s="15" t="s">
        <v>114</v>
      </c>
      <c r="B13" s="46">
        <v>30.04</v>
      </c>
      <c r="C13" s="46">
        <v>31.87</v>
      </c>
      <c r="D13" s="46">
        <v>54.57</v>
      </c>
      <c r="E13" s="46">
        <v>38.270000000000003</v>
      </c>
      <c r="F13" s="46">
        <v>66.72</v>
      </c>
      <c r="G13" s="46">
        <v>30.35</v>
      </c>
      <c r="H13" s="46">
        <v>34.159999999999997</v>
      </c>
      <c r="I13" s="46">
        <v>31.21</v>
      </c>
    </row>
    <row r="14" spans="1:14" ht="13.8">
      <c r="A14" s="15" t="s">
        <v>115</v>
      </c>
      <c r="B14" s="46">
        <v>28.26</v>
      </c>
      <c r="C14" s="46">
        <v>35.14</v>
      </c>
      <c r="D14" s="46">
        <v>53.28</v>
      </c>
      <c r="E14" s="46">
        <v>36.090000000000003</v>
      </c>
      <c r="F14" s="46">
        <v>64.72</v>
      </c>
      <c r="G14" s="46">
        <v>26.93</v>
      </c>
      <c r="H14" s="46">
        <v>31.65</v>
      </c>
      <c r="I14" s="46">
        <v>33.11</v>
      </c>
    </row>
    <row r="15" spans="1:14" ht="13.8">
      <c r="A15" s="15" t="s">
        <v>116</v>
      </c>
      <c r="B15" s="46">
        <v>29.65</v>
      </c>
      <c r="C15" s="46">
        <v>40.18</v>
      </c>
      <c r="D15" s="46">
        <v>65.03</v>
      </c>
      <c r="E15" s="46">
        <v>37.869999999999997</v>
      </c>
      <c r="F15" s="46">
        <v>65.599999999999994</v>
      </c>
      <c r="G15" s="46">
        <v>39.47</v>
      </c>
      <c r="H15" s="46">
        <v>35.75</v>
      </c>
      <c r="I15" s="46">
        <v>38.369999999999997</v>
      </c>
      <c r="M15" s="58"/>
      <c r="N15" s="58"/>
    </row>
    <row r="16" spans="1:14" ht="13.8">
      <c r="A16" s="15" t="s">
        <v>117</v>
      </c>
      <c r="B16" s="46">
        <v>56.87</v>
      </c>
      <c r="C16" s="46">
        <v>80.94</v>
      </c>
      <c r="D16" s="46">
        <v>79</v>
      </c>
      <c r="E16" s="46">
        <v>70.459999999999994</v>
      </c>
      <c r="F16" s="46">
        <v>99.4</v>
      </c>
      <c r="G16" s="46">
        <v>53.88</v>
      </c>
      <c r="H16" s="46">
        <v>55.89</v>
      </c>
      <c r="I16" s="46">
        <v>54.98</v>
      </c>
      <c r="M16" s="58"/>
      <c r="N16" s="58"/>
    </row>
    <row r="17" spans="1:14" ht="13.8">
      <c r="A17" s="15" t="s">
        <v>118</v>
      </c>
      <c r="B17" s="46">
        <v>72.98</v>
      </c>
      <c r="C17" s="46">
        <v>107.15</v>
      </c>
      <c r="D17" s="46">
        <v>111.39</v>
      </c>
      <c r="E17" s="46">
        <v>90.52</v>
      </c>
      <c r="F17" s="46">
        <v>106.8</v>
      </c>
      <c r="G17" s="46">
        <v>64.28</v>
      </c>
      <c r="H17" s="46">
        <v>82</v>
      </c>
      <c r="I17" s="46">
        <v>81.84</v>
      </c>
      <c r="M17" s="58"/>
      <c r="N17" s="58"/>
    </row>
    <row r="18" spans="1:14" ht="13.8">
      <c r="A18" s="15" t="s">
        <v>119</v>
      </c>
      <c r="B18" s="46">
        <v>65.260000000000005</v>
      </c>
      <c r="C18" s="46">
        <v>102.53</v>
      </c>
      <c r="D18" s="46">
        <v>80.11</v>
      </c>
      <c r="E18" s="46">
        <v>73.14</v>
      </c>
      <c r="F18" s="46">
        <v>96.5</v>
      </c>
      <c r="G18" s="46">
        <v>61.62</v>
      </c>
      <c r="H18" s="46">
        <v>84.25</v>
      </c>
      <c r="I18" s="46">
        <v>76.95</v>
      </c>
      <c r="M18" s="58"/>
      <c r="N18" s="58"/>
    </row>
    <row r="19" spans="1:14" ht="13.8">
      <c r="A19" s="15" t="s">
        <v>35</v>
      </c>
      <c r="B19" s="46">
        <v>47.28</v>
      </c>
      <c r="C19" s="46">
        <v>78.94</v>
      </c>
      <c r="D19" s="46">
        <v>58.65</v>
      </c>
      <c r="E19" s="46">
        <v>55.48</v>
      </c>
      <c r="F19" s="88">
        <v>80.099999999999994</v>
      </c>
      <c r="G19" s="46" t="s">
        <v>77</v>
      </c>
      <c r="H19" s="46">
        <v>55.041249999999998</v>
      </c>
      <c r="I19" s="46">
        <v>53.968000000000004</v>
      </c>
      <c r="M19" s="58"/>
      <c r="N19" s="58"/>
    </row>
    <row r="20" spans="1:14" ht="16.2">
      <c r="A20" s="15" t="s">
        <v>138</v>
      </c>
      <c r="B20" s="46">
        <v>46.5</v>
      </c>
      <c r="C20" s="46">
        <v>79</v>
      </c>
      <c r="D20" s="46">
        <v>60</v>
      </c>
      <c r="E20" s="46">
        <v>54</v>
      </c>
      <c r="F20" s="88">
        <v>81.5</v>
      </c>
      <c r="G20" s="88" t="s">
        <v>77</v>
      </c>
      <c r="H20" s="88">
        <v>54</v>
      </c>
      <c r="I20" s="88">
        <v>57</v>
      </c>
      <c r="M20" s="194"/>
      <c r="N20" s="194"/>
    </row>
    <row r="21" spans="1:14" ht="16.2">
      <c r="A21" s="15" t="s">
        <v>139</v>
      </c>
      <c r="B21" s="46">
        <v>53</v>
      </c>
      <c r="C21" s="46">
        <v>84.3</v>
      </c>
      <c r="D21" s="46">
        <v>65</v>
      </c>
      <c r="E21" s="46">
        <v>58</v>
      </c>
      <c r="F21" s="88">
        <v>88</v>
      </c>
      <c r="G21" s="88" t="s">
        <v>77</v>
      </c>
      <c r="H21" s="88">
        <v>59</v>
      </c>
      <c r="I21" s="88">
        <v>60</v>
      </c>
      <c r="M21" s="194"/>
      <c r="N21" s="194"/>
    </row>
    <row r="22" spans="1:14" ht="13.8">
      <c r="A22" s="131"/>
      <c r="B22" s="130"/>
      <c r="C22" s="130"/>
      <c r="D22" s="130"/>
      <c r="E22" s="130"/>
      <c r="F22" s="130"/>
      <c r="G22" s="130"/>
      <c r="H22" s="130"/>
      <c r="I22" s="130"/>
    </row>
    <row r="23" spans="1:14" ht="13.8">
      <c r="A23" s="30" t="s">
        <v>35</v>
      </c>
      <c r="B23" s="46"/>
      <c r="C23" s="46"/>
      <c r="D23" s="46"/>
      <c r="E23" s="46"/>
      <c r="F23" s="46"/>
      <c r="G23" s="46"/>
      <c r="H23" s="46"/>
      <c r="I23" s="46"/>
    </row>
    <row r="24" spans="1:14" ht="13.8">
      <c r="A24" s="15" t="s">
        <v>39</v>
      </c>
      <c r="B24" s="46">
        <v>56.599999999999994</v>
      </c>
      <c r="C24" s="46">
        <v>92</v>
      </c>
      <c r="D24" s="46">
        <v>64.75</v>
      </c>
      <c r="E24" s="46">
        <v>65.1875</v>
      </c>
      <c r="F24" s="46">
        <v>83.25</v>
      </c>
      <c r="G24" s="46" t="s">
        <v>77</v>
      </c>
      <c r="H24" s="88">
        <v>90</v>
      </c>
      <c r="I24" s="46">
        <v>65.17</v>
      </c>
    </row>
    <row r="25" spans="1:14" ht="13.8">
      <c r="A25" s="15" t="s">
        <v>40</v>
      </c>
      <c r="B25" s="46">
        <v>53.39</v>
      </c>
      <c r="C25" s="46">
        <v>86.38</v>
      </c>
      <c r="D25" s="46">
        <v>62.25</v>
      </c>
      <c r="E25" s="46">
        <v>61.63</v>
      </c>
      <c r="F25" s="46">
        <v>81.5</v>
      </c>
      <c r="G25" s="46" t="s">
        <v>77</v>
      </c>
      <c r="H25" s="88" t="s">
        <v>77</v>
      </c>
      <c r="I25" s="46">
        <v>57.024999999999999</v>
      </c>
    </row>
    <row r="26" spans="1:14" ht="13.8">
      <c r="A26" s="15" t="s">
        <v>42</v>
      </c>
      <c r="B26" s="46">
        <v>52.33</v>
      </c>
      <c r="C26" s="46">
        <v>83.1</v>
      </c>
      <c r="D26" s="46">
        <v>58.6</v>
      </c>
      <c r="E26" s="46">
        <v>59.45</v>
      </c>
      <c r="F26" s="46">
        <v>77.8</v>
      </c>
      <c r="G26" s="46" t="s">
        <v>77</v>
      </c>
      <c r="H26" s="88">
        <v>65</v>
      </c>
      <c r="I26" s="46">
        <v>50.67</v>
      </c>
    </row>
    <row r="27" spans="1:14" ht="13.8">
      <c r="A27" s="15" t="s">
        <v>43</v>
      </c>
      <c r="B27" s="46">
        <v>49.1</v>
      </c>
      <c r="C27" s="46">
        <v>79.5</v>
      </c>
      <c r="D27" s="46">
        <v>58.13</v>
      </c>
      <c r="E27" s="46">
        <v>57.25</v>
      </c>
      <c r="F27" s="46">
        <v>76.5</v>
      </c>
      <c r="G27" s="46" t="s">
        <v>77</v>
      </c>
      <c r="H27" s="88" t="s">
        <v>77</v>
      </c>
      <c r="I27" s="46" t="s">
        <v>77</v>
      </c>
    </row>
    <row r="28" spans="1:14" ht="13.8">
      <c r="A28" s="15" t="s">
        <v>44</v>
      </c>
      <c r="B28" s="46">
        <v>47.33</v>
      </c>
      <c r="C28" s="46">
        <v>76.5</v>
      </c>
      <c r="D28" s="46">
        <v>57.38</v>
      </c>
      <c r="E28" s="46">
        <v>53.06</v>
      </c>
      <c r="F28" s="46">
        <v>76.75</v>
      </c>
      <c r="G28" s="46" t="s">
        <v>77</v>
      </c>
      <c r="H28" s="88">
        <v>45.33</v>
      </c>
      <c r="I28" s="46">
        <v>52.5</v>
      </c>
    </row>
    <row r="29" spans="1:14" ht="13.8">
      <c r="A29" s="15" t="s">
        <v>46</v>
      </c>
      <c r="B29" s="46">
        <v>46.57</v>
      </c>
      <c r="C29" s="46">
        <v>79.95</v>
      </c>
      <c r="D29" s="46">
        <v>57.45</v>
      </c>
      <c r="E29" s="46">
        <v>55.55</v>
      </c>
      <c r="F29" s="46">
        <v>76</v>
      </c>
      <c r="G29" s="46" t="s">
        <v>77</v>
      </c>
      <c r="H29" s="88" t="s">
        <v>77</v>
      </c>
      <c r="I29" s="46">
        <v>52</v>
      </c>
    </row>
    <row r="30" spans="1:14" ht="13.8">
      <c r="A30" s="15" t="s">
        <v>47</v>
      </c>
      <c r="B30" s="46">
        <v>45.1325</v>
      </c>
      <c r="C30" s="46">
        <v>77.25</v>
      </c>
      <c r="D30" s="46">
        <v>56.06</v>
      </c>
      <c r="E30" s="46">
        <v>54.38</v>
      </c>
      <c r="F30" s="46">
        <v>75.13</v>
      </c>
      <c r="G30" s="46" t="s">
        <v>77</v>
      </c>
      <c r="H30" s="88">
        <v>41</v>
      </c>
      <c r="I30" s="46">
        <v>52.17</v>
      </c>
    </row>
    <row r="31" spans="1:14" ht="13.8">
      <c r="A31" s="15" t="s">
        <v>48</v>
      </c>
      <c r="B31" s="46">
        <v>43.302</v>
      </c>
      <c r="C31" s="46">
        <v>74.55</v>
      </c>
      <c r="D31" s="46">
        <v>54.6</v>
      </c>
      <c r="E31" s="46">
        <v>52.75</v>
      </c>
      <c r="F31" s="46">
        <v>73.8</v>
      </c>
      <c r="G31" s="46" t="s">
        <v>77</v>
      </c>
      <c r="H31" s="88">
        <v>42</v>
      </c>
      <c r="I31" s="46">
        <v>48.875</v>
      </c>
    </row>
    <row r="32" spans="1:14" ht="13.8">
      <c r="A32" s="15" t="s">
        <v>50</v>
      </c>
      <c r="B32" s="46">
        <v>42.51</v>
      </c>
      <c r="C32" s="46">
        <v>74.38</v>
      </c>
      <c r="D32" s="46">
        <v>58.88</v>
      </c>
      <c r="E32" s="46">
        <v>51.31</v>
      </c>
      <c r="F32" s="46">
        <v>77.5</v>
      </c>
      <c r="G32" s="46" t="s">
        <v>77</v>
      </c>
      <c r="H32" s="88">
        <v>46</v>
      </c>
      <c r="I32" s="46">
        <v>54.1</v>
      </c>
    </row>
    <row r="33" spans="1:10" ht="13.8">
      <c r="A33" s="15" t="s">
        <v>51</v>
      </c>
      <c r="B33" s="46">
        <v>45.57</v>
      </c>
      <c r="C33" s="46">
        <v>77.94</v>
      </c>
      <c r="D33" s="46">
        <v>59.69</v>
      </c>
      <c r="E33" s="46">
        <v>54.75</v>
      </c>
      <c r="F33" s="46">
        <v>79</v>
      </c>
      <c r="G33" s="46" t="s">
        <v>77</v>
      </c>
      <c r="H33" s="88">
        <v>55</v>
      </c>
      <c r="I33" s="88">
        <v>54.5</v>
      </c>
    </row>
    <row r="34" spans="1:10" ht="13.8">
      <c r="A34" s="15" t="s">
        <v>52</v>
      </c>
      <c r="B34" s="46">
        <v>42.51</v>
      </c>
      <c r="C34" s="46">
        <v>72.95</v>
      </c>
      <c r="D34" s="46">
        <v>58.1</v>
      </c>
      <c r="E34" s="46">
        <v>51.05</v>
      </c>
      <c r="F34" s="46">
        <v>78.8</v>
      </c>
      <c r="G34" s="46" t="s">
        <v>77</v>
      </c>
      <c r="H34" s="88">
        <v>56</v>
      </c>
      <c r="I34" s="88">
        <v>52.67</v>
      </c>
    </row>
    <row r="35" spans="1:10" ht="13.8">
      <c r="A35" s="15" t="s">
        <v>38</v>
      </c>
      <c r="B35" s="46">
        <v>43.04</v>
      </c>
      <c r="C35" s="46">
        <v>72.75</v>
      </c>
      <c r="D35" s="46">
        <v>57.9375</v>
      </c>
      <c r="E35" s="46">
        <v>49.4375</v>
      </c>
      <c r="F35" s="46">
        <v>79.25</v>
      </c>
      <c r="G35" s="46" t="s">
        <v>77</v>
      </c>
      <c r="H35" s="88" t="s">
        <v>77</v>
      </c>
      <c r="I35" s="88" t="s">
        <v>77</v>
      </c>
    </row>
    <row r="36" spans="1:10" ht="13.8">
      <c r="A36" s="15"/>
      <c r="B36" s="46"/>
      <c r="C36" s="46"/>
      <c r="D36" s="46"/>
      <c r="E36" s="46"/>
      <c r="F36" s="46"/>
      <c r="G36" s="46"/>
      <c r="H36" s="46"/>
      <c r="I36" s="46"/>
    </row>
    <row r="37" spans="1:10" ht="13.8">
      <c r="A37" s="30" t="s">
        <v>54</v>
      </c>
      <c r="B37" s="46"/>
      <c r="C37" s="46"/>
      <c r="D37" s="46"/>
      <c r="E37" s="46"/>
      <c r="F37" s="46"/>
      <c r="G37" s="46"/>
      <c r="H37" s="46"/>
      <c r="I37" s="46"/>
      <c r="J37" s="98"/>
    </row>
    <row r="38" spans="1:10" ht="13.8">
      <c r="A38" s="15" t="s">
        <v>39</v>
      </c>
      <c r="B38" s="46">
        <v>44.3</v>
      </c>
      <c r="C38" s="46">
        <v>75.06</v>
      </c>
      <c r="D38" s="46">
        <v>59.5</v>
      </c>
      <c r="E38" s="46">
        <v>50.69</v>
      </c>
      <c r="F38" s="46">
        <v>79.13</v>
      </c>
      <c r="G38" s="46" t="s">
        <v>77</v>
      </c>
      <c r="H38" s="88" t="s">
        <v>77</v>
      </c>
      <c r="I38" s="46">
        <v>49.625</v>
      </c>
      <c r="J38" s="121"/>
    </row>
    <row r="39" spans="1:10" ht="13.8">
      <c r="A39" s="15" t="s">
        <v>40</v>
      </c>
      <c r="B39" s="46">
        <v>45.604999999999997</v>
      </c>
      <c r="C39" s="46">
        <v>76.349999999999994</v>
      </c>
      <c r="D39" s="46">
        <v>59.7</v>
      </c>
      <c r="E39" s="46">
        <v>51.45</v>
      </c>
      <c r="F39" s="46">
        <v>78.2</v>
      </c>
      <c r="G39" s="46" t="s">
        <v>77</v>
      </c>
      <c r="H39" s="88" t="s">
        <v>77</v>
      </c>
      <c r="I39" s="46" t="s">
        <v>77</v>
      </c>
      <c r="J39" s="121"/>
    </row>
    <row r="40" spans="1:10" ht="13.8">
      <c r="A40" s="15" t="s">
        <v>42</v>
      </c>
      <c r="B40" s="46">
        <v>42.48</v>
      </c>
      <c r="C40" s="46">
        <v>71.56</v>
      </c>
      <c r="D40" s="46">
        <v>58.13</v>
      </c>
      <c r="E40" s="46">
        <v>46.94</v>
      </c>
      <c r="F40" s="46">
        <v>78.25</v>
      </c>
      <c r="G40" s="46" t="s">
        <v>77</v>
      </c>
      <c r="H40" s="88">
        <v>55</v>
      </c>
      <c r="I40" s="46" t="s">
        <v>77</v>
      </c>
      <c r="J40" s="121"/>
    </row>
    <row r="41" spans="1:10" ht="13.8">
      <c r="A41" s="15" t="s">
        <v>140</v>
      </c>
      <c r="B41" s="46">
        <v>43.305999999999997</v>
      </c>
      <c r="C41" s="46">
        <v>75.349999999999994</v>
      </c>
      <c r="D41" s="46">
        <v>59.5</v>
      </c>
      <c r="E41" s="46">
        <v>49.8</v>
      </c>
      <c r="F41" s="46">
        <v>79.599999999999994</v>
      </c>
      <c r="G41" s="46" t="s">
        <v>77</v>
      </c>
      <c r="H41" s="88">
        <v>45.5</v>
      </c>
      <c r="I41" s="46" t="s">
        <v>77</v>
      </c>
      <c r="J41" s="121"/>
    </row>
    <row r="42" spans="1:10" ht="13.8">
      <c r="A42" s="15" t="s">
        <v>44</v>
      </c>
      <c r="B42" s="46">
        <v>44.497500000000002</v>
      </c>
      <c r="C42" s="46">
        <v>77.19</v>
      </c>
      <c r="D42" s="46">
        <v>60.88</v>
      </c>
      <c r="E42" s="46">
        <v>50.81</v>
      </c>
      <c r="F42" s="46">
        <v>80.25</v>
      </c>
      <c r="G42" s="46" t="s">
        <v>77</v>
      </c>
      <c r="H42" s="88" t="s">
        <v>77</v>
      </c>
      <c r="I42" s="46">
        <v>57</v>
      </c>
      <c r="J42" s="121"/>
    </row>
    <row r="43" spans="1:10" ht="13.8">
      <c r="A43" s="15" t="s">
        <v>46</v>
      </c>
      <c r="B43" s="46">
        <v>41.994999999999997</v>
      </c>
      <c r="C43" s="46">
        <v>74.13</v>
      </c>
      <c r="D43" s="46">
        <v>60.3125</v>
      </c>
      <c r="E43" s="46">
        <v>47.88</v>
      </c>
      <c r="F43" s="46">
        <v>78.88</v>
      </c>
      <c r="G43" s="46" t="s">
        <v>77</v>
      </c>
      <c r="H43" s="88" t="s">
        <v>77</v>
      </c>
      <c r="I43" s="46">
        <v>50.33</v>
      </c>
      <c r="J43" s="121"/>
    </row>
    <row r="44" spans="1:10" ht="13.8">
      <c r="A44" s="15" t="s">
        <v>47</v>
      </c>
      <c r="B44" s="46">
        <v>47.142499999999998</v>
      </c>
      <c r="C44" s="46">
        <v>79.75</v>
      </c>
      <c r="D44" s="46">
        <v>61.75</v>
      </c>
      <c r="E44" s="46">
        <v>53.88</v>
      </c>
      <c r="F44" s="46">
        <v>80.13</v>
      </c>
      <c r="G44" s="46" t="s">
        <v>77</v>
      </c>
      <c r="H44" s="88" t="s">
        <v>77</v>
      </c>
      <c r="I44" s="46">
        <v>56</v>
      </c>
      <c r="J44" s="121"/>
    </row>
    <row r="45" spans="1:10" ht="13.8">
      <c r="A45" s="15" t="s">
        <v>48</v>
      </c>
      <c r="B45" s="46">
        <v>48.514000000000003</v>
      </c>
      <c r="C45" s="46">
        <v>80.2</v>
      </c>
      <c r="D45" s="46">
        <v>60.7</v>
      </c>
      <c r="E45" s="46">
        <v>56.3</v>
      </c>
      <c r="F45" s="46">
        <v>79.2</v>
      </c>
      <c r="G45" s="46" t="s">
        <v>77</v>
      </c>
      <c r="H45" s="88">
        <v>57</v>
      </c>
      <c r="I45" s="46">
        <v>58</v>
      </c>
      <c r="J45" s="121"/>
    </row>
    <row r="46" spans="1:10" ht="13.8">
      <c r="A46" s="15" t="s">
        <v>50</v>
      </c>
      <c r="B46" s="46">
        <v>50.792499999999997</v>
      </c>
      <c r="C46" s="46">
        <v>83.13</v>
      </c>
      <c r="D46" s="46">
        <v>59.19</v>
      </c>
      <c r="E46" s="46">
        <v>62.75</v>
      </c>
      <c r="F46" s="46">
        <v>79.25</v>
      </c>
      <c r="G46" s="46" t="s">
        <v>77</v>
      </c>
      <c r="H46" s="88">
        <v>60</v>
      </c>
      <c r="I46" s="46">
        <v>72</v>
      </c>
      <c r="J46" s="121"/>
    </row>
    <row r="47" spans="1:10" ht="16.2">
      <c r="A47" s="203" t="s">
        <v>179</v>
      </c>
      <c r="B47" s="106"/>
      <c r="C47" s="106"/>
      <c r="D47" s="106"/>
      <c r="E47" s="106"/>
      <c r="F47" s="106"/>
      <c r="G47" s="106"/>
      <c r="H47" s="106"/>
      <c r="I47" s="107"/>
    </row>
    <row r="48" spans="1:10" ht="16.2">
      <c r="A48" s="15" t="s">
        <v>180</v>
      </c>
      <c r="B48" s="56"/>
      <c r="C48" s="56"/>
      <c r="D48" s="56"/>
      <c r="E48" s="56"/>
      <c r="F48" s="56"/>
      <c r="G48" s="56"/>
      <c r="H48" s="56"/>
      <c r="I48" s="56"/>
    </row>
    <row r="49" spans="1:9" ht="14.4">
      <c r="A49" s="15" t="s">
        <v>141</v>
      </c>
      <c r="B49" s="15"/>
      <c r="C49" s="15"/>
      <c r="D49" s="15"/>
      <c r="E49" s="15"/>
      <c r="F49" s="56"/>
      <c r="G49" s="15"/>
      <c r="H49" s="15"/>
      <c r="I49" s="15"/>
    </row>
    <row r="50" spans="1:9" ht="13.8">
      <c r="A50" s="49" t="s">
        <v>57</v>
      </c>
      <c r="B50" s="36">
        <f>Contents!A18</f>
        <v>45853</v>
      </c>
      <c r="C50" s="15"/>
      <c r="D50" s="15"/>
      <c r="E50" s="15"/>
      <c r="F50" s="15"/>
      <c r="G50" s="15"/>
      <c r="H50" s="15"/>
      <c r="I50" s="15"/>
    </row>
    <row r="51" spans="1:9" ht="15.6">
      <c r="C51" s="57"/>
      <c r="G51" s="57"/>
      <c r="H51" s="57"/>
      <c r="I51" s="57"/>
    </row>
    <row r="52" spans="1:9">
      <c r="B52" s="89"/>
      <c r="C52" s="89"/>
      <c r="D52" s="89"/>
      <c r="E52" s="89"/>
      <c r="F52" s="89"/>
      <c r="G52" s="89"/>
      <c r="H52" s="89"/>
      <c r="I52" s="89"/>
    </row>
    <row r="53" spans="1:9" ht="15.6">
      <c r="B53" s="82"/>
      <c r="C53" s="82"/>
      <c r="D53" s="82"/>
      <c r="E53" s="82"/>
      <c r="F53" s="82"/>
      <c r="G53" s="82"/>
      <c r="H53" s="57"/>
      <c r="I53" s="57"/>
    </row>
    <row r="54" spans="1:9" ht="15.6">
      <c r="B54" s="89"/>
      <c r="C54" s="57"/>
      <c r="G54" s="57"/>
      <c r="H54" s="57"/>
      <c r="I54" s="57"/>
    </row>
    <row r="55" spans="1:9" ht="15.6">
      <c r="C55" s="57"/>
      <c r="G55" s="57"/>
      <c r="H55" s="57"/>
      <c r="I55" s="57"/>
    </row>
    <row r="56" spans="1:9" ht="15.6">
      <c r="C56" s="57"/>
      <c r="G56" s="57"/>
      <c r="H56" s="57"/>
      <c r="I56" s="57"/>
    </row>
    <row r="57" spans="1:9" ht="15.6">
      <c r="C57" s="57"/>
      <c r="G57" s="57"/>
      <c r="H57" s="57"/>
      <c r="I57" s="57"/>
    </row>
    <row r="58" spans="1:9" ht="15.6">
      <c r="C58" s="57"/>
      <c r="G58" s="57"/>
      <c r="H58" s="57"/>
      <c r="I58" s="57"/>
    </row>
    <row r="59" spans="1:9" ht="15.6">
      <c r="C59" s="57"/>
      <c r="G59" s="57"/>
      <c r="H59" s="57"/>
      <c r="I59" s="57"/>
    </row>
    <row r="60" spans="1:9" ht="15.6">
      <c r="C60" s="57"/>
      <c r="G60" s="57"/>
      <c r="H60" s="57"/>
      <c r="I60" s="57"/>
    </row>
    <row r="61" spans="1:9" ht="15.6">
      <c r="C61" s="57"/>
      <c r="G61" s="57"/>
      <c r="H61" s="57"/>
      <c r="I61" s="57"/>
    </row>
    <row r="62" spans="1:9" ht="15.6">
      <c r="C62" s="57"/>
      <c r="G62" s="57"/>
      <c r="H62" s="57"/>
      <c r="I62" s="57"/>
    </row>
    <row r="63" spans="1:9" ht="15.6">
      <c r="C63" s="57"/>
      <c r="G63" s="57"/>
      <c r="H63" s="57"/>
      <c r="I63" s="57"/>
    </row>
    <row r="64" spans="1:9" ht="15.6">
      <c r="C64" s="57"/>
      <c r="G64" s="57"/>
      <c r="H64" s="57"/>
      <c r="I64" s="57"/>
    </row>
    <row r="65" spans="3:9" ht="15.6">
      <c r="C65" s="57"/>
      <c r="G65" s="57"/>
      <c r="H65" s="57"/>
      <c r="I65" s="57"/>
    </row>
    <row r="66" spans="3:9" ht="15.6">
      <c r="C66" s="57"/>
      <c r="G66" s="57"/>
      <c r="H66" s="57"/>
      <c r="I66" s="57"/>
    </row>
    <row r="67" spans="3:9" ht="15.6">
      <c r="C67" s="57"/>
      <c r="H67" s="57"/>
      <c r="I67" s="57"/>
    </row>
    <row r="68" spans="3:9" ht="15.6">
      <c r="C68" s="57"/>
      <c r="H68" s="57"/>
      <c r="I68" s="57"/>
    </row>
    <row r="69" spans="3:9" ht="15.6">
      <c r="C69" s="57"/>
      <c r="F69" s="58"/>
      <c r="H69" s="57"/>
      <c r="I69" s="57"/>
    </row>
    <row r="70" spans="3:9" ht="15.6">
      <c r="F70" s="58"/>
      <c r="H70" s="57"/>
      <c r="I70" s="57"/>
    </row>
  </sheetData>
  <phoneticPr fontId="6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0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3320312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664062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95</v>
      </c>
      <c r="B2" s="17" t="s">
        <v>123</v>
      </c>
      <c r="C2" s="59" t="s">
        <v>124</v>
      </c>
      <c r="D2" s="59" t="s">
        <v>125</v>
      </c>
      <c r="E2" s="59" t="s">
        <v>127</v>
      </c>
      <c r="F2" s="17" t="s">
        <v>142</v>
      </c>
      <c r="G2" s="17" t="s">
        <v>143</v>
      </c>
      <c r="AB2" s="60"/>
    </row>
    <row r="3" spans="1:28" ht="15.6" customHeight="1">
      <c r="A3" s="14" t="s">
        <v>102</v>
      </c>
      <c r="B3" s="23" t="s">
        <v>144</v>
      </c>
      <c r="C3" s="23" t="s">
        <v>145</v>
      </c>
      <c r="D3" s="23" t="s">
        <v>146</v>
      </c>
      <c r="E3" s="23" t="s">
        <v>147</v>
      </c>
      <c r="F3" s="23" t="s">
        <v>148</v>
      </c>
      <c r="G3" s="23" t="s">
        <v>149</v>
      </c>
      <c r="AB3" s="60"/>
    </row>
    <row r="4" spans="1:28" ht="14.4">
      <c r="A4" s="53" t="s">
        <v>150</v>
      </c>
      <c r="C4" s="54"/>
      <c r="D4" s="54"/>
      <c r="E4" s="54"/>
      <c r="F4" s="54"/>
      <c r="G4" s="54"/>
      <c r="AB4" s="60"/>
    </row>
    <row r="5" spans="1:28" ht="13.8">
      <c r="A5" s="15"/>
      <c r="B5" s="15"/>
      <c r="C5" s="15"/>
      <c r="D5" s="15"/>
      <c r="E5" s="15"/>
      <c r="F5" s="15"/>
      <c r="G5" s="15"/>
      <c r="AB5" s="60"/>
    </row>
    <row r="6" spans="1:28" ht="13.8">
      <c r="A6" s="15" t="s">
        <v>107</v>
      </c>
      <c r="B6" s="55">
        <v>345.52</v>
      </c>
      <c r="C6" s="55">
        <v>273.83999999999997</v>
      </c>
      <c r="D6" s="55">
        <v>219.72</v>
      </c>
      <c r="E6" s="47" t="s">
        <v>77</v>
      </c>
      <c r="F6" s="55">
        <v>263.63</v>
      </c>
      <c r="G6" s="55">
        <v>240.65</v>
      </c>
      <c r="H6" s="58"/>
      <c r="I6" s="58"/>
      <c r="J6" s="58"/>
      <c r="AB6" s="60"/>
    </row>
    <row r="7" spans="1:28" ht="13.8">
      <c r="A7" s="15" t="s">
        <v>108</v>
      </c>
      <c r="B7" s="55">
        <v>393.53</v>
      </c>
      <c r="C7" s="55">
        <v>275.13</v>
      </c>
      <c r="D7" s="55">
        <v>246.75</v>
      </c>
      <c r="E7" s="47" t="s">
        <v>77</v>
      </c>
      <c r="F7" s="55">
        <v>307.58999999999997</v>
      </c>
      <c r="G7" s="55">
        <v>265.68</v>
      </c>
      <c r="H7" s="58"/>
      <c r="I7" s="58"/>
      <c r="J7" s="58"/>
      <c r="AB7" s="60"/>
    </row>
    <row r="8" spans="1:28" ht="13.8">
      <c r="A8" s="15" t="s">
        <v>109</v>
      </c>
      <c r="B8" s="55">
        <v>468.11</v>
      </c>
      <c r="C8" s="55">
        <v>331.52</v>
      </c>
      <c r="D8" s="55">
        <v>241.57</v>
      </c>
      <c r="E8" s="47" t="s">
        <v>77</v>
      </c>
      <c r="F8" s="55">
        <v>354.22</v>
      </c>
      <c r="G8" s="55">
        <v>329.31</v>
      </c>
      <c r="H8" s="58"/>
      <c r="I8" s="58"/>
      <c r="J8" s="58"/>
      <c r="AB8" s="60"/>
    </row>
    <row r="9" spans="1:28" ht="13.8">
      <c r="A9" s="15" t="s">
        <v>110</v>
      </c>
      <c r="B9" s="55">
        <v>489.94</v>
      </c>
      <c r="C9" s="55">
        <v>377.71</v>
      </c>
      <c r="D9" s="55">
        <v>238.87</v>
      </c>
      <c r="E9" s="47" t="s">
        <v>77</v>
      </c>
      <c r="F9" s="55">
        <v>359.7</v>
      </c>
      <c r="G9" s="55">
        <v>337.23</v>
      </c>
      <c r="H9" s="58"/>
      <c r="I9" s="58"/>
      <c r="J9" s="58"/>
      <c r="AB9" s="60"/>
    </row>
    <row r="10" spans="1:28" ht="13.8">
      <c r="A10" s="15" t="s">
        <v>111</v>
      </c>
      <c r="B10" s="55">
        <v>368.49</v>
      </c>
      <c r="C10" s="55">
        <v>304.27</v>
      </c>
      <c r="D10" s="55">
        <v>209.97</v>
      </c>
      <c r="E10" s="47" t="s">
        <v>77</v>
      </c>
      <c r="F10" s="55">
        <v>301.2</v>
      </c>
      <c r="G10" s="55">
        <v>256.58</v>
      </c>
      <c r="H10" s="58"/>
      <c r="I10" s="58"/>
      <c r="J10" s="58"/>
      <c r="AB10" s="60"/>
    </row>
    <row r="11" spans="1:28" ht="13.8">
      <c r="A11" s="15" t="s">
        <v>112</v>
      </c>
      <c r="B11" s="55">
        <v>324.56</v>
      </c>
      <c r="C11" s="55">
        <v>261.19</v>
      </c>
      <c r="D11" s="55">
        <v>153.16999999999999</v>
      </c>
      <c r="E11" s="47" t="s">
        <v>77</v>
      </c>
      <c r="F11" s="55">
        <v>262.2</v>
      </c>
      <c r="G11" s="55">
        <v>260.23</v>
      </c>
      <c r="H11" s="58"/>
      <c r="I11" s="58"/>
      <c r="J11" s="58"/>
      <c r="AB11" s="60"/>
    </row>
    <row r="12" spans="1:28" ht="13.8">
      <c r="A12" s="15" t="s">
        <v>113</v>
      </c>
      <c r="B12" s="55">
        <v>316.88</v>
      </c>
      <c r="C12" s="55">
        <v>208.61</v>
      </c>
      <c r="D12" s="55">
        <v>145.1</v>
      </c>
      <c r="E12" s="47" t="s">
        <v>77</v>
      </c>
      <c r="F12" s="55">
        <v>267.94</v>
      </c>
      <c r="G12" s="55">
        <v>282.49</v>
      </c>
      <c r="H12" s="58"/>
      <c r="I12" s="58"/>
      <c r="J12" s="58"/>
      <c r="AB12" s="60"/>
    </row>
    <row r="13" spans="1:28" ht="13.8">
      <c r="A13" s="15" t="s">
        <v>114</v>
      </c>
      <c r="B13" s="55">
        <v>345.02</v>
      </c>
      <c r="C13" s="55">
        <v>260.88</v>
      </c>
      <c r="D13" s="55">
        <v>173.53</v>
      </c>
      <c r="E13" s="47" t="s">
        <v>77</v>
      </c>
      <c r="F13" s="55">
        <v>291.14999999999998</v>
      </c>
      <c r="G13" s="55">
        <v>239.15</v>
      </c>
      <c r="H13" s="58"/>
      <c r="I13" s="58"/>
      <c r="J13" s="58"/>
    </row>
    <row r="14" spans="1:28" ht="13.8">
      <c r="A14" s="15" t="s">
        <v>115</v>
      </c>
      <c r="B14" s="55">
        <v>308.27999999999997</v>
      </c>
      <c r="C14" s="55">
        <v>228.64</v>
      </c>
      <c r="D14" s="55">
        <v>164.16</v>
      </c>
      <c r="E14" s="47" t="s">
        <v>77</v>
      </c>
      <c r="F14" s="55">
        <v>272.38</v>
      </c>
      <c r="G14" s="55">
        <v>225.77</v>
      </c>
      <c r="H14" s="58"/>
      <c r="I14" s="58"/>
      <c r="J14" s="58"/>
    </row>
    <row r="15" spans="1:28" ht="13.8">
      <c r="A15" s="15" t="s">
        <v>116</v>
      </c>
      <c r="B15" s="55">
        <v>299.5</v>
      </c>
      <c r="C15" s="55">
        <v>247.04</v>
      </c>
      <c r="D15" s="55">
        <v>187.7</v>
      </c>
      <c r="E15" s="47" t="s">
        <v>77</v>
      </c>
      <c r="F15" s="55">
        <v>273.99</v>
      </c>
      <c r="G15" s="55">
        <v>245.88</v>
      </c>
      <c r="H15" s="58"/>
      <c r="I15" s="58"/>
      <c r="J15" s="58"/>
    </row>
    <row r="16" spans="1:28" ht="13.8">
      <c r="A16" s="15" t="s">
        <v>117</v>
      </c>
      <c r="B16" s="55">
        <v>392.31</v>
      </c>
      <c r="C16" s="55">
        <v>375.51</v>
      </c>
      <c r="D16" s="85">
        <v>246.22</v>
      </c>
      <c r="E16" s="47" t="s">
        <v>77</v>
      </c>
      <c r="F16" s="55">
        <v>351.87</v>
      </c>
      <c r="G16" s="55">
        <v>288.12</v>
      </c>
      <c r="H16" s="58"/>
      <c r="I16" s="58"/>
      <c r="J16" s="58"/>
    </row>
    <row r="17" spans="1:13" ht="13.8">
      <c r="A17" s="15" t="s">
        <v>118</v>
      </c>
      <c r="B17" s="55">
        <v>439.81</v>
      </c>
      <c r="C17" s="55">
        <v>355.33</v>
      </c>
      <c r="D17" s="55">
        <v>279.98</v>
      </c>
      <c r="E17" s="47" t="s">
        <v>77</v>
      </c>
      <c r="F17" s="55">
        <v>439.1</v>
      </c>
      <c r="G17" s="55">
        <v>332.21</v>
      </c>
      <c r="H17" s="58"/>
      <c r="I17" s="58"/>
      <c r="J17" s="58"/>
    </row>
    <row r="18" spans="1:13" ht="13.8">
      <c r="A18" s="15" t="s">
        <v>119</v>
      </c>
      <c r="B18" s="55">
        <v>451.91</v>
      </c>
      <c r="C18" s="55">
        <v>379.13</v>
      </c>
      <c r="D18" s="55">
        <v>244.34</v>
      </c>
      <c r="E18" s="47" t="s">
        <v>77</v>
      </c>
      <c r="F18" s="55">
        <v>431.34</v>
      </c>
      <c r="G18" s="85">
        <v>359.06</v>
      </c>
      <c r="H18" s="58"/>
      <c r="I18" s="58"/>
      <c r="J18" s="58"/>
    </row>
    <row r="19" spans="1:13" ht="13.8">
      <c r="A19" s="15" t="s">
        <v>35</v>
      </c>
      <c r="B19" s="55">
        <v>384.11</v>
      </c>
      <c r="C19" s="55">
        <v>343.08</v>
      </c>
      <c r="D19" s="55">
        <v>194.19</v>
      </c>
      <c r="E19" s="47" t="s">
        <v>77</v>
      </c>
      <c r="F19" s="55">
        <v>378.28</v>
      </c>
      <c r="G19" s="85">
        <v>297.39368181818185</v>
      </c>
      <c r="H19" s="58"/>
      <c r="I19" s="58"/>
      <c r="J19" s="58"/>
    </row>
    <row r="20" spans="1:13" ht="16.2">
      <c r="A20" s="15" t="s">
        <v>138</v>
      </c>
      <c r="B20" s="55">
        <v>300</v>
      </c>
      <c r="C20" s="55">
        <v>290</v>
      </c>
      <c r="D20" s="55">
        <v>155</v>
      </c>
      <c r="E20" s="47" t="s">
        <v>77</v>
      </c>
      <c r="F20" s="55">
        <v>275</v>
      </c>
      <c r="G20" s="85">
        <v>200</v>
      </c>
      <c r="H20" s="58"/>
      <c r="I20" s="58"/>
      <c r="J20" s="58"/>
    </row>
    <row r="21" spans="1:13" ht="16.2">
      <c r="A21" s="15" t="s">
        <v>139</v>
      </c>
      <c r="B21" s="55">
        <v>290</v>
      </c>
      <c r="C21" s="55">
        <v>270</v>
      </c>
      <c r="D21" s="55">
        <v>150</v>
      </c>
      <c r="E21" s="47" t="s">
        <v>77</v>
      </c>
      <c r="F21" s="55">
        <v>265</v>
      </c>
      <c r="G21" s="85">
        <v>190</v>
      </c>
      <c r="H21" s="58"/>
      <c r="I21" s="58"/>
      <c r="J21" s="58"/>
    </row>
    <row r="22" spans="1:13" ht="13.8">
      <c r="A22" s="131"/>
      <c r="B22" s="130"/>
      <c r="C22" s="130"/>
      <c r="D22" s="130"/>
      <c r="E22" s="130"/>
      <c r="F22" s="130"/>
      <c r="G22" s="130"/>
      <c r="H22" s="130"/>
      <c r="I22" s="130"/>
      <c r="J22" s="62"/>
      <c r="K22" s="62"/>
      <c r="L22" s="62"/>
      <c r="M22" s="62"/>
    </row>
    <row r="23" spans="1:13" ht="13.8">
      <c r="A23" s="30" t="s">
        <v>35</v>
      </c>
      <c r="B23" s="85"/>
      <c r="C23" s="55"/>
      <c r="D23" s="55"/>
      <c r="E23" s="47"/>
      <c r="F23" s="55"/>
      <c r="G23" s="55"/>
      <c r="H23" s="46"/>
      <c r="I23" s="58"/>
    </row>
    <row r="24" spans="1:13" ht="13.8">
      <c r="A24" s="15" t="s">
        <v>39</v>
      </c>
      <c r="B24" s="85">
        <v>416.16</v>
      </c>
      <c r="C24" s="55">
        <v>348.75</v>
      </c>
      <c r="D24" s="55">
        <v>229.16500000000002</v>
      </c>
      <c r="E24" s="47" t="s">
        <v>77</v>
      </c>
      <c r="F24" s="55">
        <v>407.1</v>
      </c>
      <c r="G24" s="55">
        <v>325</v>
      </c>
      <c r="H24" s="46"/>
      <c r="I24" s="58"/>
    </row>
    <row r="25" spans="1:13" ht="13.8">
      <c r="A25" s="15" t="s">
        <v>40</v>
      </c>
      <c r="B25" s="85">
        <v>464.27</v>
      </c>
      <c r="C25" s="55">
        <v>350</v>
      </c>
      <c r="D25" s="55">
        <v>266.67</v>
      </c>
      <c r="E25" s="47" t="s">
        <v>77</v>
      </c>
      <c r="F25" s="55">
        <v>441.77</v>
      </c>
      <c r="G25" s="85">
        <v>348.33</v>
      </c>
      <c r="H25" s="46"/>
      <c r="I25" s="58"/>
    </row>
    <row r="26" spans="1:13" ht="13.8">
      <c r="A26" s="15" t="s">
        <v>42</v>
      </c>
      <c r="B26" s="85">
        <v>440.6</v>
      </c>
      <c r="C26" s="55">
        <v>358.75</v>
      </c>
      <c r="D26" s="55">
        <v>270</v>
      </c>
      <c r="E26" s="47" t="s">
        <v>77</v>
      </c>
      <c r="F26" s="55">
        <v>395.04999999999995</v>
      </c>
      <c r="G26" s="85">
        <v>365</v>
      </c>
      <c r="H26" s="46"/>
      <c r="I26" s="58"/>
    </row>
    <row r="27" spans="1:13" ht="13.8">
      <c r="A27" s="15" t="s">
        <v>43</v>
      </c>
      <c r="B27" s="85">
        <v>378.4</v>
      </c>
      <c r="C27" s="55">
        <v>352.5</v>
      </c>
      <c r="D27" s="55">
        <v>270</v>
      </c>
      <c r="E27" s="47" t="s">
        <v>77</v>
      </c>
      <c r="F27" s="55">
        <v>349.3</v>
      </c>
      <c r="G27" s="85">
        <v>365</v>
      </c>
      <c r="H27" s="46"/>
      <c r="I27" s="58"/>
    </row>
    <row r="28" spans="1:13" ht="13.8">
      <c r="A28" s="15" t="s">
        <v>44</v>
      </c>
      <c r="B28" s="85">
        <v>363.625</v>
      </c>
      <c r="C28" s="55">
        <v>355</v>
      </c>
      <c r="D28" s="55">
        <v>210</v>
      </c>
      <c r="E28" s="47" t="s">
        <v>77</v>
      </c>
      <c r="F28" s="55">
        <v>357.75</v>
      </c>
      <c r="G28" s="85" t="s">
        <v>77</v>
      </c>
      <c r="H28" s="46"/>
      <c r="I28" s="58"/>
    </row>
    <row r="29" spans="1:13" ht="13.8">
      <c r="A29" s="15" t="s">
        <v>46</v>
      </c>
      <c r="B29" s="85">
        <v>361.75</v>
      </c>
      <c r="C29" s="55">
        <v>343.33</v>
      </c>
      <c r="D29" s="55">
        <v>140</v>
      </c>
      <c r="E29" s="47" t="s">
        <v>77</v>
      </c>
      <c r="F29" s="55">
        <v>348.34</v>
      </c>
      <c r="G29" s="85">
        <v>331</v>
      </c>
      <c r="H29" s="46"/>
      <c r="I29" s="58"/>
    </row>
    <row r="30" spans="1:13" ht="13.8">
      <c r="A30" s="15" t="s">
        <v>47</v>
      </c>
      <c r="B30" s="85">
        <v>357.67500000000001</v>
      </c>
      <c r="C30" s="55">
        <v>333.75</v>
      </c>
      <c r="D30" s="55">
        <v>142.5</v>
      </c>
      <c r="E30" s="47" t="s">
        <v>77</v>
      </c>
      <c r="F30" s="55">
        <v>357.17500000000001</v>
      </c>
      <c r="G30" s="85">
        <v>292.5</v>
      </c>
      <c r="H30" s="46"/>
      <c r="I30" s="58"/>
    </row>
    <row r="31" spans="1:13" ht="13.8">
      <c r="A31" s="15" t="s">
        <v>48</v>
      </c>
      <c r="B31" s="85">
        <v>388.65</v>
      </c>
      <c r="C31" s="55">
        <v>330</v>
      </c>
      <c r="D31" s="55">
        <v>170</v>
      </c>
      <c r="E31" s="47" t="s">
        <v>77</v>
      </c>
      <c r="F31" s="55">
        <v>411.82</v>
      </c>
      <c r="G31" s="85">
        <v>259</v>
      </c>
      <c r="H31" s="46"/>
      <c r="I31" s="58"/>
    </row>
    <row r="32" spans="1:13" ht="13.8">
      <c r="A32" s="15" t="s">
        <v>50</v>
      </c>
      <c r="B32" s="85">
        <v>384.1</v>
      </c>
      <c r="C32" s="55" t="s">
        <v>77</v>
      </c>
      <c r="D32" s="55">
        <v>166.25</v>
      </c>
      <c r="E32" s="47" t="s">
        <v>77</v>
      </c>
      <c r="F32" s="55">
        <v>416.6</v>
      </c>
      <c r="G32" s="85">
        <v>253.54249999999999</v>
      </c>
      <c r="H32" s="46"/>
      <c r="I32" s="58"/>
    </row>
    <row r="33" spans="1:10" ht="13.8">
      <c r="A33" s="15" t="s">
        <v>51</v>
      </c>
      <c r="B33" s="85">
        <v>364.3</v>
      </c>
      <c r="C33" s="55">
        <v>335</v>
      </c>
      <c r="D33" s="55">
        <v>155</v>
      </c>
      <c r="E33" s="47" t="s">
        <v>77</v>
      </c>
      <c r="F33" s="55">
        <v>387.87</v>
      </c>
      <c r="G33" s="85">
        <v>250.833</v>
      </c>
      <c r="H33" s="46"/>
      <c r="I33" s="58"/>
    </row>
    <row r="34" spans="1:10" ht="13.8">
      <c r="A34" s="15" t="s">
        <v>52</v>
      </c>
      <c r="B34" s="85">
        <v>343.4</v>
      </c>
      <c r="C34" s="55" t="s">
        <v>77</v>
      </c>
      <c r="D34" s="55">
        <v>154.5</v>
      </c>
      <c r="E34" s="47" t="s">
        <v>77</v>
      </c>
      <c r="F34" s="55">
        <v>341.42500000000001</v>
      </c>
      <c r="G34" s="85">
        <v>244.5</v>
      </c>
      <c r="H34" s="46"/>
      <c r="I34" s="58"/>
    </row>
    <row r="35" spans="1:10" ht="13.8">
      <c r="A35" s="15" t="s">
        <v>38</v>
      </c>
      <c r="B35" s="85">
        <v>346.33749999999998</v>
      </c>
      <c r="C35" s="55">
        <v>323.75</v>
      </c>
      <c r="D35" s="55">
        <v>156.25</v>
      </c>
      <c r="E35" s="47" t="s">
        <v>77</v>
      </c>
      <c r="F35" s="55">
        <v>325.10000000000002</v>
      </c>
      <c r="G35" s="85">
        <v>236.625</v>
      </c>
      <c r="H35" s="46"/>
      <c r="I35" s="58"/>
    </row>
    <row r="36" spans="1:10" ht="13.8">
      <c r="A36" s="15"/>
      <c r="B36" s="85"/>
      <c r="C36" s="55"/>
      <c r="D36" s="55"/>
      <c r="E36" s="47"/>
      <c r="F36" s="55"/>
      <c r="G36" s="55"/>
      <c r="H36" s="46"/>
      <c r="I36" s="58"/>
    </row>
    <row r="37" spans="1:10" ht="13.8">
      <c r="A37" s="30" t="s">
        <v>54</v>
      </c>
      <c r="B37" s="85"/>
      <c r="C37" s="55"/>
      <c r="D37" s="55"/>
      <c r="E37" s="47"/>
      <c r="F37" s="55"/>
      <c r="G37" s="55"/>
      <c r="H37" s="46"/>
      <c r="I37" s="58"/>
    </row>
    <row r="38" spans="1:10" ht="13.8">
      <c r="A38" s="15" t="s">
        <v>39</v>
      </c>
      <c r="B38" s="85">
        <v>342.85</v>
      </c>
      <c r="C38" s="55">
        <v>322.5</v>
      </c>
      <c r="D38" s="55">
        <v>173.75</v>
      </c>
      <c r="E38" s="47" t="s">
        <v>77</v>
      </c>
      <c r="F38" s="55">
        <v>314.27499999999998</v>
      </c>
      <c r="G38" s="55">
        <v>240</v>
      </c>
      <c r="H38" s="46"/>
      <c r="I38" s="58"/>
    </row>
    <row r="39" spans="1:10" ht="13.8">
      <c r="A39" s="15" t="s">
        <v>40</v>
      </c>
      <c r="B39" s="85">
        <v>316.17500000000001</v>
      </c>
      <c r="C39" s="55">
        <v>315</v>
      </c>
      <c r="D39" s="55">
        <v>177.5</v>
      </c>
      <c r="E39" s="47" t="s">
        <v>77</v>
      </c>
      <c r="F39" s="55">
        <v>283.17500000000001</v>
      </c>
      <c r="G39" s="55">
        <v>225</v>
      </c>
      <c r="H39" s="46"/>
      <c r="I39" s="58"/>
    </row>
    <row r="40" spans="1:10" ht="13.8">
      <c r="A40" s="15" t="s">
        <v>42</v>
      </c>
      <c r="B40" s="85">
        <v>303.63299999999998</v>
      </c>
      <c r="C40" s="55">
        <v>301.25</v>
      </c>
      <c r="D40" s="55">
        <v>175</v>
      </c>
      <c r="E40" s="47" t="s">
        <v>77</v>
      </c>
      <c r="F40" s="55">
        <v>275.89999999999998</v>
      </c>
      <c r="G40" s="55">
        <v>268.33</v>
      </c>
      <c r="H40" s="46"/>
      <c r="I40" s="58"/>
    </row>
    <row r="41" spans="1:10" ht="13.8">
      <c r="A41" s="15" t="s">
        <v>43</v>
      </c>
      <c r="B41" s="85">
        <v>316.97000000000003</v>
      </c>
      <c r="C41" s="55">
        <v>272.5</v>
      </c>
      <c r="D41" s="55">
        <v>173</v>
      </c>
      <c r="E41" s="47" t="s">
        <v>77</v>
      </c>
      <c r="F41" s="55">
        <v>288.92</v>
      </c>
      <c r="G41" s="55">
        <v>266.5</v>
      </c>
      <c r="H41" s="46"/>
      <c r="I41" s="58"/>
    </row>
    <row r="42" spans="1:10" ht="13.8">
      <c r="A42" s="15" t="s">
        <v>44</v>
      </c>
      <c r="B42" s="85">
        <v>304.77499999999998</v>
      </c>
      <c r="C42" s="55">
        <v>265</v>
      </c>
      <c r="D42" s="55">
        <v>182.5</v>
      </c>
      <c r="E42" s="47" t="s">
        <v>77</v>
      </c>
      <c r="F42" s="55">
        <v>288.52499999999998</v>
      </c>
      <c r="G42" s="55">
        <v>255.625</v>
      </c>
      <c r="H42" s="46"/>
      <c r="I42" s="58"/>
    </row>
    <row r="43" spans="1:10" ht="13.8">
      <c r="A43" s="15" t="s">
        <v>46</v>
      </c>
      <c r="B43" s="85">
        <v>303.8</v>
      </c>
      <c r="C43" s="55">
        <v>265</v>
      </c>
      <c r="D43" s="55">
        <v>156.25</v>
      </c>
      <c r="E43" s="47" t="s">
        <v>77</v>
      </c>
      <c r="F43" s="55">
        <v>304.39999999999998</v>
      </c>
      <c r="G43" s="55">
        <v>250.625</v>
      </c>
      <c r="H43" s="46"/>
      <c r="I43" s="58"/>
    </row>
    <row r="44" spans="1:10" ht="13.8">
      <c r="A44" s="15" t="s">
        <v>47</v>
      </c>
      <c r="B44" s="85">
        <v>295.02500000000003</v>
      </c>
      <c r="C44" s="55" t="s">
        <v>77</v>
      </c>
      <c r="D44" s="55">
        <v>143.125</v>
      </c>
      <c r="E44" s="47" t="s">
        <v>77</v>
      </c>
      <c r="F44" s="55" t="s">
        <v>77</v>
      </c>
      <c r="G44" s="55">
        <v>232.5</v>
      </c>
      <c r="H44" s="46"/>
      <c r="I44" s="58"/>
    </row>
    <row r="45" spans="1:10" ht="13.8">
      <c r="A45" s="15" t="s">
        <v>48</v>
      </c>
      <c r="B45" s="85">
        <v>288.74599999999998</v>
      </c>
      <c r="C45" s="55">
        <v>270</v>
      </c>
      <c r="D45" s="55">
        <v>126</v>
      </c>
      <c r="E45" s="47" t="s">
        <v>77</v>
      </c>
      <c r="F45" s="55" t="s">
        <v>77</v>
      </c>
      <c r="G45" s="55">
        <v>218.125</v>
      </c>
      <c r="H45" s="46"/>
      <c r="I45" s="58"/>
    </row>
    <row r="46" spans="1:10" ht="13.8">
      <c r="A46" s="15" t="s">
        <v>50</v>
      </c>
      <c r="B46" s="85">
        <v>280.7</v>
      </c>
      <c r="C46" s="55" t="s">
        <v>77</v>
      </c>
      <c r="D46" s="55">
        <v>135</v>
      </c>
      <c r="E46" s="47" t="s">
        <v>77</v>
      </c>
      <c r="F46" s="55" t="s">
        <v>77</v>
      </c>
      <c r="G46" s="55">
        <v>266.25</v>
      </c>
      <c r="H46" s="46"/>
      <c r="I46" s="58"/>
    </row>
    <row r="47" spans="1:10" ht="16.2">
      <c r="A47" s="76" t="s">
        <v>151</v>
      </c>
      <c r="B47" s="108"/>
      <c r="C47" s="108"/>
      <c r="D47" s="108"/>
      <c r="E47" s="108"/>
      <c r="F47" s="108"/>
      <c r="G47" s="108"/>
      <c r="I47" s="61"/>
    </row>
    <row r="48" spans="1:10" ht="16.2">
      <c r="A48" s="202" t="s">
        <v>152</v>
      </c>
      <c r="B48" s="63"/>
      <c r="C48" s="63"/>
      <c r="D48" s="63"/>
      <c r="E48" s="63"/>
      <c r="F48" s="63"/>
      <c r="G48" s="63"/>
      <c r="I48" s="61"/>
      <c r="J48" s="61"/>
    </row>
    <row r="49" spans="1:10" ht="14.4">
      <c r="A49" s="15" t="s">
        <v>153</v>
      </c>
      <c r="B49" s="15"/>
      <c r="C49" s="15"/>
      <c r="D49" s="15"/>
      <c r="E49" s="15"/>
      <c r="F49" s="63"/>
      <c r="G49" s="63"/>
      <c r="I49" s="61"/>
      <c r="J49" s="61"/>
    </row>
    <row r="50" spans="1:10" ht="13.8">
      <c r="A50" s="49" t="s">
        <v>57</v>
      </c>
      <c r="B50" s="36">
        <f>Contents!A18</f>
        <v>45853</v>
      </c>
      <c r="C50" s="15"/>
      <c r="D50" s="15"/>
      <c r="E50" s="15"/>
      <c r="F50" s="63"/>
      <c r="G50" s="63"/>
      <c r="I50" s="64"/>
      <c r="J50" s="64"/>
    </row>
    <row r="51" spans="1:10" ht="13.8">
      <c r="F51" s="63"/>
      <c r="G51" s="63"/>
      <c r="I51" s="64"/>
      <c r="J51" s="64"/>
    </row>
    <row r="52" spans="1:10" ht="13.8">
      <c r="B52" s="132"/>
      <c r="F52" s="63"/>
      <c r="G52" s="63"/>
      <c r="I52" s="61"/>
      <c r="J52" s="61"/>
    </row>
    <row r="53" spans="1:10">
      <c r="B53" s="87"/>
      <c r="C53" s="89"/>
      <c r="D53" s="89"/>
      <c r="E53" s="89"/>
      <c r="F53" s="89"/>
      <c r="G53" s="89"/>
      <c r="I53" s="61"/>
      <c r="J53" s="61"/>
    </row>
    <row r="54" spans="1:10">
      <c r="I54" s="61"/>
      <c r="J54" s="61"/>
    </row>
    <row r="55" spans="1:10">
      <c r="B55" s="87"/>
      <c r="I55" s="61"/>
      <c r="J55" s="61"/>
    </row>
    <row r="56" spans="1:10">
      <c r="I56" s="61"/>
      <c r="J56" s="61"/>
    </row>
    <row r="57" spans="1:10">
      <c r="I57" s="61"/>
      <c r="J57" s="61"/>
    </row>
    <row r="59" spans="1:10">
      <c r="I59" s="65"/>
      <c r="J59" s="65"/>
    </row>
    <row r="60" spans="1:10">
      <c r="I60" s="65"/>
      <c r="J60" s="65"/>
    </row>
  </sheetData>
  <phoneticPr fontId="6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292B-9B45-42E4-9358-7B53E28706B3}">
  <sheetPr codeName="Sheet8"/>
  <dimension ref="A1:H85"/>
  <sheetViews>
    <sheetView zoomScale="90" zoomScaleNormal="90" workbookViewId="0"/>
  </sheetViews>
  <sheetFormatPr defaultColWidth="9.109375" defaultRowHeight="13.8"/>
  <cols>
    <col min="1" max="1" width="11" style="165" customWidth="1"/>
    <col min="2" max="2" width="12.109375" style="165" bestFit="1" customWidth="1"/>
    <col min="3" max="3" width="10.44140625" style="165" customWidth="1"/>
    <col min="4" max="4" width="7.88671875" style="165" customWidth="1"/>
    <col min="5" max="5" width="9.33203125" style="165" bestFit="1" customWidth="1"/>
    <col min="6" max="8" width="7.88671875" style="165" customWidth="1"/>
    <col min="9" max="16384" width="9.109375" style="165"/>
  </cols>
  <sheetData>
    <row r="1" spans="1:8" ht="34.5" customHeight="1">
      <c r="A1" s="162" t="s">
        <v>154</v>
      </c>
      <c r="B1" s="163" t="s">
        <v>155</v>
      </c>
      <c r="C1" s="163" t="s">
        <v>27</v>
      </c>
      <c r="D1" s="164"/>
      <c r="E1" s="164"/>
      <c r="F1" s="164"/>
      <c r="G1" s="164"/>
      <c r="H1" s="164"/>
    </row>
    <row r="2" spans="1:8">
      <c r="A2" s="166" t="s">
        <v>113</v>
      </c>
      <c r="B2" s="171">
        <v>1.536</v>
      </c>
      <c r="C2" s="167">
        <v>5581.57</v>
      </c>
      <c r="D2" s="168"/>
    </row>
    <row r="3" spans="1:8">
      <c r="A3" s="166" t="s">
        <v>114</v>
      </c>
      <c r="B3" s="171">
        <v>1.7755999999999998</v>
      </c>
      <c r="C3" s="167">
        <v>7115.41</v>
      </c>
      <c r="D3" s="168"/>
    </row>
    <row r="4" spans="1:8">
      <c r="A4" s="166" t="s">
        <v>115</v>
      </c>
      <c r="B4" s="171">
        <v>1.3685999999999998</v>
      </c>
      <c r="C4" s="167">
        <v>5491.57</v>
      </c>
      <c r="D4" s="168"/>
    </row>
    <row r="5" spans="1:8">
      <c r="A5" s="166" t="s">
        <v>116</v>
      </c>
      <c r="B5" s="171">
        <v>1.3864000000000001</v>
      </c>
      <c r="C5" s="167">
        <v>5464.84</v>
      </c>
      <c r="D5" s="168"/>
    </row>
    <row r="6" spans="1:8">
      <c r="A6" s="166" t="s">
        <v>117</v>
      </c>
      <c r="B6" s="171">
        <v>1.6112</v>
      </c>
      <c r="C6" s="167">
        <v>6162.75</v>
      </c>
      <c r="D6" s="168"/>
    </row>
    <row r="7" spans="1:8">
      <c r="A7" s="166" t="s">
        <v>118</v>
      </c>
      <c r="B7" s="171">
        <v>1.538</v>
      </c>
      <c r="C7" s="167">
        <v>6359.19</v>
      </c>
      <c r="D7" s="168"/>
    </row>
    <row r="8" spans="1:8">
      <c r="A8" s="166" t="s">
        <v>119</v>
      </c>
      <c r="B8" s="171">
        <v>1.3814000000000002</v>
      </c>
      <c r="C8" s="167">
        <v>5541.7719999999999</v>
      </c>
      <c r="D8" s="168"/>
    </row>
    <row r="9" spans="1:8">
      <c r="A9" s="166" t="s">
        <v>35</v>
      </c>
      <c r="B9" s="172">
        <v>1.5569999999999999</v>
      </c>
      <c r="C9" s="167">
        <v>5877.56</v>
      </c>
    </row>
    <row r="10" spans="1:8">
      <c r="A10" s="166" t="s">
        <v>54</v>
      </c>
      <c r="B10" s="172">
        <v>1.758</v>
      </c>
      <c r="C10" s="167">
        <v>6448.02</v>
      </c>
    </row>
    <row r="11" spans="1:8">
      <c r="A11" s="166" t="s">
        <v>156</v>
      </c>
      <c r="B11" s="172">
        <v>1.85</v>
      </c>
      <c r="C11" s="67">
        <v>7400</v>
      </c>
    </row>
    <row r="12" spans="1:8">
      <c r="A12" s="166"/>
      <c r="B12" s="169"/>
    </row>
    <row r="13" spans="1:8">
      <c r="A13" s="166"/>
      <c r="B13" s="169"/>
    </row>
    <row r="14" spans="1:8">
      <c r="A14" s="166"/>
      <c r="B14" s="169"/>
    </row>
    <row r="15" spans="1:8">
      <c r="A15" s="166"/>
      <c r="B15" s="169"/>
    </row>
    <row r="16" spans="1:8">
      <c r="A16" s="166"/>
      <c r="B16" s="169"/>
    </row>
    <row r="17" spans="1:2">
      <c r="A17" s="166"/>
      <c r="B17" s="169"/>
    </row>
    <row r="18" spans="1:2">
      <c r="A18" s="166"/>
      <c r="B18" s="169"/>
    </row>
    <row r="19" spans="1:2">
      <c r="A19" s="166"/>
      <c r="B19" s="169"/>
    </row>
    <row r="20" spans="1:2">
      <c r="A20" s="166"/>
      <c r="B20" s="169"/>
    </row>
    <row r="21" spans="1:2">
      <c r="A21" s="166"/>
      <c r="B21" s="169"/>
    </row>
    <row r="22" spans="1:2">
      <c r="A22" s="166"/>
      <c r="B22" s="169"/>
    </row>
    <row r="23" spans="1:2">
      <c r="A23" s="170"/>
      <c r="B23" s="170"/>
    </row>
    <row r="24" spans="1:2">
      <c r="A24" s="170"/>
      <c r="B24" s="170"/>
    </row>
    <row r="25" spans="1:2">
      <c r="A25" s="170"/>
      <c r="B25" s="170"/>
    </row>
    <row r="26" spans="1:2">
      <c r="A26" s="170"/>
      <c r="B26" s="170"/>
    </row>
    <row r="27" spans="1:2">
      <c r="A27" s="170"/>
      <c r="B27" s="170"/>
    </row>
    <row r="28" spans="1:2">
      <c r="A28" s="170"/>
      <c r="B28" s="170"/>
    </row>
    <row r="29" spans="1:2">
      <c r="A29" s="170"/>
      <c r="B29" s="170"/>
    </row>
    <row r="30" spans="1:2">
      <c r="A30" s="170"/>
      <c r="B30" s="170"/>
    </row>
    <row r="31" spans="1:2">
      <c r="A31" s="170"/>
      <c r="B31" s="170"/>
    </row>
    <row r="32" spans="1:2">
      <c r="A32" s="170"/>
      <c r="B32" s="170"/>
    </row>
    <row r="33" spans="1:2">
      <c r="A33" s="170"/>
      <c r="B33" s="170"/>
    </row>
    <row r="34" spans="1:2">
      <c r="A34" s="170"/>
      <c r="B34" s="170"/>
    </row>
    <row r="35" spans="1:2">
      <c r="A35" s="170"/>
      <c r="B35" s="170"/>
    </row>
    <row r="36" spans="1:2">
      <c r="A36" s="170"/>
      <c r="B36" s="170"/>
    </row>
    <row r="37" spans="1:2">
      <c r="A37" s="170"/>
      <c r="B37" s="170"/>
    </row>
    <row r="38" spans="1:2">
      <c r="A38" s="170"/>
      <c r="B38" s="170"/>
    </row>
    <row r="39" spans="1:2">
      <c r="A39" s="170"/>
      <c r="B39" s="170"/>
    </row>
    <row r="40" spans="1:2">
      <c r="A40" s="170"/>
      <c r="B40" s="170"/>
    </row>
    <row r="41" spans="1:2">
      <c r="A41" s="170"/>
      <c r="B41" s="170"/>
    </row>
    <row r="42" spans="1:2">
      <c r="A42" s="170"/>
      <c r="B42" s="170"/>
    </row>
    <row r="43" spans="1:2">
      <c r="A43" s="170"/>
      <c r="B43" s="170"/>
    </row>
    <row r="44" spans="1:2">
      <c r="A44" s="170"/>
      <c r="B44" s="170"/>
    </row>
    <row r="45" spans="1:2">
      <c r="A45" s="170"/>
      <c r="B45" s="170"/>
    </row>
    <row r="46" spans="1:2">
      <c r="A46" s="170"/>
      <c r="B46" s="170"/>
    </row>
    <row r="47" spans="1:2">
      <c r="A47" s="170"/>
      <c r="B47" s="170"/>
    </row>
    <row r="48" spans="1:2">
      <c r="A48" s="170"/>
      <c r="B48" s="170"/>
    </row>
    <row r="49" spans="1:2">
      <c r="A49" s="170"/>
      <c r="B49" s="170"/>
    </row>
    <row r="50" spans="1:2">
      <c r="A50" s="170"/>
      <c r="B50" s="170"/>
    </row>
    <row r="51" spans="1:2">
      <c r="A51" s="170"/>
      <c r="B51" s="170"/>
    </row>
    <row r="52" spans="1:2">
      <c r="A52" s="170"/>
      <c r="B52" s="170"/>
    </row>
    <row r="53" spans="1:2">
      <c r="A53" s="170"/>
      <c r="B53" s="170"/>
    </row>
    <row r="54" spans="1:2">
      <c r="A54" s="170"/>
      <c r="B54" s="170"/>
    </row>
    <row r="55" spans="1:2">
      <c r="A55" s="170"/>
      <c r="B55" s="170"/>
    </row>
    <row r="56" spans="1:2">
      <c r="A56" s="170"/>
      <c r="B56" s="170"/>
    </row>
    <row r="57" spans="1:2">
      <c r="A57" s="170"/>
      <c r="B57" s="170"/>
    </row>
    <row r="58" spans="1:2">
      <c r="A58" s="170"/>
      <c r="B58" s="170"/>
    </row>
    <row r="59" spans="1:2">
      <c r="A59" s="170"/>
      <c r="B59" s="170"/>
    </row>
    <row r="60" spans="1:2">
      <c r="A60" s="170"/>
      <c r="B60" s="170"/>
    </row>
    <row r="61" spans="1:2">
      <c r="A61" s="170"/>
      <c r="B61" s="170"/>
    </row>
    <row r="62" spans="1:2">
      <c r="A62" s="170"/>
      <c r="B62" s="170"/>
    </row>
    <row r="63" spans="1:2">
      <c r="A63" s="170"/>
      <c r="B63" s="170"/>
    </row>
    <row r="64" spans="1:2">
      <c r="A64" s="170"/>
      <c r="B64" s="170"/>
    </row>
    <row r="65" spans="1:2">
      <c r="A65" s="170"/>
      <c r="B65" s="170"/>
    </row>
    <row r="66" spans="1:2">
      <c r="A66" s="170"/>
      <c r="B66" s="170"/>
    </row>
    <row r="67" spans="1:2">
      <c r="A67" s="170"/>
      <c r="B67" s="170"/>
    </row>
    <row r="68" spans="1:2">
      <c r="A68" s="170"/>
      <c r="B68" s="170"/>
    </row>
    <row r="69" spans="1:2">
      <c r="A69" s="170"/>
      <c r="B69" s="170"/>
    </row>
    <row r="70" spans="1:2">
      <c r="A70" s="170"/>
      <c r="B70" s="170"/>
    </row>
    <row r="71" spans="1:2">
      <c r="A71" s="170"/>
      <c r="B71" s="170"/>
    </row>
    <row r="72" spans="1:2">
      <c r="A72" s="170"/>
      <c r="B72" s="170"/>
    </row>
    <row r="73" spans="1:2">
      <c r="A73" s="170"/>
      <c r="B73" s="170"/>
    </row>
    <row r="74" spans="1:2">
      <c r="A74" s="170"/>
      <c r="B74" s="170"/>
    </row>
    <row r="75" spans="1:2">
      <c r="A75" s="170"/>
      <c r="B75" s="170"/>
    </row>
    <row r="76" spans="1:2">
      <c r="A76" s="170"/>
      <c r="B76" s="170"/>
    </row>
    <row r="77" spans="1:2">
      <c r="A77" s="170"/>
      <c r="B77" s="170"/>
    </row>
    <row r="78" spans="1:2">
      <c r="A78" s="170"/>
      <c r="B78" s="170"/>
    </row>
    <row r="79" spans="1:2">
      <c r="A79" s="170"/>
      <c r="B79" s="170"/>
    </row>
    <row r="80" spans="1:2">
      <c r="A80" s="170"/>
      <c r="B80" s="170"/>
    </row>
    <row r="81" spans="1:2">
      <c r="A81" s="170"/>
      <c r="B81" s="170"/>
    </row>
    <row r="82" spans="1:2">
      <c r="A82" s="170"/>
      <c r="B82" s="170"/>
    </row>
    <row r="83" spans="1:2">
      <c r="A83" s="170"/>
      <c r="B83" s="170"/>
    </row>
    <row r="84" spans="1:2">
      <c r="A84" s="170"/>
      <c r="B84" s="170"/>
    </row>
    <row r="85" spans="1:2">
      <c r="A85" s="170"/>
      <c r="B85" s="170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  <ds:schemaRef ds:uri="c49de858-f9fd-4eb6-bcba-50396646711f"/>
    <ds:schemaRef ds:uri="7818c5c2-d41f-4dce-801c-4e3595afcb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 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Bukowski, Maria - REE-ERS</cp:lastModifiedBy>
  <cp:revision/>
  <dcterms:created xsi:type="dcterms:W3CDTF">2001-11-13T16:22:15Z</dcterms:created>
  <dcterms:modified xsi:type="dcterms:W3CDTF">2025-07-15T14:04:55Z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