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5/OCS-25E May 2025/"/>
    </mc:Choice>
  </mc:AlternateContent>
  <xr:revisionPtr revIDLastSave="209" documentId="8_{CB6243C9-A144-4C37-8D33-FEDB4CCD127B}" xr6:coauthVersionLast="47" xr6:coauthVersionMax="47" xr10:uidLastSave="{717C05B7-BC18-4836-BB53-EB97B3B75B29}"/>
  <bookViews>
    <workbookView xWindow="-108" yWindow="-108" windowWidth="23256" windowHeight="12456" tabRatio="855" activeTab="1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237" r:id="rId9"/>
    <sheet name="Figure 2" sheetId="234" r:id="rId10"/>
    <sheet name="Figure 3" sheetId="232" r:id="rId11"/>
    <sheet name="Figure 4" sheetId="236" r:id="rId12"/>
  </sheets>
  <definedNames>
    <definedName name="_xlnm.Print_Area" localSheetId="1">'Table 1'!$A$1:$N$40</definedName>
    <definedName name="_xlnm.Print_Area" localSheetId="7">'Table 10'!$A$1:$G$46</definedName>
    <definedName name="_xlnm.Print_Area" localSheetId="2">'Table 2'!$A$1:$J$33</definedName>
    <definedName name="_xlnm.Print_Area" localSheetId="3">'Table 3'!$A$1:$L$46</definedName>
    <definedName name="_xlnm.Print_Area" localSheetId="5">'Table 8'!$A$1:$G$45</definedName>
    <definedName name="_xlnm.Print_Area" localSheetId="6">'Table 9'!$A$1:$I$47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3" l="1"/>
  <c r="I32" i="3"/>
  <c r="E31" i="3"/>
  <c r="E19" i="3"/>
  <c r="E20" i="3"/>
  <c r="I30" i="9"/>
  <c r="J31" i="9" l="1"/>
  <c r="D31" i="9"/>
  <c r="B31" i="9"/>
  <c r="E31" i="9" s="1"/>
  <c r="K31" i="9" s="1"/>
  <c r="G31" i="9" s="1"/>
  <c r="H31" i="2"/>
  <c r="D31" i="2"/>
  <c r="L38" i="1"/>
  <c r="L36" i="1"/>
  <c r="J38" i="1"/>
  <c r="J36" i="1"/>
  <c r="G38" i="1"/>
  <c r="D45" i="3" l="1"/>
  <c r="H45" i="3"/>
  <c r="L44" i="3"/>
  <c r="N44" i="3"/>
  <c r="E45" i="3"/>
  <c r="N45" i="3"/>
  <c r="O45" i="3" s="1"/>
  <c r="E32" i="3"/>
  <c r="I31" i="3"/>
  <c r="G31" i="3" s="1"/>
  <c r="B32" i="3"/>
  <c r="B20" i="3"/>
  <c r="G19" i="3"/>
  <c r="I19" i="3"/>
  <c r="I20" i="3"/>
  <c r="J20" i="3" s="1"/>
  <c r="B21" i="3" s="1"/>
  <c r="J7" i="3"/>
  <c r="E6" i="3"/>
  <c r="G8" i="9"/>
  <c r="G7" i="9"/>
  <c r="K7" i="9" s="1"/>
  <c r="E7" i="9"/>
  <c r="B7" i="9"/>
  <c r="L6" i="9"/>
  <c r="K6" i="9"/>
  <c r="J6" i="9"/>
  <c r="G6" i="9" s="1"/>
  <c r="H6" i="9"/>
  <c r="D6" i="9"/>
  <c r="C6" i="9"/>
  <c r="B8" i="2"/>
  <c r="J7" i="2"/>
  <c r="I7" i="2"/>
  <c r="B7" i="2"/>
  <c r="E7" i="2" s="1"/>
  <c r="G6" i="2"/>
  <c r="J6" i="2"/>
  <c r="H6" i="2"/>
  <c r="D6" i="2"/>
  <c r="C6" i="2"/>
  <c r="B31" i="2"/>
  <c r="E31" i="2" s="1"/>
  <c r="I31" i="2" s="1"/>
  <c r="G31" i="2" s="1"/>
  <c r="M8" i="1"/>
  <c r="E46" i="3" l="1"/>
  <c r="L7" i="9"/>
  <c r="J32" i="3"/>
  <c r="I6" i="2"/>
  <c r="D6" i="1" l="1"/>
  <c r="H14" i="1"/>
  <c r="L6" i="1"/>
  <c r="G6" i="1"/>
  <c r="E7" i="1"/>
  <c r="J6" i="1"/>
  <c r="N6" i="1"/>
  <c r="H30" i="2"/>
  <c r="D30" i="2"/>
  <c r="J30" i="9" l="1"/>
  <c r="D30" i="9"/>
  <c r="G36" i="1"/>
  <c r="B30" i="2" l="1"/>
  <c r="B30" i="9" l="1"/>
  <c r="E30" i="9" s="1"/>
  <c r="K30" i="9" s="1"/>
  <c r="G30" i="9" s="1"/>
  <c r="E30" i="2"/>
  <c r="I30" i="2" s="1"/>
  <c r="G30" i="2" s="1"/>
  <c r="I37" i="1"/>
  <c r="E37" i="1"/>
  <c r="J25" i="1"/>
  <c r="J24" i="1"/>
  <c r="J23" i="1"/>
  <c r="J21" i="1"/>
  <c r="J20" i="1"/>
  <c r="J19" i="1"/>
  <c r="J17" i="1"/>
  <c r="J16" i="1"/>
  <c r="J15" i="1"/>
  <c r="J13" i="1"/>
  <c r="J12" i="1"/>
  <c r="J11" i="1"/>
  <c r="H29" i="2" l="1"/>
  <c r="J29" i="9"/>
  <c r="D29" i="9"/>
  <c r="D29" i="2"/>
  <c r="L35" i="1" l="1"/>
  <c r="G35" i="1"/>
  <c r="L32" i="1" l="1"/>
  <c r="B29" i="9" l="1"/>
  <c r="E29" i="9" s="1"/>
  <c r="K29" i="9" s="1"/>
  <c r="G29" i="9" s="1"/>
  <c r="I29" i="9" s="1"/>
  <c r="B29" i="2"/>
  <c r="E29" i="2" s="1"/>
  <c r="J35" i="1"/>
  <c r="B13" i="9"/>
  <c r="B14" i="9"/>
  <c r="B15" i="9"/>
  <c r="B16" i="9"/>
  <c r="B17" i="9"/>
  <c r="B18" i="9"/>
  <c r="B19" i="9"/>
  <c r="B20" i="9"/>
  <c r="B21" i="9"/>
  <c r="B12" i="9"/>
  <c r="I29" i="2" l="1"/>
  <c r="G29" i="2" s="1"/>
  <c r="J34" i="1"/>
  <c r="J37" i="1" s="1"/>
  <c r="J32" i="1"/>
  <c r="J31" i="1"/>
  <c r="J30" i="1"/>
  <c r="G34" i="1" l="1"/>
  <c r="G37" i="1" s="1"/>
  <c r="H37" i="1" s="1"/>
  <c r="M37" i="1" s="1"/>
  <c r="G30" i="1"/>
  <c r="D28" i="2" l="1"/>
  <c r="B28" i="9"/>
  <c r="D28" i="9"/>
  <c r="J28" i="9"/>
  <c r="H28" i="2"/>
  <c r="L34" i="1"/>
  <c r="L37" i="1" s="1"/>
  <c r="K37" i="1" s="1"/>
  <c r="E28" i="9" l="1"/>
  <c r="K28" i="9" s="1"/>
  <c r="G28" i="9" s="1"/>
  <c r="I28" i="9" s="1"/>
  <c r="B28" i="2"/>
  <c r="E28" i="2" s="1"/>
  <c r="I28" i="2" s="1"/>
  <c r="G28" i="2" s="1"/>
  <c r="B26" i="2" l="1"/>
  <c r="J27" i="9" l="1"/>
  <c r="D27" i="9"/>
  <c r="H27" i="2" l="1"/>
  <c r="D27" i="2"/>
  <c r="G32" i="1" l="1"/>
  <c r="E33" i="1" l="1"/>
  <c r="B27" i="2"/>
  <c r="E27" i="2" s="1"/>
  <c r="I27" i="2" s="1"/>
  <c r="G27" i="2" s="1"/>
  <c r="B27" i="9"/>
  <c r="E27" i="9" s="1"/>
  <c r="K27" i="9" s="1"/>
  <c r="G27" i="9" s="1"/>
  <c r="I27" i="9" s="1"/>
  <c r="H26" i="2" l="1"/>
  <c r="D26" i="2"/>
  <c r="D26" i="9" l="1"/>
  <c r="G31" i="1"/>
  <c r="J26" i="9"/>
  <c r="L31" i="1"/>
  <c r="J22" i="9" l="1"/>
  <c r="J21" i="9"/>
  <c r="J20" i="9"/>
  <c r="J19" i="9"/>
  <c r="J18" i="9"/>
  <c r="J17" i="9"/>
  <c r="J16" i="9"/>
  <c r="J15" i="9"/>
  <c r="J14" i="9"/>
  <c r="J13" i="9"/>
  <c r="J12" i="9"/>
  <c r="J11" i="9"/>
  <c r="D22" i="9"/>
  <c r="D21" i="9"/>
  <c r="D20" i="9"/>
  <c r="D19" i="9"/>
  <c r="D18" i="9"/>
  <c r="D17" i="9"/>
  <c r="D16" i="9"/>
  <c r="D15" i="9"/>
  <c r="D14" i="9"/>
  <c r="D13" i="9"/>
  <c r="D12" i="9"/>
  <c r="D11" i="9"/>
  <c r="E26" i="2" l="1"/>
  <c r="I26" i="2" s="1"/>
  <c r="G26" i="2" s="1"/>
  <c r="B26" i="9"/>
  <c r="E26" i="9" s="1"/>
  <c r="K26" i="9" s="1"/>
  <c r="G26" i="9" s="1"/>
  <c r="I26" i="9" s="1"/>
  <c r="H23" i="9"/>
  <c r="J23" i="9" l="1"/>
  <c r="D23" i="9"/>
  <c r="C23" i="9"/>
  <c r="E22" i="9"/>
  <c r="K22" i="9" s="1"/>
  <c r="G22" i="9" s="1"/>
  <c r="I22" i="9" s="1"/>
  <c r="E21" i="9"/>
  <c r="E20" i="9"/>
  <c r="E19" i="9"/>
  <c r="E18" i="9"/>
  <c r="E17" i="9"/>
  <c r="E16" i="9"/>
  <c r="E15" i="9"/>
  <c r="E14" i="9"/>
  <c r="E13" i="9"/>
  <c r="E12" i="9"/>
  <c r="E11" i="9"/>
  <c r="K11" i="9" s="1"/>
  <c r="G11" i="9" s="1"/>
  <c r="I11" i="9" s="1"/>
  <c r="H23" i="2"/>
  <c r="D23" i="2"/>
  <c r="C23" i="2"/>
  <c r="H22" i="2"/>
  <c r="D22" i="2"/>
  <c r="B22" i="2"/>
  <c r="H21" i="2"/>
  <c r="D21" i="2"/>
  <c r="B21" i="2"/>
  <c r="H20" i="2"/>
  <c r="D20" i="2"/>
  <c r="B20" i="2"/>
  <c r="E20" i="2" s="1"/>
  <c r="I20" i="2" s="1"/>
  <c r="H19" i="2"/>
  <c r="D19" i="2"/>
  <c r="B19" i="2"/>
  <c r="H18" i="2"/>
  <c r="D18" i="2"/>
  <c r="B18" i="2"/>
  <c r="H17" i="2"/>
  <c r="D17" i="2"/>
  <c r="B17" i="2"/>
  <c r="H16" i="2"/>
  <c r="D16" i="2"/>
  <c r="B16" i="2"/>
  <c r="E16" i="2" s="1"/>
  <c r="I16" i="2" s="1"/>
  <c r="G16" i="2" s="1"/>
  <c r="H15" i="2"/>
  <c r="D15" i="2"/>
  <c r="B15" i="2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G20" i="2" l="1"/>
  <c r="K20" i="9"/>
  <c r="K14" i="9"/>
  <c r="K15" i="9"/>
  <c r="K16" i="9"/>
  <c r="K17" i="9"/>
  <c r="K18" i="9"/>
  <c r="K19" i="9"/>
  <c r="K21" i="9"/>
  <c r="K13" i="9"/>
  <c r="K12" i="9"/>
  <c r="E14" i="2"/>
  <c r="I14" i="2" s="1"/>
  <c r="G14" i="2" s="1"/>
  <c r="E23" i="9"/>
  <c r="E23" i="2"/>
  <c r="E18" i="2"/>
  <c r="I18" i="2" s="1"/>
  <c r="G18" i="2" s="1"/>
  <c r="E13" i="2"/>
  <c r="I13" i="2" s="1"/>
  <c r="G13" i="2" s="1"/>
  <c r="E17" i="2"/>
  <c r="I17" i="2" s="1"/>
  <c r="G17" i="2" s="1"/>
  <c r="E21" i="2"/>
  <c r="I21" i="2" s="1"/>
  <c r="G21" i="2" s="1"/>
  <c r="E22" i="2"/>
  <c r="I22" i="2" s="1"/>
  <c r="G22" i="2" s="1"/>
  <c r="E15" i="2"/>
  <c r="I15" i="2" s="1"/>
  <c r="G15" i="2" s="1"/>
  <c r="E19" i="2"/>
  <c r="I19" i="2" s="1"/>
  <c r="G19" i="2" s="1"/>
  <c r="E8" i="2"/>
  <c r="E6" i="9"/>
  <c r="E18" i="1"/>
  <c r="G19" i="9" l="1"/>
  <c r="G20" i="9"/>
  <c r="G18" i="9"/>
  <c r="G17" i="9"/>
  <c r="G16" i="9"/>
  <c r="G13" i="9"/>
  <c r="G15" i="9"/>
  <c r="G21" i="9"/>
  <c r="G14" i="9"/>
  <c r="G12" i="9"/>
  <c r="K23" i="9"/>
  <c r="G23" i="9" s="1"/>
  <c r="I23" i="9" s="1"/>
  <c r="E11" i="2"/>
  <c r="I11" i="2" s="1"/>
  <c r="I23" i="2" s="1"/>
  <c r="L30" i="1"/>
  <c r="L33" i="1" s="1"/>
  <c r="J33" i="1"/>
  <c r="I14" i="9" l="1"/>
  <c r="I13" i="9"/>
  <c r="I16" i="9"/>
  <c r="I17" i="9"/>
  <c r="I18" i="9"/>
  <c r="I21" i="9"/>
  <c r="I20" i="9"/>
  <c r="I15" i="9"/>
  <c r="I19" i="9"/>
  <c r="I12" i="9"/>
  <c r="G11" i="2"/>
  <c r="G23" i="2" s="1"/>
  <c r="G27" i="1"/>
  <c r="H6" i="1" s="1"/>
  <c r="M6" i="1" s="1"/>
  <c r="K6" i="1" s="1"/>
  <c r="G33" i="1"/>
  <c r="H33" i="1" s="1"/>
  <c r="M33" i="1" s="1"/>
  <c r="K33" i="1" s="1"/>
  <c r="L27" i="1" l="1"/>
  <c r="E26" i="1"/>
  <c r="L25" i="1"/>
  <c r="G25" i="1"/>
  <c r="L24" i="1"/>
  <c r="G24" i="1"/>
  <c r="L23" i="1"/>
  <c r="G23" i="1"/>
  <c r="E22" i="1"/>
  <c r="L21" i="1"/>
  <c r="G21" i="1"/>
  <c r="L20" i="1"/>
  <c r="G20" i="1"/>
  <c r="L19" i="1"/>
  <c r="G19" i="1"/>
  <c r="L17" i="1"/>
  <c r="G17" i="1"/>
  <c r="L16" i="1"/>
  <c r="G16" i="1"/>
  <c r="L15" i="1"/>
  <c r="G15" i="1"/>
  <c r="L13" i="1"/>
  <c r="G13" i="1"/>
  <c r="L12" i="1"/>
  <c r="G12" i="1"/>
  <c r="L11" i="1"/>
  <c r="G11" i="1"/>
  <c r="G26" i="1" l="1"/>
  <c r="H26" i="1" s="1"/>
  <c r="M26" i="1" s="1"/>
  <c r="L18" i="1"/>
  <c r="J14" i="1"/>
  <c r="J22" i="1"/>
  <c r="G14" i="1"/>
  <c r="G18" i="1"/>
  <c r="H18" i="1" s="1"/>
  <c r="M18" i="1" s="1"/>
  <c r="L14" i="1"/>
  <c r="J18" i="1"/>
  <c r="G22" i="1"/>
  <c r="H22" i="1" s="1"/>
  <c r="M22" i="1" s="1"/>
  <c r="J26" i="1"/>
  <c r="L26" i="1"/>
  <c r="L22" i="1"/>
  <c r="J27" i="1" l="1"/>
  <c r="M14" i="1"/>
  <c r="K14" i="1" s="1"/>
  <c r="K26" i="1"/>
  <c r="K18" i="1"/>
  <c r="K22" i="1"/>
  <c r="D7" i="1" l="1"/>
  <c r="I33" i="3" l="1"/>
  <c r="I8" i="2" l="1"/>
  <c r="J8" i="3"/>
  <c r="K8" i="9" l="1"/>
  <c r="B8" i="9" l="1"/>
  <c r="I6" i="9" l="1"/>
  <c r="E6" i="2"/>
  <c r="B41" i="1"/>
  <c r="M7" i="1" l="1"/>
  <c r="N7" i="1" s="1"/>
  <c r="E8" i="1" s="1"/>
  <c r="H8" i="1" s="1"/>
  <c r="N8" i="1" s="1"/>
  <c r="I21" i="3" l="1"/>
  <c r="B48" i="6" l="1"/>
  <c r="B48" i="5"/>
  <c r="B47" i="4"/>
  <c r="B50" i="3"/>
  <c r="B34" i="9"/>
  <c r="B34" i="2"/>
  <c r="E21" i="3" l="1"/>
  <c r="J21" i="3" s="1"/>
  <c r="H7" i="1" l="1"/>
  <c r="B33" i="3" l="1"/>
  <c r="E33" i="3" s="1"/>
  <c r="J33" i="3" s="1"/>
  <c r="E8" i="9" l="1"/>
  <c r="L8" i="9" s="1"/>
  <c r="H46" i="3" l="1"/>
  <c r="O46" i="3" s="1"/>
  <c r="J8" i="2" l="1"/>
  <c r="J6" i="3" l="1"/>
  <c r="I6" i="3" s="1"/>
  <c r="B7" i="3"/>
  <c r="E7" i="3" s="1"/>
  <c r="K7" i="3" l="1"/>
  <c r="B8" i="3" s="1"/>
  <c r="E8" i="3" s="1"/>
  <c r="K8" i="3" s="1"/>
</calcChain>
</file>

<file path=xl/sharedStrings.xml><?xml version="1.0" encoding="utf-8"?>
<sst xmlns="http://schemas.openxmlformats.org/spreadsheetml/2006/main" count="577" uniqueCount="177">
  <si>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</si>
  <si>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</si>
  <si>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</si>
  <si>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</si>
  <si>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</si>
  <si>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</si>
  <si>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</si>
  <si>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</si>
  <si>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</si>
  <si>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</si>
  <si>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</si>
  <si>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Data for figures are located after the 10 data tables.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</si>
  <si>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</si>
  <si>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</si>
  <si>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</si>
  <si>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</si>
  <si>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</si>
  <si>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</si>
  <si>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</si>
  <si>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</si>
  <si>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</si>
  <si>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</si>
  <si>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</si>
  <si>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</si>
  <si>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</si>
  <si>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</si>
  <si>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</si>
  <si>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</si>
  <si>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</si>
  <si>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</si>
  <si>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</si>
  <si>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</si>
  <si>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</si>
  <si>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</si>
  <si>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</si>
  <si>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2022/23</t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</si>
  <si>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</si>
  <si>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</si>
  <si>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</si>
  <si>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</si>
  <si>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</si>
  <si>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</si>
  <si>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</si>
  <si>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</si>
  <si>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</si>
  <si>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</si>
  <si>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</si>
  <si>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</si>
  <si>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</si>
  <si>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>June</t>
  </si>
  <si>
    <t>July</t>
  </si>
  <si>
    <t>August</t>
  </si>
  <si>
    <t xml:space="preserve">  June–August</t>
  </si>
  <si>
    <t>2023/24</t>
  </si>
  <si>
    <t xml:space="preserve"> March-May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</si>
  <si>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</si>
  <si>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</si>
  <si>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</si>
  <si>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</si>
  <si>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</si>
  <si>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</si>
  <si>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</si>
  <si>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</si>
  <si>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</si>
  <si>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</si>
  <si>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</si>
  <si>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</si>
  <si>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</si>
  <si>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</si>
  <si>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</si>
  <si>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</si>
  <si>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</si>
  <si>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</si>
  <si>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</si>
  <si>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</si>
  <si>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</si>
  <si>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</si>
  <si>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</si>
  <si>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</si>
  <si>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</si>
  <si>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</si>
  <si>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</si>
  <si>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</si>
  <si>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</si>
  <si>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</si>
  <si>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</si>
  <si>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</si>
  <si>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</si>
  <si>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</si>
  <si>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</si>
  <si>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</si>
  <si>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</si>
  <si>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</si>
  <si>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</si>
  <si>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</si>
  <si>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</si>
  <si>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</si>
  <si>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</si>
  <si>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</si>
  <si>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</si>
  <si>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</si>
  <si>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</si>
  <si>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</si>
  <si>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</si>
  <si>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</si>
  <si>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</si>
  <si>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</si>
  <si>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</si>
  <si>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</si>
  <si>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</si>
  <si>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</si>
  <si>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</si>
  <si>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</si>
  <si>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</si>
  <si>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</si>
  <si>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</si>
  <si>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</si>
  <si>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</si>
  <si>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</si>
  <si>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</si>
  <si>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r>
      <t>2024/25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</si>
  <si>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</si>
  <si>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</si>
  <si>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</si>
  <si>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</si>
  <si>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</si>
  <si>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</si>
  <si>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</si>
  <si>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</si>
  <si>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</si>
  <si>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</si>
  <si>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</si>
  <si>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</si>
  <si>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</si>
  <si>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</si>
  <si>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</si>
  <si>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</si>
  <si>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</si>
  <si>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2024/25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</si>
  <si>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</si>
  <si>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</si>
  <si>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</si>
  <si>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</si>
  <si>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</si>
  <si>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</si>
  <si>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</si>
  <si>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</si>
  <si>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</si>
  <si>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</si>
  <si>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</si>
  <si>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</si>
  <si>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</si>
  <si>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</si>
  <si>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</si>
  <si>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2024/25</t>
  </si>
  <si>
    <t xml:space="preserve">January </t>
  </si>
  <si>
    <t>2025/26*</t>
  </si>
  <si>
    <t>Sunflowerseed</t>
  </si>
  <si>
    <t>Peanut</t>
  </si>
  <si>
    <t>Marketing year</t>
  </si>
  <si>
    <t>Soybean</t>
  </si>
  <si>
    <t>Rapeseed</t>
  </si>
  <si>
    <r>
      <t>2024/25</t>
    </r>
    <r>
      <rPr>
        <vertAlign val="superscript"/>
        <sz val="11"/>
        <rFont val="Arial"/>
        <family val="2"/>
      </rPr>
      <t>1</t>
    </r>
  </si>
  <si>
    <r>
      <t>2025/26</t>
    </r>
    <r>
      <rPr>
        <vertAlign val="superscript"/>
        <sz val="11"/>
        <rFont val="Arial"/>
        <family val="2"/>
      </rPr>
      <t>2</t>
    </r>
  </si>
  <si>
    <r>
      <t>2025/26</t>
    </r>
    <r>
      <rPr>
        <vertAlign val="superscript"/>
        <sz val="11"/>
        <rFont val="Arial"/>
        <family val="2"/>
      </rPr>
      <t>4</t>
    </r>
  </si>
  <si>
    <r>
      <t>2025/26</t>
    </r>
    <r>
      <rPr>
        <vertAlign val="superscript"/>
        <sz val="11"/>
        <rFont val="Arial"/>
        <family val="2"/>
      </rPr>
      <t>7</t>
    </r>
  </si>
  <si>
    <t>Production Marketing year</t>
  </si>
  <si>
    <t>Other</t>
  </si>
  <si>
    <t xml:space="preserve">Total crush </t>
  </si>
  <si>
    <t>2024/25*</t>
  </si>
  <si>
    <t>Soybean oil</t>
  </si>
  <si>
    <t>Canola oil</t>
  </si>
  <si>
    <t>Corn oil</t>
  </si>
  <si>
    <t>Palm oil</t>
  </si>
  <si>
    <t>Rapeseed oil</t>
  </si>
  <si>
    <t xml:space="preserve">Sunflowerseed oil </t>
  </si>
  <si>
    <t>Other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</si>
</sst>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0.00_)"/>
    <numFmt numFmtId="168" formatCode="#,##0.0"/>
    <numFmt numFmtId="169" formatCode="_(* #,##0.00000_);_(* \(#,##0.00000\);_(* &quot;-&quot;??_);_(@_)"/>
    <numFmt numFmtId="170" formatCode="0.0%"/>
    <numFmt numFmtId="171" formatCode="#,##0.0000"/>
    <numFmt numFmtId="172" formatCode="#,##0.00000"/>
    <numFmt numFmtId="173" formatCode="0.000000"/>
    <numFmt numFmtId="174" formatCode="0.0000000"/>
    <numFmt numFmtId="175" formatCode="0.000"/>
    <numFmt numFmtId="176" formatCode="#,##0.000"/>
    <numFmt numFmtId="177" formatCode="#,##0___)"/>
    <numFmt numFmtId="178" formatCode="#,##0.000000000000"/>
    <numFmt numFmtId="179" formatCode="_(* #,##0.0_);_(* \(#,##0.0\);_(* &quot;-&quot;_);_(@_)"/>
  </numFmts>
  <fonts count="1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Helvetic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Helvetica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6">
    <xf numFmtId="0" fontId="0" fillId="0" borderId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59" fillId="0" borderId="0"/>
    <xf numFmtId="0" fontId="59" fillId="0" borderId="0"/>
    <xf numFmtId="0" fontId="59" fillId="0" borderId="0"/>
    <xf numFmtId="0" fontId="70" fillId="0" borderId="0"/>
    <xf numFmtId="9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72" fillId="0" borderId="0"/>
    <xf numFmtId="0" fontId="57" fillId="0" borderId="0"/>
    <xf numFmtId="0" fontId="56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52" fillId="0" borderId="0"/>
    <xf numFmtId="0" fontId="51" fillId="0" borderId="0"/>
    <xf numFmtId="43" fontId="51" fillId="0" borderId="0" applyFont="0" applyFill="0" applyBorder="0" applyAlignment="0" applyProtection="0"/>
    <xf numFmtId="0" fontId="50" fillId="0" borderId="0"/>
    <xf numFmtId="44" fontId="58" fillId="0" borderId="0" applyFont="0" applyFill="0" applyBorder="0" applyAlignment="0" applyProtection="0"/>
    <xf numFmtId="0" fontId="49" fillId="0" borderId="0"/>
    <xf numFmtId="0" fontId="48" fillId="0" borderId="0"/>
    <xf numFmtId="0" fontId="47" fillId="0" borderId="0"/>
    <xf numFmtId="0" fontId="46" fillId="0" borderId="0"/>
    <xf numFmtId="43" fontId="45" fillId="0" borderId="0" applyFont="0" applyFill="0" applyBorder="0" applyAlignment="0" applyProtection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43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79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80" fillId="0" borderId="8" applyNumberFormat="0" applyFont="0" applyProtection="0">
      <alignment wrapText="1"/>
    </xf>
    <xf numFmtId="43" fontId="17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0" fillId="0" borderId="0" applyNumberFormat="0" applyProtection="0">
      <alignment vertical="top" wrapText="1"/>
    </xf>
    <xf numFmtId="0" fontId="80" fillId="0" borderId="9" applyNumberFormat="0" applyProtection="0">
      <alignment vertical="top" wrapText="1"/>
    </xf>
    <xf numFmtId="0" fontId="82" fillId="0" borderId="7" applyNumberFormat="0" applyProtection="0">
      <alignment wrapText="1"/>
    </xf>
    <xf numFmtId="0" fontId="82" fillId="0" borderId="10" applyNumberFormat="0" applyProtection="0">
      <alignment horizontal="left" wrapText="1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11" applyNumberFormat="0" applyProtection="0">
      <alignment wrapText="1"/>
    </xf>
    <xf numFmtId="0" fontId="80" fillId="0" borderId="12" applyNumberFormat="0" applyFont="0" applyFill="0" applyProtection="0">
      <alignment wrapText="1"/>
    </xf>
    <xf numFmtId="0" fontId="82" fillId="0" borderId="13" applyNumberFormat="0" applyFill="0" applyProtection="0">
      <alignment wrapText="1"/>
    </xf>
    <xf numFmtId="0" fontId="84" fillId="0" borderId="0" applyNumberFormat="0" applyProtection="0">
      <alignment horizontal="left"/>
    </xf>
    <xf numFmtId="0" fontId="85" fillId="0" borderId="0" applyNumberFormat="0" applyFill="0" applyBorder="0" applyAlignment="0" applyProtection="0"/>
    <xf numFmtId="0" fontId="86" fillId="0" borderId="7" applyNumberFormat="0" applyFill="0" applyAlignment="0" applyProtection="0"/>
    <xf numFmtId="0" fontId="87" fillId="0" borderId="14" applyNumberFormat="0" applyFill="0" applyAlignment="0" applyProtection="0"/>
    <xf numFmtId="0" fontId="88" fillId="0" borderId="15" applyNumberFormat="0" applyFill="0" applyAlignment="0" applyProtection="0"/>
    <xf numFmtId="0" fontId="88" fillId="0" borderId="0" applyNumberFormat="0" applyFill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0" applyNumberFormat="0" applyBorder="0" applyAlignment="0" applyProtection="0"/>
    <xf numFmtId="0" fontId="92" fillId="6" borderId="16" applyNumberFormat="0" applyAlignment="0" applyProtection="0"/>
    <xf numFmtId="0" fontId="93" fillId="7" borderId="17" applyNumberFormat="0" applyAlignment="0" applyProtection="0"/>
    <xf numFmtId="0" fontId="94" fillId="7" borderId="16" applyNumberFormat="0" applyAlignment="0" applyProtection="0"/>
    <xf numFmtId="0" fontId="95" fillId="0" borderId="18" applyNumberFormat="0" applyFill="0" applyAlignment="0" applyProtection="0"/>
    <xf numFmtId="0" fontId="96" fillId="8" borderId="19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1" applyNumberFormat="0" applyFill="0" applyAlignment="0" applyProtection="0"/>
    <xf numFmtId="0" fontId="100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00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00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00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00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00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8" fillId="55" borderId="32" applyNumberFormat="0" applyFont="0" applyAlignment="0" applyProtection="0"/>
    <xf numFmtId="0" fontId="58" fillId="55" borderId="40" applyNumberFormat="0" applyFont="0" applyAlignment="0" applyProtection="0"/>
    <xf numFmtId="0" fontId="110" fillId="52" borderId="39" applyNumberFormat="0" applyAlignment="0" applyProtection="0"/>
    <xf numFmtId="0" fontId="16" fillId="9" borderId="20" applyNumberFormat="0" applyFont="0" applyAlignment="0" applyProtection="0"/>
    <xf numFmtId="0" fontId="110" fillId="52" borderId="31" applyNumberFormat="0" applyAlignment="0" applyProtection="0"/>
    <xf numFmtId="0" fontId="101" fillId="0" borderId="0"/>
    <xf numFmtId="0" fontId="16" fillId="23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00" fillId="33" borderId="0" applyNumberFormat="0" applyBorder="0" applyAlignment="0" applyProtection="0"/>
    <xf numFmtId="43" fontId="103" fillId="0" borderId="0" applyFont="0" applyFill="0" applyBorder="0" applyAlignment="0" applyProtection="0"/>
    <xf numFmtId="0" fontId="100" fillId="29" borderId="0" applyNumberFormat="0" applyBorder="0" applyAlignment="0" applyProtection="0"/>
    <xf numFmtId="43" fontId="16" fillId="0" borderId="0" applyFont="0" applyFill="0" applyBorder="0" applyAlignment="0" applyProtection="0"/>
    <xf numFmtId="0" fontId="100" fillId="25" borderId="0" applyNumberFormat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0" fillId="21" borderId="0" applyNumberFormat="0" applyBorder="0" applyAlignment="0" applyProtection="0"/>
    <xf numFmtId="43" fontId="103" fillId="0" borderId="0" applyFont="0" applyFill="0" applyBorder="0" applyAlignment="0" applyProtection="0"/>
    <xf numFmtId="0" fontId="100" fillId="17" borderId="0" applyNumberFormat="0" applyBorder="0" applyAlignment="0" applyProtection="0"/>
    <xf numFmtId="43" fontId="103" fillId="0" borderId="0" applyFont="0" applyFill="0" applyBorder="0" applyAlignment="0" applyProtection="0"/>
    <xf numFmtId="0" fontId="100" fillId="13" borderId="0" applyNumberFormat="0" applyBorder="0" applyAlignment="0" applyProtection="0"/>
    <xf numFmtId="43" fontId="103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4" fillId="5" borderId="0" applyNumberFormat="0" applyBorder="0" applyAlignment="0" applyProtection="0"/>
    <xf numFmtId="0" fontId="101" fillId="0" borderId="0"/>
    <xf numFmtId="0" fontId="101" fillId="0" borderId="0"/>
    <xf numFmtId="0" fontId="58" fillId="0" borderId="0">
      <alignment vertical="center"/>
    </xf>
    <xf numFmtId="0" fontId="16" fillId="0" borderId="0"/>
    <xf numFmtId="0" fontId="16" fillId="9" borderId="20" applyNumberFormat="0" applyFont="0" applyAlignment="0" applyProtection="0"/>
    <xf numFmtId="0" fontId="105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06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00" fillId="21" borderId="0" applyNumberFormat="0" applyBorder="0" applyAlignment="0" applyProtection="0"/>
    <xf numFmtId="0" fontId="100" fillId="25" borderId="0" applyNumberFormat="0" applyBorder="0" applyAlignment="0" applyProtection="0"/>
    <xf numFmtId="0" fontId="100" fillId="33" borderId="0" applyNumberFormat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6" fillId="0" borderId="0"/>
    <xf numFmtId="0" fontId="101" fillId="0" borderId="0"/>
    <xf numFmtId="0" fontId="106" fillId="0" borderId="0"/>
    <xf numFmtId="0" fontId="16" fillId="0" borderId="0"/>
    <xf numFmtId="0" fontId="16" fillId="9" borderId="20" applyNumberFormat="0" applyFont="0" applyAlignment="0" applyProtection="0"/>
    <xf numFmtId="0" fontId="16" fillId="9" borderId="20" applyNumberFormat="0" applyFon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0" fillId="21" borderId="0" applyNumberFormat="0" applyBorder="0" applyAlignment="0" applyProtection="0"/>
    <xf numFmtId="0" fontId="100" fillId="25" borderId="0" applyNumberFormat="0" applyBorder="0" applyAlignment="0" applyProtection="0"/>
    <xf numFmtId="0" fontId="100" fillId="33" borderId="0" applyNumberFormat="0" applyBorder="0" applyAlignment="0" applyProtection="0"/>
    <xf numFmtId="0" fontId="16" fillId="0" borderId="0"/>
    <xf numFmtId="0" fontId="16" fillId="9" borderId="20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43" fontId="16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9" borderId="20" applyNumberFormat="0" applyFont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37" borderId="0" applyNumberFormat="0" applyBorder="0" applyAlignment="0" applyProtection="0"/>
    <xf numFmtId="0" fontId="103" fillId="40" borderId="0" applyNumberFormat="0" applyBorder="0" applyAlignment="0" applyProtection="0"/>
    <xf numFmtId="0" fontId="103" fillId="43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50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51" borderId="0" applyNumberFormat="0" applyBorder="0" applyAlignment="0" applyProtection="0"/>
    <xf numFmtId="0" fontId="109" fillId="35" borderId="0" applyNumberFormat="0" applyBorder="0" applyAlignment="0" applyProtection="0"/>
    <xf numFmtId="0" fontId="110" fillId="52" borderId="22" applyNumberFormat="0" applyAlignment="0" applyProtection="0"/>
    <xf numFmtId="0" fontId="111" fillId="53" borderId="23" applyNumberFormat="0" applyAlignment="0" applyProtection="0"/>
    <xf numFmtId="43" fontId="5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36" borderId="0" applyNumberFormat="0" applyBorder="0" applyAlignment="0" applyProtection="0"/>
    <xf numFmtId="0" fontId="114" fillId="0" borderId="24" applyNumberFormat="0" applyFill="0" applyAlignment="0" applyProtection="0"/>
    <xf numFmtId="0" fontId="115" fillId="0" borderId="25" applyNumberFormat="0" applyFill="0" applyAlignment="0" applyProtection="0"/>
    <xf numFmtId="0" fontId="116" fillId="0" borderId="26" applyNumberFormat="0" applyFill="0" applyAlignment="0" applyProtection="0"/>
    <xf numFmtId="0" fontId="116" fillId="0" borderId="0" applyNumberFormat="0" applyFill="0" applyBorder="0" applyAlignment="0" applyProtection="0"/>
    <xf numFmtId="0" fontId="117" fillId="39" borderId="22" applyNumberFormat="0" applyAlignment="0" applyProtection="0"/>
    <xf numFmtId="0" fontId="118" fillId="0" borderId="27" applyNumberFormat="0" applyFill="0" applyAlignment="0" applyProtection="0"/>
    <xf numFmtId="0" fontId="119" fillId="54" borderId="0" applyNumberFormat="0" applyBorder="0" applyAlignment="0" applyProtection="0"/>
    <xf numFmtId="0" fontId="58" fillId="0" borderId="0"/>
    <xf numFmtId="0" fontId="58" fillId="55" borderId="28" applyNumberFormat="0" applyFont="0" applyAlignment="0" applyProtection="0"/>
    <xf numFmtId="0" fontId="58" fillId="55" borderId="28" applyNumberFormat="0" applyFont="0" applyAlignment="0" applyProtection="0"/>
    <xf numFmtId="0" fontId="120" fillId="52" borderId="29" applyNumberFormat="0" applyAlignment="0" applyProtection="0"/>
    <xf numFmtId="9" fontId="5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30" applyNumberFormat="0" applyFill="0" applyAlignment="0" applyProtection="0"/>
    <xf numFmtId="0" fontId="123" fillId="0" borderId="0" applyNumberFormat="0" applyFill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01" fillId="0" borderId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9" borderId="20" applyNumberFormat="0" applyFont="0" applyAlignment="0" applyProtection="0"/>
    <xf numFmtId="0" fontId="105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9" borderId="20" applyNumberFormat="0" applyFont="0" applyAlignment="0" applyProtection="0"/>
    <xf numFmtId="0" fontId="16" fillId="9" borderId="20" applyNumberFormat="0" applyFont="0" applyAlignment="0" applyProtection="0"/>
    <xf numFmtId="0" fontId="16" fillId="0" borderId="0"/>
    <xf numFmtId="0" fontId="16" fillId="9" borderId="20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9" borderId="20" applyNumberFormat="0" applyFont="0" applyAlignment="0" applyProtection="0"/>
    <xf numFmtId="0" fontId="117" fillId="39" borderId="39" applyNumberFormat="0" applyAlignment="0" applyProtection="0"/>
    <xf numFmtId="0" fontId="58" fillId="55" borderId="36" applyNumberFormat="0" applyFont="0" applyAlignment="0" applyProtection="0"/>
    <xf numFmtId="0" fontId="120" fillId="52" borderId="37" applyNumberFormat="0" applyAlignment="0" applyProtection="0"/>
    <xf numFmtId="0" fontId="120" fillId="52" borderId="41" applyNumberFormat="0" applyAlignment="0" applyProtection="0"/>
    <xf numFmtId="0" fontId="122" fillId="0" borderId="42" applyNumberFormat="0" applyFill="0" applyAlignment="0" applyProtection="0"/>
    <xf numFmtId="0" fontId="122" fillId="0" borderId="34" applyNumberFormat="0" applyFill="0" applyAlignment="0" applyProtection="0"/>
    <xf numFmtId="0" fontId="58" fillId="55" borderId="40" applyNumberFormat="0" applyFont="0" applyAlignment="0" applyProtection="0"/>
    <xf numFmtId="0" fontId="110" fillId="52" borderId="35" applyNumberFormat="0" applyAlignment="0" applyProtection="0"/>
    <xf numFmtId="0" fontId="58" fillId="55" borderId="32" applyNumberFormat="0" applyFont="0" applyAlignment="0" applyProtection="0"/>
    <xf numFmtId="0" fontId="122" fillId="0" borderId="38" applyNumberFormat="0" applyFill="0" applyAlignment="0" applyProtection="0"/>
    <xf numFmtId="0" fontId="117" fillId="39" borderId="31" applyNumberFormat="0" applyAlignment="0" applyProtection="0"/>
    <xf numFmtId="0" fontId="58" fillId="55" borderId="36" applyNumberFormat="0" applyFont="0" applyAlignment="0" applyProtection="0"/>
    <xf numFmtId="0" fontId="120" fillId="52" borderId="33" applyNumberFormat="0" applyAlignment="0" applyProtection="0"/>
    <xf numFmtId="0" fontId="117" fillId="39" borderId="35" applyNumberFormat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110" fillId="52" borderId="43" applyNumberFormat="0" applyAlignment="0" applyProtection="0"/>
    <xf numFmtId="0" fontId="117" fillId="39" borderId="43" applyNumberFormat="0" applyAlignment="0" applyProtection="0"/>
    <xf numFmtId="0" fontId="58" fillId="55" borderId="44" applyNumberFormat="0" applyFont="0" applyAlignment="0" applyProtection="0"/>
    <xf numFmtId="0" fontId="58" fillId="55" borderId="44" applyNumberFormat="0" applyFont="0" applyAlignment="0" applyProtection="0"/>
    <xf numFmtId="0" fontId="120" fillId="52" borderId="45" applyNumberFormat="0" applyAlignment="0" applyProtection="0"/>
    <xf numFmtId="0" fontId="122" fillId="0" borderId="46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52" borderId="51" applyNumberForma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117" fillId="39" borderId="51" applyNumberForma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22" fillId="0" borderId="54" applyNumberFormat="0" applyFill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120" fillId="52" borderId="53" applyNumberFormat="0" applyAlignment="0" applyProtection="0"/>
    <xf numFmtId="0" fontId="58" fillId="55" borderId="52" applyNumberFormat="0" applyFont="0" applyAlignment="0" applyProtection="0"/>
    <xf numFmtId="0" fontId="110" fillId="52" borderId="47" applyNumberFormat="0" applyAlignment="0" applyProtection="0"/>
    <xf numFmtId="0" fontId="117" fillId="39" borderId="47" applyNumberFormat="0" applyAlignment="0" applyProtection="0"/>
    <xf numFmtId="0" fontId="58" fillId="55" borderId="48" applyNumberFormat="0" applyFont="0" applyAlignment="0" applyProtection="0"/>
    <xf numFmtId="0" fontId="58" fillId="55" borderId="48" applyNumberFormat="0" applyFont="0" applyAlignment="0" applyProtection="0"/>
    <xf numFmtId="0" fontId="120" fillId="52" borderId="49" applyNumberFormat="0" applyAlignment="0" applyProtection="0"/>
    <xf numFmtId="0" fontId="122" fillId="0" borderId="50" applyNumberFormat="0" applyFill="0" applyAlignment="0" applyProtection="0"/>
    <xf numFmtId="0" fontId="58" fillId="55" borderId="52" applyNumberFormat="0" applyFont="0" applyAlignment="0" applyProtection="0"/>
    <xf numFmtId="0" fontId="129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7" fontId="101" fillId="0" borderId="0"/>
    <xf numFmtId="0" fontId="130" fillId="0" borderId="0" applyNumberFormat="0" applyFill="0" applyBorder="0" applyAlignment="0" applyProtection="0">
      <alignment vertical="top"/>
      <protection locked="0"/>
    </xf>
    <xf numFmtId="37" fontId="131" fillId="0" borderId="0"/>
    <xf numFmtId="0" fontId="1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9" borderId="20" applyNumberFormat="0" applyFont="0" applyAlignment="0" applyProtection="0"/>
    <xf numFmtId="0" fontId="58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" fillId="0" borderId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59" fillId="0" borderId="0" xfId="8"/>
    <xf numFmtId="0" fontId="60" fillId="0" borderId="0" xfId="8" applyFont="1"/>
    <xf numFmtId="0" fontId="65" fillId="0" borderId="0" xfId="8" applyFont="1"/>
    <xf numFmtId="0" fontId="66" fillId="0" borderId="0" xfId="8" applyFont="1"/>
    <xf numFmtId="168" fontId="67" fillId="0" borderId="0" xfId="1" applyNumberFormat="1" applyFont="1" applyFill="1" applyBorder="1" applyAlignment="1">
      <alignment horizontal="center"/>
    </xf>
    <xf numFmtId="168" fontId="67" fillId="0" borderId="0" xfId="1" applyNumberFormat="1" applyFont="1" applyFill="1" applyBorder="1" applyAlignment="1">
      <alignment horizontal="right" indent="1"/>
    </xf>
    <xf numFmtId="0" fontId="73" fillId="0" borderId="0" xfId="7" applyFont="1" applyAlignment="1">
      <alignment horizontal="left"/>
    </xf>
    <xf numFmtId="0" fontId="74" fillId="0" borderId="0" xfId="5" applyFont="1" applyAlignment="1" applyProtection="1"/>
    <xf numFmtId="14" fontId="73" fillId="0" borderId="0" xfId="7" applyNumberFormat="1" applyFont="1" applyAlignment="1">
      <alignment horizontal="left"/>
    </xf>
    <xf numFmtId="0" fontId="74" fillId="0" borderId="0" xfId="4" applyFont="1" applyAlignment="1" applyProtection="1"/>
    <xf numFmtId="0" fontId="67" fillId="0" borderId="0" xfId="7" quotePrefix="1" applyFont="1" applyAlignment="1">
      <alignment horizontal="left"/>
    </xf>
    <xf numFmtId="0" fontId="67" fillId="0" borderId="0" xfId="8" applyFont="1" applyAlignment="1">
      <alignment wrapText="1"/>
    </xf>
    <xf numFmtId="168" fontId="67" fillId="0" borderId="0" xfId="1" applyNumberFormat="1" applyFont="1" applyFill="1" applyBorder="1" applyAlignment="1">
      <alignment horizontal="right"/>
    </xf>
    <xf numFmtId="0" fontId="67" fillId="0" borderId="1" xfId="0" applyFont="1" applyBorder="1"/>
    <xf numFmtId="0" fontId="67" fillId="0" borderId="0" xfId="0" applyFont="1"/>
    <xf numFmtId="0" fontId="67" fillId="0" borderId="2" xfId="0" applyFont="1" applyBorder="1" applyAlignment="1">
      <alignment horizontal="right"/>
    </xf>
    <xf numFmtId="0" fontId="67" fillId="0" borderId="0" xfId="0" applyFont="1" applyAlignment="1">
      <alignment horizontal="center"/>
    </xf>
    <xf numFmtId="0" fontId="0" fillId="0" borderId="2" xfId="0" applyBorder="1"/>
    <xf numFmtId="0" fontId="67" fillId="0" borderId="2" xfId="0" applyFont="1" applyBorder="1" applyAlignment="1">
      <alignment horizontal="left"/>
    </xf>
    <xf numFmtId="0" fontId="67" fillId="0" borderId="0" xfId="0" applyFont="1" applyAlignment="1">
      <alignment horizontal="right"/>
    </xf>
    <xf numFmtId="16" fontId="67" fillId="0" borderId="1" xfId="0" quotePrefix="1" applyNumberFormat="1" applyFont="1" applyBorder="1"/>
    <xf numFmtId="16" fontId="67" fillId="0" borderId="1" xfId="0" applyNumberFormat="1" applyFont="1" applyBorder="1"/>
    <xf numFmtId="0" fontId="67" fillId="0" borderId="1" xfId="0" applyFont="1" applyBorder="1" applyAlignment="1">
      <alignment horizontal="center"/>
    </xf>
    <xf numFmtId="0" fontId="67" fillId="0" borderId="1" xfId="0" applyFont="1" applyBorder="1" applyAlignment="1">
      <alignment horizontal="right"/>
    </xf>
    <xf numFmtId="0" fontId="67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68" fillId="0" borderId="0" xfId="0" quotePrefix="1" applyFont="1" applyAlignment="1">
      <alignment horizontal="right"/>
    </xf>
    <xf numFmtId="164" fontId="67" fillId="0" borderId="0" xfId="1" applyNumberFormat="1" applyFont="1" applyFill="1" applyBorder="1"/>
    <xf numFmtId="164" fontId="67" fillId="0" borderId="0" xfId="1" applyNumberFormat="1" applyFont="1" applyFill="1" applyBorder="1" applyAlignment="1">
      <alignment horizontal="right"/>
    </xf>
    <xf numFmtId="0" fontId="73" fillId="0" borderId="0" xfId="0" applyFont="1"/>
    <xf numFmtId="168" fontId="67" fillId="0" borderId="0" xfId="1" quotePrefix="1" applyNumberFormat="1" applyFont="1" applyFill="1" applyBorder="1" applyAlignment="1">
      <alignment horizontal="right"/>
    </xf>
    <xf numFmtId="164" fontId="67" fillId="0" borderId="0" xfId="1" applyNumberFormat="1" applyFont="1" applyFill="1" applyBorder="1" applyAlignment="1">
      <alignment horizontal="center"/>
    </xf>
    <xf numFmtId="164" fontId="67" fillId="0" borderId="0" xfId="1" quotePrefix="1" applyNumberFormat="1" applyFont="1" applyFill="1" applyBorder="1" applyAlignment="1">
      <alignment horizontal="center"/>
    </xf>
    <xf numFmtId="168" fontId="0" fillId="0" borderId="0" xfId="0" applyNumberFormat="1"/>
    <xf numFmtId="164" fontId="67" fillId="0" borderId="0" xfId="1" applyNumberFormat="1" applyFont="1" applyFill="1"/>
    <xf numFmtId="14" fontId="67" fillId="0" borderId="0" xfId="0" applyNumberFormat="1" applyFont="1" applyAlignment="1">
      <alignment horizontal="left"/>
    </xf>
    <xf numFmtId="3" fontId="67" fillId="0" borderId="0" xfId="1" applyNumberFormat="1" applyFont="1" applyFill="1" applyAlignment="1">
      <alignment horizontal="right" indent="1"/>
    </xf>
    <xf numFmtId="3" fontId="67" fillId="0" borderId="0" xfId="1" applyNumberFormat="1" applyFont="1" applyFill="1" applyAlignment="1">
      <alignment horizontal="center"/>
    </xf>
    <xf numFmtId="168" fontId="67" fillId="0" borderId="0" xfId="1" applyNumberFormat="1" applyFont="1" applyFill="1" applyBorder="1" applyAlignment="1">
      <alignment horizontal="right" indent="2"/>
    </xf>
    <xf numFmtId="0" fontId="69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67" fillId="0" borderId="1" xfId="1" applyNumberFormat="1" applyFont="1" applyFill="1" applyBorder="1" applyAlignment="1">
      <alignment horizontal="right"/>
    </xf>
    <xf numFmtId="16" fontId="67" fillId="0" borderId="0" xfId="0" applyNumberFormat="1" applyFont="1"/>
    <xf numFmtId="0" fontId="68" fillId="0" borderId="0" xfId="0" applyFont="1" applyAlignment="1">
      <alignment horizontal="center"/>
    </xf>
    <xf numFmtId="2" fontId="67" fillId="0" borderId="0" xfId="0" applyNumberFormat="1" applyFont="1" applyAlignment="1">
      <alignment horizontal="right" indent="2"/>
    </xf>
    <xf numFmtId="43" fontId="67" fillId="0" borderId="0" xfId="1" applyFont="1" applyFill="1" applyBorder="1" applyAlignment="1">
      <alignment horizontal="center"/>
    </xf>
    <xf numFmtId="0" fontId="73" fillId="0" borderId="0" xfId="0" quotePrefix="1" applyFont="1"/>
    <xf numFmtId="0" fontId="67" fillId="0" borderId="0" xfId="0" applyFont="1" applyAlignment="1">
      <alignment horizontal="left"/>
    </xf>
    <xf numFmtId="0" fontId="67" fillId="0" borderId="0" xfId="0" applyFont="1" applyAlignment="1">
      <alignment horizontal="left" indent="1"/>
    </xf>
    <xf numFmtId="0" fontId="67" fillId="0" borderId="3" xfId="0" applyFont="1" applyBorder="1" applyAlignment="1">
      <alignment horizontal="center"/>
    </xf>
    <xf numFmtId="0" fontId="67" fillId="0" borderId="1" xfId="0" applyFont="1" applyBorder="1" applyAlignment="1">
      <alignment horizontal="left"/>
    </xf>
    <xf numFmtId="0" fontId="68" fillId="0" borderId="3" xfId="0" quotePrefix="1" applyFont="1" applyBorder="1"/>
    <xf numFmtId="0" fontId="68" fillId="0" borderId="3" xfId="0" applyFont="1" applyBorder="1"/>
    <xf numFmtId="2" fontId="67" fillId="0" borderId="0" xfId="0" applyNumberFormat="1" applyFont="1" applyAlignment="1">
      <alignment horizontal="center"/>
    </xf>
    <xf numFmtId="43" fontId="67" fillId="0" borderId="0" xfId="0" applyNumberFormat="1" applyFont="1"/>
    <xf numFmtId="0" fontId="62" fillId="0" borderId="0" xfId="0" applyFont="1"/>
    <xf numFmtId="2" fontId="0" fillId="0" borderId="0" xfId="0" applyNumberFormat="1"/>
    <xf numFmtId="165" fontId="67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71" fillId="0" borderId="0" xfId="0" applyFont="1" applyAlignment="1">
      <alignment vertical="center"/>
    </xf>
    <xf numFmtId="2" fontId="67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67" fillId="0" borderId="3" xfId="0" applyFont="1" applyBorder="1"/>
    <xf numFmtId="165" fontId="67" fillId="0" borderId="0" xfId="1" applyNumberFormat="1" applyFont="1" applyFill="1"/>
    <xf numFmtId="37" fontId="67" fillId="0" borderId="0" xfId="1" applyNumberFormat="1" applyFont="1" applyFill="1" applyBorder="1" applyAlignment="1">
      <alignment horizontal="center"/>
    </xf>
    <xf numFmtId="165" fontId="67" fillId="0" borderId="0" xfId="1" applyNumberFormat="1" applyFont="1" applyFill="1" applyBorder="1"/>
    <xf numFmtId="9" fontId="67" fillId="0" borderId="0" xfId="12" applyFont="1" applyFill="1"/>
    <xf numFmtId="0" fontId="68" fillId="0" borderId="4" xfId="0" applyFont="1" applyBorder="1" applyAlignment="1">
      <alignment horizontal="center"/>
    </xf>
    <xf numFmtId="14" fontId="67" fillId="0" borderId="0" xfId="0" applyNumberFormat="1" applyFont="1" applyAlignment="1">
      <alignment horizontal="right" indent="1"/>
    </xf>
    <xf numFmtId="0" fontId="67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168" fontId="67" fillId="0" borderId="0" xfId="1" applyNumberFormat="1" applyFont="1" applyFill="1" applyAlignment="1">
      <alignment horizontal="center"/>
    </xf>
    <xf numFmtId="0" fontId="69" fillId="0" borderId="3" xfId="0" applyFont="1" applyBorder="1"/>
    <xf numFmtId="164" fontId="67" fillId="0" borderId="3" xfId="0" applyNumberFormat="1" applyFont="1" applyBorder="1"/>
    <xf numFmtId="169" fontId="0" fillId="0" borderId="0" xfId="1" applyNumberFormat="1" applyFont="1" applyFill="1" applyBorder="1"/>
    <xf numFmtId="0" fontId="58" fillId="0" borderId="0" xfId="8" applyFont="1"/>
    <xf numFmtId="0" fontId="58" fillId="0" borderId="0" xfId="0" applyFont="1"/>
    <xf numFmtId="4" fontId="76" fillId="0" borderId="0" xfId="0" applyNumberFormat="1" applyFont="1"/>
    <xf numFmtId="170" fontId="62" fillId="0" borderId="0" xfId="12" applyNumberFormat="1" applyFont="1" applyFill="1"/>
    <xf numFmtId="4" fontId="0" fillId="0" borderId="0" xfId="0" applyNumberFormat="1"/>
    <xf numFmtId="171" fontId="76" fillId="0" borderId="0" xfId="0" applyNumberFormat="1" applyFont="1"/>
    <xf numFmtId="2" fontId="75" fillId="0" borderId="0" xfId="0" applyNumberFormat="1" applyFont="1" applyAlignment="1">
      <alignment horizontal="center"/>
    </xf>
    <xf numFmtId="37" fontId="67" fillId="0" borderId="0" xfId="0" applyNumberFormat="1" applyFont="1" applyAlignment="1">
      <alignment vertical="center" wrapText="1"/>
    </xf>
    <xf numFmtId="170" fontId="0" fillId="0" borderId="0" xfId="12" applyNumberFormat="1" applyFont="1"/>
    <xf numFmtId="2" fontId="75" fillId="0" borderId="0" xfId="0" applyNumberFormat="1" applyFont="1" applyAlignment="1">
      <alignment horizontal="right" indent="2"/>
    </xf>
    <xf numFmtId="9" fontId="0" fillId="0" borderId="0" xfId="12" applyFont="1"/>
    <xf numFmtId="3" fontId="75" fillId="0" borderId="0" xfId="1" applyNumberFormat="1" applyFont="1" applyFill="1" applyBorder="1" applyAlignment="1">
      <alignment horizontal="right"/>
    </xf>
    <xf numFmtId="3" fontId="58" fillId="0" borderId="0" xfId="0" applyNumberFormat="1" applyFon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68" fontId="67" fillId="0" borderId="0" xfId="1" applyNumberFormat="1" applyFont="1" applyAlignment="1">
      <alignment horizontal="right" indent="1"/>
    </xf>
    <xf numFmtId="166" fontId="67" fillId="0" borderId="0" xfId="0" applyNumberFormat="1" applyFont="1"/>
    <xf numFmtId="168" fontId="75" fillId="0" borderId="0" xfId="1" applyNumberFormat="1" applyFont="1" applyFill="1" applyBorder="1" applyAlignment="1">
      <alignment horizontal="right" indent="1"/>
    </xf>
    <xf numFmtId="0" fontId="77" fillId="0" borderId="0" xfId="0" applyFont="1"/>
    <xf numFmtId="168" fontId="67" fillId="0" borderId="0" xfId="1" applyNumberFormat="1" applyFont="1" applyFill="1" applyAlignment="1">
      <alignment horizontal="right" indent="1"/>
    </xf>
    <xf numFmtId="164" fontId="75" fillId="0" borderId="0" xfId="1" applyNumberFormat="1" applyFont="1"/>
    <xf numFmtId="168" fontId="67" fillId="2" borderId="0" xfId="1" applyNumberFormat="1" applyFont="1" applyFill="1" applyBorder="1" applyAlignment="1">
      <alignment horizontal="right" indent="2"/>
    </xf>
    <xf numFmtId="168" fontId="67" fillId="2" borderId="0" xfId="1" applyNumberFormat="1" applyFont="1" applyFill="1" applyBorder="1" applyAlignment="1">
      <alignment horizontal="right" indent="1"/>
    </xf>
    <xf numFmtId="168" fontId="78" fillId="0" borderId="0" xfId="1" applyNumberFormat="1" applyFont="1" applyFill="1" applyBorder="1" applyAlignment="1">
      <alignment horizontal="right"/>
    </xf>
    <xf numFmtId="168" fontId="75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67" fillId="0" borderId="3" xfId="0" applyNumberFormat="1" applyFont="1" applyBorder="1"/>
    <xf numFmtId="0" fontId="0" fillId="0" borderId="3" xfId="0" applyBorder="1"/>
    <xf numFmtId="167" fontId="67" fillId="0" borderId="3" xfId="0" applyNumberFormat="1" applyFont="1" applyBorder="1"/>
    <xf numFmtId="0" fontId="68" fillId="0" borderId="3" xfId="0" quotePrefix="1" applyFont="1" applyBorder="1" applyAlignment="1">
      <alignment horizontal="center"/>
    </xf>
    <xf numFmtId="175" fontId="0" fillId="0" borderId="0" xfId="0" applyNumberFormat="1"/>
    <xf numFmtId="176" fontId="0" fillId="0" borderId="0" xfId="0" applyNumberFormat="1"/>
    <xf numFmtId="3" fontId="67" fillId="0" borderId="0" xfId="1" applyNumberFormat="1" applyFont="1" applyFill="1" applyBorder="1" applyAlignment="1">
      <alignment horizontal="right" indent="1"/>
    </xf>
    <xf numFmtId="3" fontId="76" fillId="0" borderId="0" xfId="0" applyNumberFormat="1" applyFont="1"/>
    <xf numFmtId="171" fontId="0" fillId="0" borderId="0" xfId="0" applyNumberFormat="1"/>
    <xf numFmtId="37" fontId="67" fillId="0" borderId="0" xfId="0" applyNumberFormat="1" applyFont="1"/>
    <xf numFmtId="165" fontId="0" fillId="0" borderId="0" xfId="1" applyNumberFormat="1" applyFont="1" applyAlignment="1">
      <alignment horizontal="left" indent="1"/>
    </xf>
    <xf numFmtId="2" fontId="67" fillId="2" borderId="0" xfId="0" applyNumberFormat="1" applyFont="1" applyFill="1" applyAlignment="1">
      <alignment horizontal="right" indent="2"/>
    </xf>
    <xf numFmtId="0" fontId="67" fillId="2" borderId="0" xfId="0" applyFont="1" applyFill="1"/>
    <xf numFmtId="164" fontId="75" fillId="0" borderId="0" xfId="1" applyNumberFormat="1" applyFont="1" applyFill="1"/>
    <xf numFmtId="166" fontId="124" fillId="0" borderId="0" xfId="0" applyNumberFormat="1" applyFont="1"/>
    <xf numFmtId="168" fontId="75" fillId="0" borderId="0" xfId="1" applyNumberFormat="1" applyFont="1" applyFill="1" applyAlignment="1">
      <alignment horizontal="right" indent="1"/>
    </xf>
    <xf numFmtId="0" fontId="67" fillId="0" borderId="2" xfId="0" applyFont="1" applyBorder="1" applyAlignment="1">
      <alignment horizontal="center"/>
    </xf>
    <xf numFmtId="0" fontId="68" fillId="0" borderId="3" xfId="0" applyFont="1" applyBorder="1" applyAlignment="1">
      <alignment horizontal="center"/>
    </xf>
    <xf numFmtId="2" fontId="77" fillId="0" borderId="0" xfId="0" applyNumberFormat="1" applyFont="1"/>
    <xf numFmtId="3" fontId="0" fillId="0" borderId="0" xfId="0" applyNumberFormat="1"/>
    <xf numFmtId="0" fontId="0" fillId="2" borderId="0" xfId="0" applyFill="1"/>
    <xf numFmtId="0" fontId="58" fillId="2" borderId="0" xfId="0" applyFont="1" applyFill="1"/>
    <xf numFmtId="164" fontId="67" fillId="2" borderId="0" xfId="1" applyNumberFormat="1" applyFont="1" applyFill="1" applyBorder="1" applyAlignment="1">
      <alignment horizontal="center"/>
    </xf>
    <xf numFmtId="168" fontId="67" fillId="2" borderId="0" xfId="1" applyNumberFormat="1" applyFont="1" applyFill="1" applyBorder="1" applyAlignment="1">
      <alignment horizontal="right"/>
    </xf>
    <xf numFmtId="168" fontId="67" fillId="2" borderId="0" xfId="1" quotePrefix="1" applyNumberFormat="1" applyFont="1" applyFill="1" applyBorder="1" applyAlignment="1">
      <alignment horizontal="right"/>
    </xf>
    <xf numFmtId="172" fontId="0" fillId="2" borderId="0" xfId="0" applyNumberFormat="1" applyFill="1"/>
    <xf numFmtId="164" fontId="75" fillId="0" borderId="0" xfId="1" applyNumberFormat="1" applyFont="1" applyFill="1" applyAlignment="1">
      <alignment horizontal="right"/>
    </xf>
    <xf numFmtId="2" fontId="125" fillId="0" borderId="0" xfId="12" applyNumberFormat="1" applyFont="1" applyFill="1" applyBorder="1" applyAlignment="1">
      <alignment horizontal="center"/>
    </xf>
    <xf numFmtId="0" fontId="125" fillId="0" borderId="0" xfId="0" applyFont="1"/>
    <xf numFmtId="165" fontId="0" fillId="0" borderId="0" xfId="1" applyNumberFormat="1" applyFont="1"/>
    <xf numFmtId="10" fontId="0" fillId="0" borderId="0" xfId="12" applyNumberFormat="1" applyFont="1"/>
    <xf numFmtId="177" fontId="126" fillId="0" borderId="0" xfId="0" applyNumberFormat="1" applyFont="1"/>
    <xf numFmtId="177" fontId="126" fillId="0" borderId="0" xfId="0" applyNumberFormat="1" applyFont="1" applyAlignment="1">
      <alignment horizontal="right" indent="1"/>
    </xf>
    <xf numFmtId="177" fontId="0" fillId="0" borderId="0" xfId="0" applyNumberFormat="1"/>
    <xf numFmtId="0" fontId="58" fillId="0" borderId="0" xfId="20"/>
    <xf numFmtId="165" fontId="0" fillId="0" borderId="0" xfId="1" applyNumberFormat="1" applyFont="1" applyFill="1" applyAlignment="1">
      <alignment horizontal="left" indent="1"/>
    </xf>
    <xf numFmtId="178" fontId="0" fillId="0" borderId="0" xfId="0" applyNumberFormat="1"/>
    <xf numFmtId="176" fontId="75" fillId="0" borderId="0" xfId="1" applyNumberFormat="1" applyFont="1" applyFill="1" applyAlignment="1">
      <alignment horizontal="right" indent="1"/>
    </xf>
    <xf numFmtId="171" fontId="73" fillId="0" borderId="0" xfId="1" applyNumberFormat="1" applyFont="1" applyFill="1" applyBorder="1" applyAlignment="1">
      <alignment horizontal="right" indent="1"/>
    </xf>
    <xf numFmtId="43" fontId="0" fillId="0" borderId="0" xfId="1" applyFont="1"/>
    <xf numFmtId="1" fontId="0" fillId="0" borderId="0" xfId="0" applyNumberFormat="1"/>
    <xf numFmtId="168" fontId="67" fillId="2" borderId="0" xfId="1" applyNumberFormat="1" applyFont="1" applyFill="1" applyAlignment="1">
      <alignment horizontal="right" indent="1"/>
    </xf>
    <xf numFmtId="165" fontId="67" fillId="2" borderId="0" xfId="1" applyNumberFormat="1" applyFont="1" applyFill="1" applyBorder="1" applyAlignment="1">
      <alignment horizontal="center"/>
    </xf>
    <xf numFmtId="168" fontId="75" fillId="2" borderId="0" xfId="1" applyNumberFormat="1" applyFont="1" applyFill="1" applyBorder="1" applyAlignment="1">
      <alignment horizontal="right"/>
    </xf>
    <xf numFmtId="168" fontId="0" fillId="2" borderId="0" xfId="0" applyNumberFormat="1" applyFill="1"/>
    <xf numFmtId="170" fontId="0" fillId="2" borderId="0" xfId="12" applyNumberFormat="1" applyFont="1" applyFill="1"/>
    <xf numFmtId="175" fontId="0" fillId="2" borderId="0" xfId="0" applyNumberFormat="1" applyFill="1"/>
    <xf numFmtId="4" fontId="76" fillId="2" borderId="0" xfId="0" applyNumberFormat="1" applyFont="1" applyFill="1"/>
    <xf numFmtId="171" fontId="0" fillId="2" borderId="0" xfId="0" applyNumberFormat="1" applyFill="1"/>
    <xf numFmtId="164" fontId="75" fillId="2" borderId="0" xfId="1" applyNumberFormat="1" applyFont="1" applyFill="1" applyAlignment="1">
      <alignment horizontal="right"/>
    </xf>
    <xf numFmtId="168" fontId="67" fillId="2" borderId="0" xfId="1" applyNumberFormat="1" applyFont="1" applyFill="1" applyBorder="1" applyAlignment="1">
      <alignment horizontal="center"/>
    </xf>
    <xf numFmtId="168" fontId="67" fillId="2" borderId="0" xfId="1" applyNumberFormat="1" applyFont="1" applyFill="1" applyAlignment="1">
      <alignment horizontal="center"/>
    </xf>
    <xf numFmtId="4" fontId="0" fillId="2" borderId="0" xfId="0" applyNumberFormat="1" applyFill="1"/>
    <xf numFmtId="2" fontId="0" fillId="2" borderId="0" xfId="0" applyNumberFormat="1" applyFill="1"/>
    <xf numFmtId="0" fontId="58" fillId="0" borderId="0" xfId="20" applyAlignment="1">
      <alignment horizontal="center"/>
    </xf>
    <xf numFmtId="0" fontId="65" fillId="0" borderId="1" xfId="20" applyFont="1" applyBorder="1" applyAlignment="1">
      <alignment horizontal="centerContinuous"/>
    </xf>
    <xf numFmtId="0" fontId="128" fillId="0" borderId="1" xfId="82" applyFont="1" applyBorder="1" applyAlignment="1">
      <alignment horizontal="center" wrapText="1"/>
    </xf>
    <xf numFmtId="17" fontId="58" fillId="0" borderId="0" xfId="20" applyNumberFormat="1" applyAlignment="1">
      <alignment horizontal="left"/>
    </xf>
    <xf numFmtId="165" fontId="124" fillId="0" borderId="0" xfId="543" applyNumberFormat="1" applyFont="1"/>
    <xf numFmtId="164" fontId="124" fillId="0" borderId="0" xfId="543" applyNumberFormat="1" applyFont="1"/>
    <xf numFmtId="165" fontId="124" fillId="0" borderId="0" xfId="660" applyNumberFormat="1" applyFont="1"/>
    <xf numFmtId="164" fontId="0" fillId="0" borderId="0" xfId="1" applyNumberFormat="1" applyFont="1"/>
    <xf numFmtId="1" fontId="127" fillId="0" borderId="0" xfId="82" applyNumberFormat="1" applyFont="1"/>
    <xf numFmtId="0" fontId="128" fillId="0" borderId="1" xfId="78" applyFont="1" applyBorder="1" applyAlignment="1">
      <alignment horizontal="center" wrapText="1"/>
    </xf>
    <xf numFmtId="0" fontId="127" fillId="0" borderId="0" xfId="78" applyFont="1" applyAlignment="1">
      <alignment horizontal="center"/>
    </xf>
    <xf numFmtId="179" fontId="127" fillId="0" borderId="0" xfId="33" applyNumberFormat="1" applyFont="1" applyFill="1"/>
    <xf numFmtId="179" fontId="127" fillId="0" borderId="0" xfId="78" applyNumberFormat="1" applyFont="1"/>
    <xf numFmtId="164" fontId="127" fillId="0" borderId="0" xfId="78" applyNumberFormat="1" applyFont="1"/>
    <xf numFmtId="165" fontId="67" fillId="0" borderId="3" xfId="1" applyNumberFormat="1" applyFont="1" applyFill="1" applyBorder="1"/>
    <xf numFmtId="166" fontId="0" fillId="0" borderId="0" xfId="0" applyNumberFormat="1"/>
    <xf numFmtId="165" fontId="0" fillId="0" borderId="0" xfId="1" applyNumberFormat="1" applyFont="1" applyFill="1" applyAlignment="1">
      <alignment horizontal="center"/>
    </xf>
    <xf numFmtId="166" fontId="67" fillId="0" borderId="0" xfId="0" applyNumberFormat="1" applyFont="1" applyAlignment="1">
      <alignment horizontal="center"/>
    </xf>
    <xf numFmtId="165" fontId="67" fillId="0" borderId="0" xfId="1" applyNumberFormat="1" applyFont="1" applyFill="1" applyAlignment="1">
      <alignment horizontal="left"/>
    </xf>
    <xf numFmtId="165" fontId="67" fillId="0" borderId="0" xfId="1" applyNumberFormat="1" applyFont="1" applyFill="1" applyAlignment="1">
      <alignment horizontal="center"/>
    </xf>
    <xf numFmtId="165" fontId="75" fillId="0" borderId="0" xfId="1" applyNumberFormat="1" applyFont="1" applyFill="1" applyAlignment="1">
      <alignment horizontal="center"/>
    </xf>
    <xf numFmtId="165" fontId="0" fillId="0" borderId="0" xfId="0" applyNumberFormat="1"/>
    <xf numFmtId="170" fontId="0" fillId="0" borderId="0" xfId="12" applyNumberFormat="1" applyFont="1" applyFill="1"/>
    <xf numFmtId="3" fontId="67" fillId="0" borderId="0" xfId="1" applyNumberFormat="1" applyFont="1" applyFill="1" applyAlignment="1">
      <alignment horizontal="right" indent="2"/>
    </xf>
    <xf numFmtId="3" fontId="75" fillId="0" borderId="0" xfId="1" applyNumberFormat="1" applyFont="1" applyFill="1" applyAlignment="1">
      <alignment horizontal="right" indent="1"/>
    </xf>
    <xf numFmtId="3" fontId="67" fillId="0" borderId="0" xfId="1" applyNumberFormat="1" applyFont="1" applyFill="1" applyAlignment="1">
      <alignment horizontal="right"/>
    </xf>
    <xf numFmtId="37" fontId="67" fillId="0" borderId="0" xfId="1" applyNumberFormat="1" applyFont="1" applyFill="1" applyBorder="1" applyAlignment="1">
      <alignment horizontal="right" indent="2"/>
    </xf>
    <xf numFmtId="37" fontId="67" fillId="0" borderId="0" xfId="1" applyNumberFormat="1" applyFont="1" applyFill="1" applyBorder="1" applyAlignment="1">
      <alignment horizontal="right" indent="1"/>
    </xf>
    <xf numFmtId="37" fontId="67" fillId="0" borderId="1" xfId="1" applyNumberFormat="1" applyFont="1" applyFill="1" applyBorder="1" applyAlignment="1">
      <alignment horizontal="center"/>
    </xf>
    <xf numFmtId="37" fontId="67" fillId="0" borderId="1" xfId="1" applyNumberFormat="1" applyFont="1" applyFill="1" applyBorder="1" applyAlignment="1">
      <alignment horizontal="right" indent="2"/>
    </xf>
    <xf numFmtId="165" fontId="67" fillId="0" borderId="1" xfId="1" applyNumberFormat="1" applyFont="1" applyFill="1" applyBorder="1"/>
    <xf numFmtId="37" fontId="67" fillId="0" borderId="1" xfId="1" applyNumberFormat="1" applyFont="1" applyFill="1" applyBorder="1" applyAlignment="1">
      <alignment horizontal="right" indent="1"/>
    </xf>
    <xf numFmtId="1" fontId="67" fillId="0" borderId="0" xfId="0" applyNumberFormat="1" applyFont="1" applyAlignment="1">
      <alignment horizontal="center"/>
    </xf>
    <xf numFmtId="1" fontId="67" fillId="0" borderId="1" xfId="0" applyNumberFormat="1" applyFont="1" applyBorder="1" applyAlignment="1">
      <alignment horizontal="center"/>
    </xf>
    <xf numFmtId="170" fontId="67" fillId="0" borderId="0" xfId="12" applyNumberFormat="1" applyFont="1"/>
    <xf numFmtId="0" fontId="65" fillId="0" borderId="0" xfId="0" applyFont="1"/>
    <xf numFmtId="0" fontId="128" fillId="0" borderId="2" xfId="82" applyFont="1" applyBorder="1" applyAlignment="1">
      <alignment horizontal="center" wrapText="1"/>
    </xf>
    <xf numFmtId="0" fontId="67" fillId="0" borderId="2" xfId="0" applyFont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68" fillId="0" borderId="2" xfId="0" quotePrefix="1" applyFont="1" applyBorder="1" applyAlignment="1">
      <alignment horizontal="center"/>
    </xf>
    <xf numFmtId="0" fontId="68" fillId="0" borderId="5" xfId="0" quotePrefix="1" applyFont="1" applyBorder="1" applyAlignment="1">
      <alignment horizontal="center"/>
    </xf>
    <xf numFmtId="0" fontId="68" fillId="0" borderId="6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0" fontId="65" fillId="0" borderId="1" xfId="0" applyFont="1" applyBorder="1"/>
    <xf numFmtId="0" fontId="65" fillId="0" borderId="1" xfId="0" applyFont="1" applyBorder="1" applyAlignment="1">
      <alignment horizontal="center"/>
    </xf>
  </cellXfs>
  <cellStyles count="716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2 2 2" xfId="490" xr:uid="{05B06E6A-24DF-4E88-8359-FB1A2B20C218}"/>
    <cellStyle name="20% - Accent1 2 2 2 3" xfId="637" xr:uid="{C21D02DE-40EB-4517-9E7C-13F5A0A26101}"/>
    <cellStyle name="20% - Accent1 2 2 3" xfId="427" xr:uid="{98B64A09-388E-498E-8547-ED6E911E9008}"/>
    <cellStyle name="20% - Accent1 2 2 4" xfId="571" xr:uid="{9B764D4E-5675-4900-B304-A9744638F13F}"/>
    <cellStyle name="20% - Accent1 2 3" xfId="243" xr:uid="{DFAACE0A-DDD2-4424-B740-BFF9BF44F6DE}"/>
    <cellStyle name="20% - Accent1 2 3 2" xfId="356" xr:uid="{89AF0E59-C980-4D73-AD5F-E64685BF5A39}"/>
    <cellStyle name="20% - Accent1 2 3 2 2" xfId="524" xr:uid="{B817B76A-E28D-417D-B5E9-3235B4EEBF45}"/>
    <cellStyle name="20% - Accent1 2 3 2 3" xfId="671" xr:uid="{63225E10-D98E-4756-8C97-6B3106E00E48}"/>
    <cellStyle name="20% - Accent1 2 3 3" xfId="461" xr:uid="{36FDAAF6-488B-4CFF-9EF7-D4D588B79B49}"/>
    <cellStyle name="20% - Accent1 2 3 4" xfId="606" xr:uid="{9EF3CD34-28C8-46AC-AB00-48B4A3053479}"/>
    <cellStyle name="20% - Accent1 2 4" xfId="311" xr:uid="{83F36799-25DE-43C1-8B40-C38E43B06862}"/>
    <cellStyle name="20% - Accent1 2 4 2" xfId="482" xr:uid="{F7F20C40-F23D-4222-96D9-093D64E9179D}"/>
    <cellStyle name="20% - Accent1 2 4 3" xfId="629" xr:uid="{D08B27A1-AE7C-449B-9530-7BD7C6FC55B7}"/>
    <cellStyle name="20% - Accent1 2 5" xfId="420" xr:uid="{086CCB9A-F10F-4BD0-AECC-CECF83F47246}"/>
    <cellStyle name="20% - Accent1 2 6" xfId="564" xr:uid="{128C6417-FD98-41E5-847B-4D849B6B23E7}"/>
    <cellStyle name="20% - Accent1 3" xfId="176" xr:uid="{32B0355E-6EDE-4BFF-8288-D97DAF58BA3D}"/>
    <cellStyle name="20% - Accent1 3 2" xfId="323" xr:uid="{8B8A3324-DDA2-4DDC-A40B-277C58DF2E59}"/>
    <cellStyle name="20% - Accent1 3 2 2" xfId="491" xr:uid="{889EB50F-F9C4-42E0-BB6A-E236776D753A}"/>
    <cellStyle name="20% - Accent1 3 2 3" xfId="638" xr:uid="{9991DE64-FCF4-431F-AA0B-41942B7E7567}"/>
    <cellStyle name="20% - Accent1 3 3" xfId="428" xr:uid="{36BE12E4-AA0F-4205-82D6-9FB17C14369E}"/>
    <cellStyle name="20% - Accent1 3 4" xfId="572" xr:uid="{1C8A825D-4493-4C8B-8333-84E166673487}"/>
    <cellStyle name="20% - Accent1 4" xfId="252" xr:uid="{7CEC33F6-0A54-4986-816D-B5CD86F3443E}"/>
    <cellStyle name="20% - Accent1 5" xfId="298" xr:uid="{81C6ED3D-ADA8-4DD1-AB90-65CBC92DDD4E}"/>
    <cellStyle name="20% - Accent1 5 2" xfId="470" xr:uid="{4F3D7150-E006-460C-9645-62992F51D10D}"/>
    <cellStyle name="20% - Accent1 5 3" xfId="616" xr:uid="{3C4EB2EC-83C5-46FB-BAD9-7231CFD52394}"/>
    <cellStyle name="20% - Accent1 6" xfId="401" xr:uid="{9AE55E89-F9DF-4833-9F62-326D28BA61AC}"/>
    <cellStyle name="20% - Accent1 7" xfId="545" xr:uid="{AE10814B-B454-48B6-8240-11FC70B65162}"/>
    <cellStyle name="20% - Accent1 8" xfId="691" xr:uid="{E5349E11-D578-4C28-A1D9-9A2FB2BDABDA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2 2 2" xfId="492" xr:uid="{FD8075D9-B0CB-45B8-90F1-6558E750DC91}"/>
    <cellStyle name="20% - Accent2 2 2 2 3" xfId="639" xr:uid="{1E12E7E8-CCDB-4D9E-9225-C7950BCADD5F}"/>
    <cellStyle name="20% - Accent2 2 2 3" xfId="429" xr:uid="{566529F4-1A18-4101-B0F0-37DDEB028598}"/>
    <cellStyle name="20% - Accent2 2 2 4" xfId="573" xr:uid="{2EEF3FB9-9A29-40BA-8F22-60BB80D54E67}"/>
    <cellStyle name="20% - Accent2 2 3" xfId="244" xr:uid="{50C5342E-7F4E-4DA0-8BB2-B9DC64C75676}"/>
    <cellStyle name="20% - Accent2 2 3 2" xfId="357" xr:uid="{A9E457CE-E606-46C1-BAD6-9F04036F9737}"/>
    <cellStyle name="20% - Accent2 2 3 2 2" xfId="525" xr:uid="{37A61EF5-9CF6-4CF5-A478-9053958EF6DD}"/>
    <cellStyle name="20% - Accent2 2 3 2 3" xfId="672" xr:uid="{2AAD6B5F-5B97-4E65-B9BB-3B96BE19B1CA}"/>
    <cellStyle name="20% - Accent2 2 3 3" xfId="462" xr:uid="{9C712771-9205-463F-8A2A-699C5A2B56F6}"/>
    <cellStyle name="20% - Accent2 2 3 4" xfId="607" xr:uid="{940C9792-98F1-4AAB-84B4-F4996D8EE71A}"/>
    <cellStyle name="20% - Accent2 2 4" xfId="312" xr:uid="{A2CC103D-9803-49B7-AFE1-C11F6B1DCEA6}"/>
    <cellStyle name="20% - Accent2 2 4 2" xfId="483" xr:uid="{AF9F4BBE-D758-41BA-9BB3-BD9F7D4CB478}"/>
    <cellStyle name="20% - Accent2 2 4 3" xfId="630" xr:uid="{33CA1F40-D11A-41D6-A22E-A028486D4544}"/>
    <cellStyle name="20% - Accent2 2 5" xfId="422" xr:uid="{848DBB74-DB0A-4D71-9107-A5404B5A64B1}"/>
    <cellStyle name="20% - Accent2 2 6" xfId="566" xr:uid="{0D389ABA-A6AC-4DC0-BB52-168F224B7EAD}"/>
    <cellStyle name="20% - Accent2 3" xfId="178" xr:uid="{6C171EA5-10E1-4380-B85D-BD9AB947C93B}"/>
    <cellStyle name="20% - Accent2 3 2" xfId="325" xr:uid="{8D668A50-5F39-4645-A90D-54BF2D4958AE}"/>
    <cellStyle name="20% - Accent2 3 2 2" xfId="493" xr:uid="{F89209B8-F09F-4A5F-8810-130D5C2CC010}"/>
    <cellStyle name="20% - Accent2 3 2 3" xfId="640" xr:uid="{74C3115D-F217-4A13-8868-AE9EDBA3EA2A}"/>
    <cellStyle name="20% - Accent2 3 3" xfId="430" xr:uid="{0D7049A8-EE28-4F58-84DB-63A1443CAB48}"/>
    <cellStyle name="20% - Accent2 3 4" xfId="574" xr:uid="{1DEFF925-00D0-42D6-A16B-FEC8EA0746AC}"/>
    <cellStyle name="20% - Accent2 4" xfId="253" xr:uid="{237A4AE0-05DB-4BBC-9FC6-21F8CB9985F9}"/>
    <cellStyle name="20% - Accent2 5" xfId="300" xr:uid="{C5ABCD5F-0592-416F-9073-4C31AB0B7D76}"/>
    <cellStyle name="20% - Accent2 5 2" xfId="472" xr:uid="{5AF29854-C227-4929-99B2-BE93300556DC}"/>
    <cellStyle name="20% - Accent2 5 3" xfId="618" xr:uid="{7F2755DF-63BD-4449-AAC2-623432F23A0E}"/>
    <cellStyle name="20% - Accent2 6" xfId="404" xr:uid="{3D0D8644-B29F-4FCE-929C-B25E3956A311}"/>
    <cellStyle name="20% - Accent2 7" xfId="548" xr:uid="{A353CB3D-FCF2-4E0A-AFB0-84E4F9F95F86}"/>
    <cellStyle name="20% - Accent2 8" xfId="693" xr:uid="{85872B68-12BB-4618-974E-48D51EE6A214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2 2 2" xfId="494" xr:uid="{974536C2-58F3-406D-8748-6FDC6543620C}"/>
    <cellStyle name="20% - Accent3 2 2 2 3" xfId="641" xr:uid="{33D3EDF6-8660-4720-81D5-E8A7D9847EA1}"/>
    <cellStyle name="20% - Accent3 2 2 3" xfId="431" xr:uid="{255DC329-D995-4A83-8073-1CF63816F071}"/>
    <cellStyle name="20% - Accent3 2 2 4" xfId="575" xr:uid="{7B575D5A-2EBD-40CE-ADE8-7D7C11C90BAE}"/>
    <cellStyle name="20% - Accent3 2 3" xfId="245" xr:uid="{2125FD0B-95F0-4249-A4C0-85785EC5E189}"/>
    <cellStyle name="20% - Accent3 2 3 2" xfId="358" xr:uid="{A7994EDF-6D4F-4DD2-AA80-E7ECD9EC5D2A}"/>
    <cellStyle name="20% - Accent3 2 3 2 2" xfId="526" xr:uid="{0F7AD21D-71FA-4094-835A-B89F5E41ACA8}"/>
    <cellStyle name="20% - Accent3 2 3 2 3" xfId="673" xr:uid="{D4898AF4-ED34-41B0-AE0A-660E5690DB67}"/>
    <cellStyle name="20% - Accent3 2 3 3" xfId="463" xr:uid="{7F2ACC1A-47E5-4F38-BD04-F43018463B0E}"/>
    <cellStyle name="20% - Accent3 2 3 4" xfId="608" xr:uid="{0047ACF1-4E69-4225-BBBB-F96E013096A1}"/>
    <cellStyle name="20% - Accent3 2 4" xfId="313" xr:uid="{A392E008-3993-4913-9A74-2289F3F558F7}"/>
    <cellStyle name="20% - Accent3 2 4 2" xfId="484" xr:uid="{0F207972-337D-49E2-B0F0-7D42B6694A27}"/>
    <cellStyle name="20% - Accent3 2 4 3" xfId="631" xr:uid="{2A000E8A-F39A-44BF-9496-A698FADA5FBB}"/>
    <cellStyle name="20% - Accent3 2 5" xfId="421" xr:uid="{5D3063C4-DBB5-4EC4-882C-73CF8DBE8321}"/>
    <cellStyle name="20% - Accent3 2 6" xfId="565" xr:uid="{819D10ED-85A0-4A64-B2C7-E660D39C0DA7}"/>
    <cellStyle name="20% - Accent3 3" xfId="180" xr:uid="{AE82C847-78D6-4B97-8441-AA51646614B2}"/>
    <cellStyle name="20% - Accent3 3 2" xfId="327" xr:uid="{E4842C73-CF9A-46A7-A8D4-C720BAFECC2A}"/>
    <cellStyle name="20% - Accent3 3 2 2" xfId="495" xr:uid="{410357B9-A7B2-4AA2-8A86-4A1D809C069C}"/>
    <cellStyle name="20% - Accent3 3 2 3" xfId="642" xr:uid="{195A7582-E8AA-4A23-8CA2-1DDFE4BE68A9}"/>
    <cellStyle name="20% - Accent3 3 3" xfId="432" xr:uid="{841DAC20-742F-4203-A047-B4AF5C721A19}"/>
    <cellStyle name="20% - Accent3 3 4" xfId="576" xr:uid="{3CF09ECE-7E26-471E-BF59-C881C61DD6AC}"/>
    <cellStyle name="20% - Accent3 4" xfId="254" xr:uid="{40569062-D533-4274-94AE-C7B495BBBAF4}"/>
    <cellStyle name="20% - Accent3 5" xfId="302" xr:uid="{75FC9417-6D6F-4BEC-BBB5-1652C952A4F2}"/>
    <cellStyle name="20% - Accent3 5 2" xfId="474" xr:uid="{534E3502-C93C-417F-940C-C2C89106AE30}"/>
    <cellStyle name="20% - Accent3 5 3" xfId="620" xr:uid="{1A52373C-AD75-4723-9D28-11C430881987}"/>
    <cellStyle name="20% - Accent3 6" xfId="407" xr:uid="{20C864A9-6ED5-41D6-AFE6-DD1317EFD3AD}"/>
    <cellStyle name="20% - Accent3 7" xfId="551" xr:uid="{29086AB7-7D33-4793-8985-EFEDCAE37C28}"/>
    <cellStyle name="20% - Accent3 8" xfId="695" xr:uid="{B7C8059F-6240-4731-B6E0-6BD50A556A47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2 2 2" xfId="496" xr:uid="{A2E3C7DB-32C1-4F50-9404-3F2890C20254}"/>
    <cellStyle name="20% - Accent4 2 2 2 3" xfId="643" xr:uid="{70B4FFA6-96F2-4AAB-9342-EA1F2BFF6592}"/>
    <cellStyle name="20% - Accent4 2 2 3" xfId="433" xr:uid="{663B3809-24D4-4727-B390-B3B671049AAA}"/>
    <cellStyle name="20% - Accent4 2 2 4" xfId="577" xr:uid="{7737A021-F7C9-4529-8202-E02BE14DEA80}"/>
    <cellStyle name="20% - Accent4 2 3" xfId="246" xr:uid="{838D636A-4D49-422F-90B8-C14A3182ECA3}"/>
    <cellStyle name="20% - Accent4 2 3 2" xfId="359" xr:uid="{2D26635D-7002-48A3-80B5-01782ECEA560}"/>
    <cellStyle name="20% - Accent4 2 3 2 2" xfId="527" xr:uid="{675D849B-113D-498E-8A44-84CE6FC31084}"/>
    <cellStyle name="20% - Accent4 2 3 2 3" xfId="674" xr:uid="{0B3BCF21-BA0E-461E-8C39-A9F3BA3C6F2A}"/>
    <cellStyle name="20% - Accent4 2 3 3" xfId="464" xr:uid="{82DCE161-AF0A-4B71-AF06-7F6149BB8AFE}"/>
    <cellStyle name="20% - Accent4 2 3 4" xfId="609" xr:uid="{CD74BF03-A810-4C43-A98B-402B52872029}"/>
    <cellStyle name="20% - Accent4 2 4" xfId="314" xr:uid="{413645D3-3617-43F7-8ECE-552A73C745C5}"/>
    <cellStyle name="20% - Accent4 2 4 2" xfId="485" xr:uid="{19EC5665-1856-492B-938C-93B4E17C042C}"/>
    <cellStyle name="20% - Accent4 2 4 3" xfId="632" xr:uid="{6E2CC84E-6F38-44DC-98DF-22635DD57A96}"/>
    <cellStyle name="20% - Accent4 2 5" xfId="419" xr:uid="{298E3CDE-5ABB-46E6-867C-321CF30960B7}"/>
    <cellStyle name="20% - Accent4 2 6" xfId="563" xr:uid="{7C74BE52-84FC-49F2-83DB-6547C16FE371}"/>
    <cellStyle name="20% - Accent4 3" xfId="182" xr:uid="{77FDE77B-07DD-4466-9C33-45F5E347F898}"/>
    <cellStyle name="20% - Accent4 3 2" xfId="329" xr:uid="{930BA819-24FD-4A10-BCCB-54EEAB1CF8E2}"/>
    <cellStyle name="20% - Accent4 3 2 2" xfId="497" xr:uid="{EECCE36F-6F8F-49E0-B34E-A2E5C651A49C}"/>
    <cellStyle name="20% - Accent4 3 2 3" xfId="644" xr:uid="{2F314B26-06D4-4762-9777-B83613483B2F}"/>
    <cellStyle name="20% - Accent4 3 3" xfId="434" xr:uid="{DD8EE5B2-022E-4B7C-B135-2C09592351A9}"/>
    <cellStyle name="20% - Accent4 3 4" xfId="578" xr:uid="{A5D1D0C7-A8BB-47A2-96EA-62D39E07598D}"/>
    <cellStyle name="20% - Accent4 4" xfId="255" xr:uid="{334DB917-1D99-4C5B-BA46-F86B4E671325}"/>
    <cellStyle name="20% - Accent4 5" xfId="304" xr:uid="{2A33F46A-D1F4-4B8C-A158-560DBF1B8215}"/>
    <cellStyle name="20% - Accent4 5 2" xfId="476" xr:uid="{ED228748-6482-488F-A1CD-7ADE1584E823}"/>
    <cellStyle name="20% - Accent4 5 3" xfId="622" xr:uid="{2E60CF7D-87C5-42C2-A05A-49A2478DD4CB}"/>
    <cellStyle name="20% - Accent4 6" xfId="410" xr:uid="{10EED916-9101-4C03-8B9C-7DD699553004}"/>
    <cellStyle name="20% - Accent4 7" xfId="554" xr:uid="{53712C2A-7B4A-458A-AB33-C01561CE9C45}"/>
    <cellStyle name="20% - Accent4 8" xfId="697" xr:uid="{458FA1B7-B590-4365-B4A6-BA7BAD24AD0B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2 2 2" xfId="498" xr:uid="{1D86306B-9BD1-4AD3-A91D-DBCA215FE57E}"/>
    <cellStyle name="20% - Accent5 2 2 3" xfId="645" xr:uid="{F81318B0-7E09-42C8-B9B9-61DEF0A1E6E8}"/>
    <cellStyle name="20% - Accent5 2 3" xfId="435" xr:uid="{26D81158-61C6-4E17-ABE6-C7E7EE14685D}"/>
    <cellStyle name="20% - Accent5 2 4" xfId="579" xr:uid="{F720CD9A-4853-4044-91FC-554EA025D6E5}"/>
    <cellStyle name="20% - Accent5 3" xfId="236" xr:uid="{40BC7363-BC63-477D-A10D-0F2E3F55AA99}"/>
    <cellStyle name="20% - Accent5 3 2" xfId="350" xr:uid="{8732B83C-2480-4354-8CF6-248EE2B9ADCC}"/>
    <cellStyle name="20% - Accent5 3 2 2" xfId="518" xr:uid="{BF1FB6F2-B7AD-4A61-AEBD-F79CDFCADB37}"/>
    <cellStyle name="20% - Accent5 3 2 3" xfId="665" xr:uid="{847CB475-E5C7-48E3-BB80-6F5CF898775F}"/>
    <cellStyle name="20% - Accent5 3 3" xfId="455" xr:uid="{D51CB28A-3E2F-4687-AA42-F3F9E73DDA60}"/>
    <cellStyle name="20% - Accent5 3 4" xfId="600" xr:uid="{13E8E5A8-C829-4308-A460-4762CCA031C8}"/>
    <cellStyle name="20% - Accent5 4" xfId="256" xr:uid="{51945EF0-DD1C-4DB0-B69C-82333019E54F}"/>
    <cellStyle name="20% - Accent5 5" xfId="306" xr:uid="{546C1E55-CAAA-4E78-BCC7-72F62F6CC03E}"/>
    <cellStyle name="20% - Accent5 5 2" xfId="478" xr:uid="{712CC58B-8028-43EC-A508-FF491449446A}"/>
    <cellStyle name="20% - Accent5 5 3" xfId="624" xr:uid="{08ACB0AE-70BB-4C9D-BE67-A38EACD626AD}"/>
    <cellStyle name="20% - Accent5 6" xfId="413" xr:uid="{6D79C247-9518-45AF-B8B5-3D8A5CC7A6EA}"/>
    <cellStyle name="20% - Accent5 7" xfId="557" xr:uid="{30A640D8-37B8-4550-A4A8-995E5967D329}"/>
    <cellStyle name="20% - Accent5 8" xfId="699" xr:uid="{9AE0E4EF-C67B-4209-AF49-B31A3E150BF2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2 2 2" xfId="499" xr:uid="{B507CBB1-E801-488B-BE6B-3C5CCD6AAAB1}"/>
    <cellStyle name="20% - Accent6 2 2 3" xfId="646" xr:uid="{94635A0F-2F34-4BAA-BDE5-49DD7E693C01}"/>
    <cellStyle name="20% - Accent6 2 3" xfId="436" xr:uid="{8E75EACB-7CF0-4A6C-B29E-2412055A7AA1}"/>
    <cellStyle name="20% - Accent6 2 4" xfId="580" xr:uid="{3AE7E3A8-BE9E-4C41-BB05-5FA83218EBDE}"/>
    <cellStyle name="20% - Accent6 3" xfId="238" xr:uid="{7DBFE8B8-91F0-4793-ABE2-D608172D3176}"/>
    <cellStyle name="20% - Accent6 3 2" xfId="352" xr:uid="{A0B804D4-E275-4465-9F36-8E5FDA8D4B68}"/>
    <cellStyle name="20% - Accent6 3 2 2" xfId="520" xr:uid="{27938787-218C-40F0-BFD3-F2CBF3B4AED7}"/>
    <cellStyle name="20% - Accent6 3 2 3" xfId="667" xr:uid="{3B1C15FB-525B-428B-9983-3C3BCDE74A8C}"/>
    <cellStyle name="20% - Accent6 3 3" xfId="457" xr:uid="{DF3B5D8D-1452-44A7-9BAD-C21E4DA6BC0E}"/>
    <cellStyle name="20% - Accent6 3 4" xfId="602" xr:uid="{FC0CB144-AD4D-41E1-8A9E-A7B7EBFDF214}"/>
    <cellStyle name="20% - Accent6 4" xfId="257" xr:uid="{B7EE85F8-3FF2-474C-BBAE-44ACD6D57C35}"/>
    <cellStyle name="20% - Accent6 5" xfId="308" xr:uid="{68BBBA63-83F4-44A7-B274-B556A530E939}"/>
    <cellStyle name="20% - Accent6 5 2" xfId="480" xr:uid="{556F5A4F-9322-4F2F-A94B-FFF7A6F4194C}"/>
    <cellStyle name="20% - Accent6 5 3" xfId="626" xr:uid="{8020B7D7-E1FF-401D-867F-039F9D876303}"/>
    <cellStyle name="20% - Accent6 6" xfId="416" xr:uid="{CD78C615-BA09-4262-B0D1-6513B382AEBF}"/>
    <cellStyle name="20% - Accent6 7" xfId="560" xr:uid="{CE842339-AC53-4909-932E-830AE153522D}"/>
    <cellStyle name="20% - Accent6 8" xfId="701" xr:uid="{EFEA1DA8-E4BB-4864-A623-1368351157AB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2 2 2" xfId="500" xr:uid="{A2668E37-3A59-4154-8598-FDE09FF46FA7}"/>
    <cellStyle name="40% - Accent1 2 2 3" xfId="647" xr:uid="{D7E2E94E-A2D9-44A4-B67A-17D8733614CA}"/>
    <cellStyle name="40% - Accent1 2 3" xfId="437" xr:uid="{ACA7AA49-3B24-4A63-92BF-BEADF786DA90}"/>
    <cellStyle name="40% - Accent1 2 4" xfId="581" xr:uid="{0363205D-58D4-45E4-B147-39876C03595F}"/>
    <cellStyle name="40% - Accent1 3" xfId="233" xr:uid="{8C33CEFE-CC5C-41A1-839B-2AAF91F0C1D8}"/>
    <cellStyle name="40% - Accent1 3 2" xfId="347" xr:uid="{5ED618F1-0BEC-46B3-A47C-4FA55A325B90}"/>
    <cellStyle name="40% - Accent1 3 2 2" xfId="515" xr:uid="{EA31D1C6-B7E1-4546-9187-37ACB8966965}"/>
    <cellStyle name="40% - Accent1 3 2 3" xfId="662" xr:uid="{490BE144-131C-477D-92DD-C1DFACE213CC}"/>
    <cellStyle name="40% - Accent1 3 3" xfId="452" xr:uid="{C02B00A7-69E6-471A-948C-9631F7A9BABE}"/>
    <cellStyle name="40% - Accent1 3 4" xfId="597" xr:uid="{10134AE4-F2F9-4E0B-8045-6A8067AF2B34}"/>
    <cellStyle name="40% - Accent1 4" xfId="258" xr:uid="{8B777513-D1B3-4C8B-8CE8-8107E98F2BC1}"/>
    <cellStyle name="40% - Accent1 5" xfId="299" xr:uid="{7827FBB3-A345-4F9A-88F9-27F0AB5A21E0}"/>
    <cellStyle name="40% - Accent1 5 2" xfId="471" xr:uid="{FA47CBD9-C864-44BE-8539-D2518BD2BE6D}"/>
    <cellStyle name="40% - Accent1 5 3" xfId="617" xr:uid="{A5FE6B67-83F9-4B21-A391-D2979684F93D}"/>
    <cellStyle name="40% - Accent1 6" xfId="402" xr:uid="{5D5C0E05-40B6-4D0A-96A8-CD63C8EF6882}"/>
    <cellStyle name="40% - Accent1 7" xfId="546" xr:uid="{499B388C-0681-4856-99D2-2C29BF590413}"/>
    <cellStyle name="40% - Accent1 8" xfId="692" xr:uid="{2EC57928-2207-44D2-ACB2-8974A4EA6CAF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2 2 2" xfId="501" xr:uid="{134BF49D-03FA-4644-8742-FBC3E919AD11}"/>
    <cellStyle name="40% - Accent2 2 2 3" xfId="648" xr:uid="{6C2A7382-2613-4C88-A277-A2C5B4287EFD}"/>
    <cellStyle name="40% - Accent2 2 3" xfId="438" xr:uid="{B54C0DF4-ADC1-4C79-A6BC-21809FB91E04}"/>
    <cellStyle name="40% - Accent2 2 4" xfId="582" xr:uid="{DA3837A9-62D0-4A53-B25E-6BCE4F79C58B}"/>
    <cellStyle name="40% - Accent2 3" xfId="234" xr:uid="{B4CFA444-0118-42F0-9897-949B6223DBF9}"/>
    <cellStyle name="40% - Accent2 3 2" xfId="348" xr:uid="{F3A1CBFD-6F73-46AD-AB1A-D32E4FD21EA8}"/>
    <cellStyle name="40% - Accent2 3 2 2" xfId="516" xr:uid="{34D36D1A-AA18-492E-A9D4-E440FB67166D}"/>
    <cellStyle name="40% - Accent2 3 2 3" xfId="663" xr:uid="{A8541BE7-DBB3-43A4-8202-7FD4210B7B42}"/>
    <cellStyle name="40% - Accent2 3 3" xfId="453" xr:uid="{C75D91F0-4DB5-47EE-BCD1-F36512805169}"/>
    <cellStyle name="40% - Accent2 3 4" xfId="598" xr:uid="{05129DAF-0261-4880-B36C-819AFD684427}"/>
    <cellStyle name="40% - Accent2 4" xfId="259" xr:uid="{549F399D-1062-428D-9AC8-FBC8557D9F48}"/>
    <cellStyle name="40% - Accent2 5" xfId="301" xr:uid="{67B23B7D-1D29-42DA-970E-0A43CCBCC567}"/>
    <cellStyle name="40% - Accent2 5 2" xfId="473" xr:uid="{B47B0FFA-E90D-44B0-98FA-00CDA933A612}"/>
    <cellStyle name="40% - Accent2 5 3" xfId="619" xr:uid="{B0919331-5F3A-4A67-B803-BBFBF8C4FCB6}"/>
    <cellStyle name="40% - Accent2 6" xfId="405" xr:uid="{5D34ACBE-F302-4E08-9D42-4072FA9DFEE4}"/>
    <cellStyle name="40% - Accent2 7" xfId="549" xr:uid="{BDF83CD1-2C78-450B-9DB6-E9F580ED3C20}"/>
    <cellStyle name="40% - Accent2 8" xfId="694" xr:uid="{1AF5A637-D4BF-47E4-992E-B8A097F4E342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2 2 2" xfId="502" xr:uid="{D1BB7990-5024-4D6E-B487-7614F6EE4E2D}"/>
    <cellStyle name="40% - Accent3 2 2 2 3" xfId="649" xr:uid="{C407FBE6-4558-46DA-B34B-E6ADC6614526}"/>
    <cellStyle name="40% - Accent3 2 2 3" xfId="439" xr:uid="{22D31CA8-2A99-4D12-9457-12A6399E0841}"/>
    <cellStyle name="40% - Accent3 2 2 4" xfId="583" xr:uid="{B1EDB542-5E5A-44D1-AC85-7D4590435E12}"/>
    <cellStyle name="40% - Accent3 2 3" xfId="247" xr:uid="{A2DEB99B-97E6-4EF4-9FD3-29FEFC420526}"/>
    <cellStyle name="40% - Accent3 2 3 2" xfId="360" xr:uid="{02EDD4DA-104B-4770-ABD1-B23BB75CFE57}"/>
    <cellStyle name="40% - Accent3 2 3 2 2" xfId="528" xr:uid="{FCDA4FA9-7A03-4527-9B4F-F0BDAB80F56E}"/>
    <cellStyle name="40% - Accent3 2 3 2 3" xfId="675" xr:uid="{7627C327-0618-453A-8FAA-2795FE22D122}"/>
    <cellStyle name="40% - Accent3 2 3 3" xfId="465" xr:uid="{B869BA9D-0467-4142-BA95-C65B205992B0}"/>
    <cellStyle name="40% - Accent3 2 3 4" xfId="610" xr:uid="{E2D542D9-5A8B-406B-BD79-472D26F8CCE6}"/>
    <cellStyle name="40% - Accent3 2 4" xfId="315" xr:uid="{50109117-B1D7-416F-85D2-1905AC7D5D35}"/>
    <cellStyle name="40% - Accent3 2 4 2" xfId="486" xr:uid="{E24974DF-E6E0-4FAD-BE12-F71C6EA39334}"/>
    <cellStyle name="40% - Accent3 2 4 3" xfId="633" xr:uid="{59431F59-3E67-4AEC-BB3F-AC7B85582202}"/>
    <cellStyle name="40% - Accent3 2 5" xfId="423" xr:uid="{8C88AD88-EB60-4EBD-BFBA-08EC71A5427B}"/>
    <cellStyle name="40% - Accent3 2 6" xfId="567" xr:uid="{6C199100-54DA-46D7-B496-5F24F9FF7990}"/>
    <cellStyle name="40% - Accent3 3" xfId="188" xr:uid="{9C3CF690-7980-4ECA-8F06-921AB199361D}"/>
    <cellStyle name="40% - Accent3 3 2" xfId="335" xr:uid="{CEBB930C-DF9D-4C47-895D-3C9ED9C9EAA8}"/>
    <cellStyle name="40% - Accent3 3 2 2" xfId="503" xr:uid="{723DD0FC-1199-4C0B-A8FD-26AE7C4C2845}"/>
    <cellStyle name="40% - Accent3 3 2 3" xfId="650" xr:uid="{76E1322C-7F9A-4666-87B2-BD27E36FB824}"/>
    <cellStyle name="40% - Accent3 3 3" xfId="440" xr:uid="{694DC383-9302-4A9E-A529-E34152CD3D9E}"/>
    <cellStyle name="40% - Accent3 3 4" xfId="584" xr:uid="{9B23967B-C0FF-47C5-84FD-C5AB0192150C}"/>
    <cellStyle name="40% - Accent3 4" xfId="260" xr:uid="{80304610-2D8E-4B30-B34D-D8A71CE05920}"/>
    <cellStyle name="40% - Accent3 5" xfId="303" xr:uid="{199ED734-CD86-4C36-AE44-313B54D2560E}"/>
    <cellStyle name="40% - Accent3 5 2" xfId="475" xr:uid="{A95CEA32-6891-4C0B-8FC9-B8CD34F50A1A}"/>
    <cellStyle name="40% - Accent3 5 3" xfId="621" xr:uid="{873B086D-8EFE-4ADD-BB58-6AAF5B62A7E6}"/>
    <cellStyle name="40% - Accent3 6" xfId="408" xr:uid="{AA9ACA67-A789-4509-86BA-E06168708FD7}"/>
    <cellStyle name="40% - Accent3 7" xfId="552" xr:uid="{0EC6E635-2ABB-4A84-A75F-2ABA36930D3F}"/>
    <cellStyle name="40% - Accent3 8" xfId="696" xr:uid="{66F1B7DC-76B0-4D29-B4DE-DB3F4F0D4315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2 2 2" xfId="504" xr:uid="{419B4880-AC33-4A18-9D16-C437D9355620}"/>
    <cellStyle name="40% - Accent4 2 2 3" xfId="651" xr:uid="{E2305B21-C822-4D39-BAB9-73CFFDAFF90A}"/>
    <cellStyle name="40% - Accent4 2 3" xfId="441" xr:uid="{734B397A-E07F-4B1E-A87F-6616F55A196C}"/>
    <cellStyle name="40% - Accent4 2 4" xfId="585" xr:uid="{047E9E0B-636B-4704-BC07-92616EF7F87E}"/>
    <cellStyle name="40% - Accent4 3" xfId="235" xr:uid="{22417DB5-E2A1-4D00-B201-B53B427D4D20}"/>
    <cellStyle name="40% - Accent4 3 2" xfId="349" xr:uid="{9A1C5949-45A2-4555-9F6D-FB14F3F248CA}"/>
    <cellStyle name="40% - Accent4 3 2 2" xfId="517" xr:uid="{86AD1500-D519-419F-B985-ABF2E2E6CD4A}"/>
    <cellStyle name="40% - Accent4 3 2 3" xfId="664" xr:uid="{94E92C54-0AD8-4578-8DE2-3162462E20E9}"/>
    <cellStyle name="40% - Accent4 3 3" xfId="454" xr:uid="{689F55CF-C46E-4450-949C-6B32D1B70890}"/>
    <cellStyle name="40% - Accent4 3 4" xfId="599" xr:uid="{C3B57798-7EF3-4D7E-96CB-0A48C91D9CAD}"/>
    <cellStyle name="40% - Accent4 4" xfId="261" xr:uid="{4C8A0805-8AA3-4DB1-98CB-F31F9359EDB0}"/>
    <cellStyle name="40% - Accent4 5" xfId="305" xr:uid="{4B251191-154A-40E7-A5B0-F5FE257BE24F}"/>
    <cellStyle name="40% - Accent4 5 2" xfId="477" xr:uid="{7E0DE6E3-190C-4D5A-8400-6676FEFD221F}"/>
    <cellStyle name="40% - Accent4 5 3" xfId="623" xr:uid="{ADC5820B-B218-4C24-8D21-85F36AE5601B}"/>
    <cellStyle name="40% - Accent4 6" xfId="411" xr:uid="{9A5F11E6-C9A7-46F9-875F-BC9D7A769A54}"/>
    <cellStyle name="40% - Accent4 7" xfId="555" xr:uid="{8BE7ABD1-1C25-4778-89A8-A3B1C6FD44AC}"/>
    <cellStyle name="40% - Accent4 8" xfId="698" xr:uid="{D28C2BEA-026B-431E-A589-122E7EC496EB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2 2 2" xfId="505" xr:uid="{9AAC9F53-C97D-478F-B7D7-02A5D1E231AC}"/>
    <cellStyle name="40% - Accent5 2 2 3" xfId="652" xr:uid="{BA5BB0C9-1216-43CA-8C7F-0D36409925B5}"/>
    <cellStyle name="40% - Accent5 2 3" xfId="442" xr:uid="{3BE0039B-35BF-4E73-939E-345C6EAD9816}"/>
    <cellStyle name="40% - Accent5 2 4" xfId="586" xr:uid="{13957AD8-B0AD-4288-A124-87961622E2E7}"/>
    <cellStyle name="40% - Accent5 3" xfId="237" xr:uid="{F38E99A5-6F6D-4DC6-BAEE-A13B30749A74}"/>
    <cellStyle name="40% - Accent5 3 2" xfId="351" xr:uid="{48002B42-4D23-4F44-847A-76BC1AF48B43}"/>
    <cellStyle name="40% - Accent5 3 2 2" xfId="519" xr:uid="{4BBD9FB1-52AC-46EB-8C7C-E901BAFBDAE0}"/>
    <cellStyle name="40% - Accent5 3 2 3" xfId="666" xr:uid="{688665DD-7F6E-4F5C-9099-1E3FE6D722AF}"/>
    <cellStyle name="40% - Accent5 3 3" xfId="456" xr:uid="{D48993EB-0E55-4564-9646-4EF5B22237C6}"/>
    <cellStyle name="40% - Accent5 3 4" xfId="601" xr:uid="{B27654DD-0713-4882-905A-FC0A1434DC45}"/>
    <cellStyle name="40% - Accent5 4" xfId="262" xr:uid="{B47CD729-C3F7-4D30-A7E7-18FCFB9384B7}"/>
    <cellStyle name="40% - Accent5 5" xfId="307" xr:uid="{BF2053DF-5B31-4B9D-B385-CCAD6C7690C1}"/>
    <cellStyle name="40% - Accent5 5 2" xfId="479" xr:uid="{12131CFC-75DD-406A-A90C-0AD48ABB8B72}"/>
    <cellStyle name="40% - Accent5 5 3" xfId="625" xr:uid="{DA87AC71-791D-4C18-8E16-0F12DF338112}"/>
    <cellStyle name="40% - Accent5 6" xfId="414" xr:uid="{838CB0CC-32D0-461F-9816-82A8EA384AC7}"/>
    <cellStyle name="40% - Accent5 7" xfId="558" xr:uid="{938A02AA-83A5-409E-ADA4-974E9C00299E}"/>
    <cellStyle name="40% - Accent5 8" xfId="700" xr:uid="{79F88AFB-528B-4116-BF0B-7977ABA72372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2 2 2" xfId="506" xr:uid="{AEE881A5-7AE9-4997-8146-3A1F10772217}"/>
    <cellStyle name="40% - Accent6 2 2 3" xfId="653" xr:uid="{1988BDB5-49AF-4C41-8CE0-15AF109D0286}"/>
    <cellStyle name="40% - Accent6 2 3" xfId="443" xr:uid="{B83BC04A-B5C9-4765-A660-781554A145B5}"/>
    <cellStyle name="40% - Accent6 2 4" xfId="587" xr:uid="{973F1E65-2A12-4AB0-AF4D-B71294951EC8}"/>
    <cellStyle name="40% - Accent6 3" xfId="239" xr:uid="{88061550-1FA6-4BD2-B11A-00A693901AF5}"/>
    <cellStyle name="40% - Accent6 3 2" xfId="353" xr:uid="{152B9510-68A0-49D7-8915-5D25E0B9BF37}"/>
    <cellStyle name="40% - Accent6 3 2 2" xfId="521" xr:uid="{461E0B48-C29C-4895-9E49-6F6F1737C64A}"/>
    <cellStyle name="40% - Accent6 3 2 3" xfId="668" xr:uid="{06C2A612-E2E9-420F-92A7-CDAFD734C1D2}"/>
    <cellStyle name="40% - Accent6 3 3" xfId="458" xr:uid="{37D4E867-A15B-4049-84CB-30D6653A51FB}"/>
    <cellStyle name="40% - Accent6 3 4" xfId="603" xr:uid="{F040B2D2-5A11-4AB9-9F02-0EBDA3BC0521}"/>
    <cellStyle name="40% - Accent6 4" xfId="263" xr:uid="{10120615-3E3F-4139-B9C5-3692E7333EF1}"/>
    <cellStyle name="40% - Accent6 5" xfId="309" xr:uid="{85E09836-C196-48D4-9646-6C568398DFDF}"/>
    <cellStyle name="40% - Accent6 5 2" xfId="481" xr:uid="{51932311-F302-4AF0-AFEC-F1C0623F1CDC}"/>
    <cellStyle name="40% - Accent6 5 3" xfId="627" xr:uid="{3B192238-8E16-4739-9957-9C7E10945D89}"/>
    <cellStyle name="40% - Accent6 6" xfId="417" xr:uid="{CE7C6004-06A6-4B1B-ACF7-816AA42E73FD}"/>
    <cellStyle name="40% - Accent6 7" xfId="561" xr:uid="{5D958CF2-68C9-4B36-88E9-C6A7DC4CB99D}"/>
    <cellStyle name="40% - Accent6 8" xfId="702" xr:uid="{324BFC15-0B18-44BF-A1E0-82167F09BE22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1 4" xfId="403" xr:uid="{5DBE0589-4232-49F5-812C-A4F6BCED3BA9}"/>
    <cellStyle name="60% - Accent1 5" xfId="547" xr:uid="{D59AB503-0B26-4C96-8524-5D940791963D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2 4" xfId="406" xr:uid="{F5627EDE-E682-465D-9D1F-D118CD6EDB28}"/>
    <cellStyle name="60% - Accent2 5" xfId="550" xr:uid="{5B959A99-118C-47CE-B39C-2A62AA3A1EC3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3 6" xfId="409" xr:uid="{46637A8A-4297-41E6-BAF1-E773C745165F}"/>
    <cellStyle name="60% - Accent3 7" xfId="553" xr:uid="{F8EF9733-07EB-41ED-B6F6-863E2E9384F2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4 6" xfId="412" xr:uid="{BDB8699B-ADBD-4521-8A34-3395B894A8FE}"/>
    <cellStyle name="60% - Accent4 7" xfId="556" xr:uid="{904BA480-F31F-4D1E-B40B-E3656F8AA6A5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5 4" xfId="415" xr:uid="{97FF358C-2EF0-4DCA-902C-BB48F5929612}"/>
    <cellStyle name="60% - Accent5 5" xfId="559" xr:uid="{66791BF6-FBA4-4073-B562-1C70C14DDCB8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60% - Accent6 6" xfId="418" xr:uid="{6C0963F7-3A1A-49F5-82FE-CE0AAB94BDF1}"/>
    <cellStyle name="60% - Accent6 7" xfId="562" xr:uid="{8275E0AD-145F-4DDE-BBB9-DBDBE543B83C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alculation 2 5" xfId="532" xr:uid="{80EA1E4E-0792-49F2-8CDD-9DB3675CA249}"/>
    <cellStyle name="Calculation 2 6" xfId="683" xr:uid="{9CFA91C0-A9AA-48B0-B05F-A82A3A97D96D}"/>
    <cellStyle name="Calculation 2 7" xfId="590" xr:uid="{E4FCAAB1-9DBD-448D-8FCF-3E5A731697D7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2 2" xfId="523" xr:uid="{20382AEF-507A-41FE-9713-7F3F7110F229}"/>
    <cellStyle name="Comma 19 2 3" xfId="670" xr:uid="{036D860F-C369-4D06-836F-D28DA96EF6C7}"/>
    <cellStyle name="Comma 19 3" xfId="241" xr:uid="{09364125-AA71-40DB-B3C6-6BFD41F7464D}"/>
    <cellStyle name="Comma 19 4" xfId="460" xr:uid="{F477A857-0E92-4671-A252-023A41BF204C}"/>
    <cellStyle name="Comma 19 5" xfId="605" xr:uid="{8AE5CC41-D630-4177-AE04-04B29D2FB6DA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2 2" xfId="507" xr:uid="{7C3DBD12-55CE-40A6-AD91-611EF5C5F577}"/>
    <cellStyle name="Comma 2 2 2 3" xfId="654" xr:uid="{93B085AF-47CA-4D3D-8059-54DA87B8BDAA}"/>
    <cellStyle name="Comma 2 2 3" xfId="203" xr:uid="{89AB8884-F733-449C-AE7A-12097AC2A627}"/>
    <cellStyle name="Comma 2 2 4" xfId="444" xr:uid="{19E12DBB-EE46-452D-A498-55B0BA630A9F}"/>
    <cellStyle name="Comma 2 2 5" xfId="588" xr:uid="{E92BAC57-C4F5-445E-A064-B085BFA6BF5A}"/>
    <cellStyle name="Comma 2 3" xfId="248" xr:uid="{BA8E939A-B93A-4154-91FB-F6AF914A8C02}"/>
    <cellStyle name="Comma 2 3 2" xfId="361" xr:uid="{F1ED8589-0281-46E3-B46B-177F35A05B8D}"/>
    <cellStyle name="Comma 2 3 2 2" xfId="529" xr:uid="{0720A1B0-B8AD-4E61-9CD3-67FA6FCB3A19}"/>
    <cellStyle name="Comma 2 3 2 3" xfId="676" xr:uid="{01C5FB51-6FCA-4D19-BB28-6EDE13679EC2}"/>
    <cellStyle name="Comma 2 3 3" xfId="466" xr:uid="{D5CA8969-DBCC-4942-9628-E03149169FB4}"/>
    <cellStyle name="Comma 2 3 4" xfId="611" xr:uid="{4BDDA3E6-2B45-43A4-A4A2-DA40910C5472}"/>
    <cellStyle name="Comma 2 4" xfId="279" xr:uid="{3681BAD9-AD19-4234-B953-6B890ACD5432}"/>
    <cellStyle name="Comma 2 5" xfId="316" xr:uid="{0C178AA8-28C5-4254-B134-FAA54793A4FC}"/>
    <cellStyle name="Comma 2 5 2" xfId="487" xr:uid="{B421F866-52F5-4586-B278-AC21FC31A6A7}"/>
    <cellStyle name="Comma 2 5 3" xfId="634" xr:uid="{BC2DB13B-866C-4D97-A068-CCA1ECBC82B2}"/>
    <cellStyle name="Comma 2 6" xfId="154" xr:uid="{F70197A6-DA58-43B6-943A-AD1DCB6219F8}"/>
    <cellStyle name="Comma 2 7" xfId="424" xr:uid="{CA0AA54C-3DF2-4BD1-9698-E680398BF580}"/>
    <cellStyle name="Comma 2 8" xfId="568" xr:uid="{4978D8E6-5BEE-482E-AA69-6C9E9D45312B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24" xfId="396" xr:uid="{26B9BC8F-EA4D-45D6-87B4-E2BC305C933A}"/>
    <cellStyle name="Comma 25" xfId="399" xr:uid="{25E08F24-082F-4A87-82B8-BD9544518156}"/>
    <cellStyle name="Comma 26" xfId="543" xr:uid="{BDB0CD08-8083-4621-843E-AD7C8B5C6C4A}"/>
    <cellStyle name="Comma 27" xfId="713" xr:uid="{5FC99627-DED4-41F2-98B7-E6D842602467}"/>
    <cellStyle name="Comma 28" xfId="714" xr:uid="{A0D3904B-441A-4BEB-9516-280A3AF93F74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2 3" xfId="508" xr:uid="{CA4946FD-60E0-4280-840F-EDC47B5BFBC3}"/>
    <cellStyle name="Comma 4 2 4" xfId="655" xr:uid="{0B7E962F-1938-4176-A36F-159B805A5550}"/>
    <cellStyle name="Comma 4 3" xfId="204" xr:uid="{64B597EF-614B-48C9-9308-DFFB65FAF003}"/>
    <cellStyle name="Comma 4 4" xfId="445" xr:uid="{DA87397E-E44E-4267-8654-6BC7340240A9}"/>
    <cellStyle name="Comma 4 5" xfId="589" xr:uid="{7399C8CB-67B6-45AB-898F-DD4241B96AF4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2 2 2" xfId="680" xr:uid="{B0CEF87C-9115-4BEF-A6A8-4FDAA47C390D}"/>
    <cellStyle name="Hyperlink 3" xfId="6" xr:uid="{00000000-0005-0000-0000-000005000000}"/>
    <cellStyle name="Hyperlink 3 2" xfId="242" xr:uid="{E8BFBA16-071E-4BDC-AF6C-C92DAA0BB06A}"/>
    <cellStyle name="Hyperlink 3 2 2" xfId="710" xr:uid="{56449364-7030-451C-8ABF-8ED142694BDD}"/>
    <cellStyle name="Hyperlink 3 3" xfId="704" xr:uid="{93C3A190-8EEF-47E8-B0EB-560A0D3C415E}"/>
    <cellStyle name="Hyperlink 4" xfId="92" xr:uid="{3670B919-B3BB-4E75-9930-7D6F569E3C0E}"/>
    <cellStyle name="Hyperlink 4 2" xfId="164" xr:uid="{EC59D5CE-C330-4E4D-849B-4EECA6AA0335}"/>
    <cellStyle name="Hyperlink 4 3" xfId="706" xr:uid="{1BF57F09-1B9A-4056-8335-9356CEF03DB0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Input 2 5" xfId="533" xr:uid="{089FDFEE-2E79-4391-A2E9-EFE50EEF453F}"/>
    <cellStyle name="Input 2 6" xfId="684" xr:uid="{57CAE848-7417-42A2-AEA6-621A434AB6E7}"/>
    <cellStyle name="Input 2 7" xfId="614" xr:uid="{876B3325-A301-4A27-9ED1-53DAA88CD071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 5" xfId="388" xr:uid="{86AD59B7-3B91-4AAD-A645-4E2B6A5D9A8F}"/>
    <cellStyle name="Normal 11 2 6" xfId="393" xr:uid="{24853276-A8DC-41DC-AE66-C1617FEF48B5}"/>
    <cellStyle name="Normal 11 20" xfId="378" xr:uid="{C0BDACBF-3619-4FBE-8B6C-5F7DC0F97B12}"/>
    <cellStyle name="Normal 11 21" xfId="387" xr:uid="{74D9CBF0-B598-4AD2-B871-13389B41360D}"/>
    <cellStyle name="Normal 11 22" xfId="392" xr:uid="{1F3CAAB4-69E5-46FB-B133-84649FEA4BD8}"/>
    <cellStyle name="Normal 11 23" xfId="538" xr:uid="{758BDC14-02AB-4456-9C5D-DE87D645DC19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2 5" xfId="391" xr:uid="{6A4C59DC-FAE5-430A-928C-82D960659C28}"/>
    <cellStyle name="Normal 11 6 3 3" xfId="385" xr:uid="{22F6C968-E729-4542-A5F8-49C2B25E9079}"/>
    <cellStyle name="Normal 11 6 3 4" xfId="540" xr:uid="{71B0D753-DA45-4763-9654-BF009FB9A7EC}"/>
    <cellStyle name="Normal 11 6 4" xfId="46" xr:uid="{8BEB9B88-2ECA-4F90-BDBA-C56B823B5754}"/>
    <cellStyle name="Normal 11 6 4 2" xfId="382" xr:uid="{E35375AA-E205-4716-B41F-9DAAC86A63D1}"/>
    <cellStyle name="Normal 11 6 4 2 2" xfId="390" xr:uid="{B2EA22BC-704B-49CA-ACF5-33AA469B7774}"/>
    <cellStyle name="Normal 11 6 4 3" xfId="384" xr:uid="{2CD41167-0A76-4530-B037-E4CBB634296A}"/>
    <cellStyle name="Normal 11 6 4 4" xfId="389" xr:uid="{7BB3A74E-95FF-4A27-B824-3C3753CE7DF9}"/>
    <cellStyle name="Normal 11 6 4 5" xfId="539" xr:uid="{AAFF4551-8E6A-430B-A687-9C4F18162987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1 9 2" xfId="394" xr:uid="{07A513BC-77EF-480F-AC79-ABF1EE013C34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8 2 2" xfId="513" xr:uid="{3204510C-1F56-4554-B8F8-4E408B4775BA}"/>
    <cellStyle name="Normal 18 2 3" xfId="660" xr:uid="{05171BB9-FAEC-42A8-A720-C15A2EA5A137}"/>
    <cellStyle name="Normal 18 3" xfId="450" xr:uid="{0A31AA5F-164E-4594-AE34-7D996B785216}"/>
    <cellStyle name="Normal 18 4" xfId="595" xr:uid="{C7A33E71-250C-4C3E-A41E-02678379F5BC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 3" xfId="679" xr:uid="{6868F2E6-7E54-4199-AC18-36D90DA214E6}"/>
    <cellStyle name="Normal 2 3 2" xfId="711" xr:uid="{6DDB4845-DAD3-4A81-AB7D-B655807C9C16}"/>
    <cellStyle name="Normal 2 4" xfId="690" xr:uid="{91385C19-BAC9-46F3-8B66-69391BF29EC0}"/>
    <cellStyle name="Normal 20" xfId="297" xr:uid="{5675D048-D926-4D76-A9C5-0E9E74212AD8}"/>
    <cellStyle name="Normal 20 2" xfId="469" xr:uid="{CECAC5B7-563F-4937-99A1-2C86E434C1DA}"/>
    <cellStyle name="Normal 20 3" xfId="615" xr:uid="{FD7A83D8-BD6D-4FCF-B83B-AA45FAF6A93C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24" xfId="397" xr:uid="{9E817E53-3D19-43D1-8674-DC0BA6F4F565}"/>
    <cellStyle name="Normal 25" xfId="541" xr:uid="{D0984E85-95B5-4658-A392-795C71CE7E1F}"/>
    <cellStyle name="Normal 26" xfId="715" xr:uid="{D87609AC-4935-45B9-BE0E-671C4278EB9E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3 4" xfId="703" xr:uid="{DD119CBA-0B0E-4AAB-B479-CBAA1D8F72EB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4 4" xfId="705" xr:uid="{95F72145-D08C-4017-8876-1E3932DBCB45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2 3" xfId="712" xr:uid="{380BCFAF-1B57-4791-B503-66DACDAADCB7}"/>
    <cellStyle name="Normal 5 3" xfId="52" xr:uid="{61D29457-DAC5-44A6-B4DB-3F6E4FD534E7}"/>
    <cellStyle name="Normal 5 4" xfId="168" xr:uid="{72593085-5AF4-4127-9467-36099588CA02}"/>
    <cellStyle name="Normal 5 5" xfId="707" xr:uid="{3B8C0E0A-D9D3-41C3-9BA8-F4889B9F979A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2 2 2" xfId="509" xr:uid="{07B0E387-4C54-4313-94CC-7440F183E9FB}"/>
    <cellStyle name="Normal 6 2 2 3" xfId="656" xr:uid="{95209F2F-2799-4722-BF83-72E8AAC9A775}"/>
    <cellStyle name="Normal 6 2 3" xfId="446" xr:uid="{1BE2B0A0-C1D6-474D-A6F1-71485FCF5C32}"/>
    <cellStyle name="Normal 6 2 4" xfId="591" xr:uid="{18DDE48D-BE59-413A-9046-FD4D72C2A234}"/>
    <cellStyle name="Normal 6 3" xfId="250" xr:uid="{946EAB2F-3003-438D-AECA-E36A970A2718}"/>
    <cellStyle name="Normal 6 3 2" xfId="362" xr:uid="{12BACF06-EA48-4382-91FB-563037CC3A6F}"/>
    <cellStyle name="Normal 6 3 2 2" xfId="530" xr:uid="{CB892455-AC46-4A8E-9402-A820140506A7}"/>
    <cellStyle name="Normal 6 3 2 3" xfId="677" xr:uid="{D9A5E20C-F6E9-4075-8B17-509F36503E1B}"/>
    <cellStyle name="Normal 6 3 3" xfId="467" xr:uid="{42FEE5EB-A9D9-4285-A8C9-AAED5BBFD307}"/>
    <cellStyle name="Normal 6 3 4" xfId="612" xr:uid="{5328C679-17D9-4346-8526-25D2F80AE486}"/>
    <cellStyle name="Normal 6 4" xfId="289" xr:uid="{0EC8BBF7-2579-442B-B652-39916CBF4B7C}"/>
    <cellStyle name="Normal 6 5" xfId="317" xr:uid="{2E522AAE-3A43-4D85-9BC9-D75DF67CA993}"/>
    <cellStyle name="Normal 6 5 2" xfId="488" xr:uid="{538C26A6-2F02-4606-9B8B-664A1F5ADA0C}"/>
    <cellStyle name="Normal 6 5 3" xfId="635" xr:uid="{8A8FF758-3239-4A12-AF5F-4ED45691D4C9}"/>
    <cellStyle name="Normal 6 6" xfId="169" xr:uid="{808CEDD4-B41F-4D2C-982F-C9996D1BAA59}"/>
    <cellStyle name="Normal 6 7" xfId="425" xr:uid="{9615BE54-4CBE-4916-AB95-691C065DCB5C}"/>
    <cellStyle name="Normal 6 8" xfId="569" xr:uid="{83EC3171-AECC-4ECB-86EA-69BF79F723DC}"/>
    <cellStyle name="Normal 7" xfId="16" xr:uid="{3D34A042-2E55-4E8C-B59D-A542FFF81875}"/>
    <cellStyle name="Normal 7 2" xfId="213" xr:uid="{820CAB25-D625-44C5-95BC-3DAC14BF070F}"/>
    <cellStyle name="Normal 7 3" xfId="709" xr:uid="{C2B718B7-21C8-492B-A3B7-4F4EEA2B4D9C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2 3" xfId="510" xr:uid="{32A30A07-1A4B-467F-8E16-4E192EDE4574}"/>
    <cellStyle name="Normal 9 2 4" xfId="657" xr:uid="{9AC8D8B5-476D-41AD-B206-8AFA8F242C3E}"/>
    <cellStyle name="Normal 9 3" xfId="215" xr:uid="{6F223409-C652-4E49-AD52-D3363DDC15E9}"/>
    <cellStyle name="Normal 9 4" xfId="447" xr:uid="{463FAE72-5C43-4756-845D-1BCA8D9EF04E}"/>
    <cellStyle name="Normal 9 5" xfId="592" xr:uid="{7340B248-285D-423A-A52F-B95975014885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2 2 2" xfId="511" xr:uid="{7A438C1B-4F76-4A9B-9E10-D8E721394356}"/>
    <cellStyle name="Note 2 2 2 3" xfId="658" xr:uid="{62B5CEB0-88AE-4D6C-A4A5-38E075156380}"/>
    <cellStyle name="Note 2 2 3" xfId="448" xr:uid="{F0C7965A-A9A6-4729-AE4F-E6B95123599A}"/>
    <cellStyle name="Note 2 2 4" xfId="593" xr:uid="{B2259358-4167-4319-B861-A34989484794}"/>
    <cellStyle name="Note 2 3" xfId="251" xr:uid="{FD29B074-0975-4C84-B020-F6AFF1851528}"/>
    <cellStyle name="Note 2 3 2" xfId="363" xr:uid="{50FF0CC4-B61A-4B7C-A7A5-65EFC15AC715}"/>
    <cellStyle name="Note 2 3 2 2" xfId="531" xr:uid="{650DE1C0-D70A-4440-88AC-4EFAD5A2CE21}"/>
    <cellStyle name="Note 2 3 2 3" xfId="678" xr:uid="{C69DA920-423B-48FA-9BBC-8DF52886652D}"/>
    <cellStyle name="Note 2 3 3" xfId="468" xr:uid="{02971889-FFED-466D-99FF-DF1210F3BF73}"/>
    <cellStyle name="Note 2 3 4" xfId="613" xr:uid="{A73A64AF-5924-48A4-BBD0-AD593A3CB2FD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4 5" xfId="535" xr:uid="{EA6AC9D5-3811-477F-B153-E26EA137DE61}"/>
    <cellStyle name="Note 2 4 6" xfId="686" xr:uid="{6B57FADE-FE01-4447-8928-1E907D663009}"/>
    <cellStyle name="Note 2 4 7" xfId="689" xr:uid="{E81C0467-8F34-438D-81FC-6C53AD06C956}"/>
    <cellStyle name="Note 2 5" xfId="318" xr:uid="{B3F27023-4B65-487D-85FA-119154F7A601}"/>
    <cellStyle name="Note 2 5 2" xfId="489" xr:uid="{BDFF026C-22A7-4B40-B2D0-0A45C4939EFE}"/>
    <cellStyle name="Note 2 5 3" xfId="636" xr:uid="{20CAD3C3-DFA2-47D9-A68D-D525C876B245}"/>
    <cellStyle name="Note 2 6" xfId="426" xr:uid="{57CD975C-CBA2-43FD-8B00-BF6155D01DCB}"/>
    <cellStyle name="Note 2 7" xfId="570" xr:uid="{2224C499-E0AE-4D09-869C-6020AB358640}"/>
    <cellStyle name="Note 2 8" xfId="708" xr:uid="{749821F6-49B7-48B9-B078-6A6B3C58E919}"/>
    <cellStyle name="Note 3" xfId="217" xr:uid="{A7C0021F-FA46-4B96-89A8-7F34D94EC6D7}"/>
    <cellStyle name="Note 3 2" xfId="344" xr:uid="{C8A3A4EC-5754-4556-B45B-E9F0EB3392A3}"/>
    <cellStyle name="Note 3 2 2" xfId="512" xr:uid="{2AF03C31-DCBA-48A0-8DCC-65215EB5B118}"/>
    <cellStyle name="Note 3 2 3" xfId="659" xr:uid="{2BC0DE3D-F21D-48F7-81F7-6653E8492873}"/>
    <cellStyle name="Note 3 3" xfId="449" xr:uid="{CE7A78AD-10EA-4619-A3B2-CE8D4035EA71}"/>
    <cellStyle name="Note 3 4" xfId="594" xr:uid="{B2D59685-4323-445D-B2BA-E7E5F0E13C9D}"/>
    <cellStyle name="Note 4" xfId="232" xr:uid="{674244FC-6EC5-411F-89FA-4B0E9038DE2A}"/>
    <cellStyle name="Note 4 2" xfId="346" xr:uid="{476131BE-25DB-416D-A65E-21EF7F48DC69}"/>
    <cellStyle name="Note 4 2 2" xfId="514" xr:uid="{C1EB9865-7604-4A48-BEDC-554B4890F689}"/>
    <cellStyle name="Note 4 2 3" xfId="661" xr:uid="{BE07A902-D462-4B26-A2E5-AFC6A6BBE78E}"/>
    <cellStyle name="Note 4 3" xfId="451" xr:uid="{1D673770-0746-449A-A0A5-B38D3D2F2DF2}"/>
    <cellStyle name="Note 4 4" xfId="596" xr:uid="{123407A7-4C91-4A89-933D-D8BC8B42CB31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5 5" xfId="534" xr:uid="{4F047C22-9170-4F33-93B2-2242B8DF5BE0}"/>
    <cellStyle name="Note 5 6" xfId="685" xr:uid="{9EE5294B-46D1-4D95-A3C5-B18D6D691518}"/>
    <cellStyle name="Note 5 7" xfId="682" xr:uid="{79E54DEE-25C0-4E50-82E0-8862A9294BAF}"/>
    <cellStyle name="Note 6" xfId="143" xr:uid="{76A629B7-C611-430C-B43D-08A666E8CF1D}"/>
    <cellStyle name="Note 7" xfId="400" xr:uid="{6D65B6CE-61EF-45DD-BCDA-5D6653CCCB50}"/>
    <cellStyle name="Note 8" xfId="544" xr:uid="{96248A65-E6FA-4D5E-89DA-12675FD4A0C8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Output 2 5" xfId="536" xr:uid="{0E638A27-1413-4B7C-9386-0C099ECE9030}"/>
    <cellStyle name="Output 2 6" xfId="687" xr:uid="{B86CEFA5-F27C-4E54-86D1-BC95754A7519}"/>
    <cellStyle name="Output 2 7" xfId="681" xr:uid="{06BF1161-9865-4E22-AF0A-00AD8D1A3654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2 2 2" xfId="522" xr:uid="{F6493DB8-E085-49B5-90A8-552B63B8E6B1}"/>
    <cellStyle name="Percent 12 2 3" xfId="669" xr:uid="{7B7ABCA6-DF0F-418F-BCF5-613E7F8BB755}"/>
    <cellStyle name="Percent 12 3" xfId="459" xr:uid="{86259A49-0CFD-4911-95F0-A96FA8BD0AD2}"/>
    <cellStyle name="Percent 12 4" xfId="604" xr:uid="{087148AA-1620-4EAD-8B33-BA2C458E3620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17" xfId="395" xr:uid="{DFECE782-C944-4E99-AF4B-F8CE5889D79D}"/>
    <cellStyle name="Percent 18" xfId="398" xr:uid="{5BB29555-DD0A-4490-B063-F3A79C7F0D2B}"/>
    <cellStyle name="Percent 19" xfId="542" xr:uid="{3A34358A-AA99-4ABC-A7FA-33BF007DF2D3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Total 2 5" xfId="537" xr:uid="{A90B6C78-34DA-4288-9E9C-310C6FDEB6C8}"/>
    <cellStyle name="Total 2 6" xfId="688" xr:uid="{82303D14-93FF-4F9E-B1E7-8D6456A1D49D}"/>
    <cellStyle name="Total 2 7" xfId="628" xr:uid="{D8FD7153-B3C9-458B-BF92-DC666F0DB06F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0E2841"/>
      <color rgb="FFFFFF00"/>
      <color rgb="FFFFCC66"/>
      <color rgb="FFA991D5"/>
      <color rgb="FFCAEDFB"/>
      <color rgb="FFB3A2C7"/>
      <color rgb="FF9429FF"/>
      <color rgb="FF0000FF"/>
      <color rgb="FF00B050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soybean crush and exports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5976947442301E-2"/>
          <c:y val="0.19321675699628454"/>
          <c:w val="0.90113999294488301"/>
          <c:h val="0.56101527912259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1'!$B$1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  <c:pt idx="8">
                  <c:v>2025/26*</c:v>
                </c:pt>
              </c:strCache>
            </c:strRef>
          </c:cat>
          <c:val>
            <c:numRef>
              <c:f>'Figure 1'!$B$2:$B$10</c:f>
              <c:numCache>
                <c:formatCode>_(* #,##0_);_(* \(#,##0\);_(* "-"??_);_(@_)</c:formatCode>
                <c:ptCount val="9"/>
                <c:pt idx="0">
                  <c:v>2133.7308779136683</c:v>
                </c:pt>
                <c:pt idx="1">
                  <c:v>1753.4299779624448</c:v>
                </c:pt>
                <c:pt idx="2">
                  <c:v>1682.8750323994002</c:v>
                </c:pt>
                <c:pt idx="3">
                  <c:v>2265.7617178866712</c:v>
                </c:pt>
                <c:pt idx="4">
                  <c:v>2152.0905451916174</c:v>
                </c:pt>
                <c:pt idx="5">
                  <c:v>1979.5441354396919</c:v>
                </c:pt>
                <c:pt idx="6">
                  <c:v>1694.9317093273664</c:v>
                </c:pt>
                <c:pt idx="7">
                  <c:v>1850</c:v>
                </c:pt>
                <c:pt idx="8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7-4E2D-9DB1-49C858F22559}"/>
            </c:ext>
          </c:extLst>
        </c:ser>
        <c:ser>
          <c:idx val="4"/>
          <c:order val="1"/>
          <c:tx>
            <c:strRef>
              <c:f>'Figure 1'!$C$1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chemeClr val="accent3"/>
            </a:solidFill>
            <a:effectLst/>
          </c:spPr>
          <c:invertIfNegative val="0"/>
          <c:cat>
            <c:strRef>
              <c:f>'Figure 1'!$A$2:$A$10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  <c:pt idx="8">
                  <c:v>2025/26*</c:v>
                </c:pt>
              </c:strCache>
            </c:strRef>
          </c:cat>
          <c:val>
            <c:numRef>
              <c:f>'Figure 1'!$C$2:$C$10</c:f>
              <c:numCache>
                <c:formatCode>_(* #,##0_);_(* \(#,##0\);_(* "-"??_);_(@_)</c:formatCode>
                <c:ptCount val="9"/>
                <c:pt idx="0">
                  <c:v>2054.9319999999998</c:v>
                </c:pt>
                <c:pt idx="1">
                  <c:v>2091.9902999999999</c:v>
                </c:pt>
                <c:pt idx="2">
                  <c:v>2164.5542</c:v>
                </c:pt>
                <c:pt idx="3">
                  <c:v>2140.5846999999999</c:v>
                </c:pt>
                <c:pt idx="4">
                  <c:v>2203.8721999999998</c:v>
                </c:pt>
                <c:pt idx="5">
                  <c:v>2211.9378000000002</c:v>
                </c:pt>
                <c:pt idx="6">
                  <c:v>2285.3031999999998</c:v>
                </c:pt>
                <c:pt idx="7">
                  <c:v>2420</c:v>
                </c:pt>
                <c:pt idx="8">
                  <c:v>2490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67-4E2D-9DB1-49C858F22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249458671009363"/>
              <c:y val="0.814770014807174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5.5591910424848028E-3"/>
              <c:y val="0.111363794142901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4937982893897906"/>
          <c:y val="0.12294442818472143"/>
          <c:w val="0.30406111074999687"/>
          <c:h val="4.7617637137050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U.S. vegetable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oil use in biomass-based diesel production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170112828198E-3"/>
          <c:y val="1.57238389762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143710614963281E-2"/>
          <c:y val="0.26521316261435873"/>
          <c:w val="0.89182817298371364"/>
          <c:h val="0.3606796051901963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Soybean oil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  <c:pt idx="8">
                  <c:v>2025/26*</c:v>
                </c:pt>
              </c:strCache>
            </c:strRef>
          </c:cat>
          <c:val>
            <c:numRef>
              <c:f>'Figure 2'!$B$2:$B$10</c:f>
              <c:numCache>
                <c:formatCode>_(* #,##0.0_);_(* \(#,##0.0\);_(* "-"??_);_(@_)</c:formatCode>
                <c:ptCount val="9"/>
                <c:pt idx="0">
                  <c:v>7.33371</c:v>
                </c:pt>
                <c:pt idx="1">
                  <c:v>8.6632999999999996</c:v>
                </c:pt>
                <c:pt idx="2">
                  <c:v>8.6578199999999992</c:v>
                </c:pt>
                <c:pt idx="3">
                  <c:v>8.92</c:v>
                </c:pt>
                <c:pt idx="4">
                  <c:v>10.37875</c:v>
                </c:pt>
                <c:pt idx="5">
                  <c:v>12.51033</c:v>
                </c:pt>
                <c:pt idx="6">
                  <c:v>12.989042100000001</c:v>
                </c:pt>
                <c:pt idx="7">
                  <c:v>13.1</c:v>
                </c:pt>
                <c:pt idx="8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2-408E-9E91-0F3AD9D36029}"/>
            </c:ext>
          </c:extLst>
        </c:ser>
        <c:ser>
          <c:idx val="3"/>
          <c:order val="1"/>
          <c:tx>
            <c:strRef>
              <c:f>'Figure 2'!$C$1</c:f>
              <c:strCache>
                <c:ptCount val="1"/>
                <c:pt idx="0">
                  <c:v>Canola oil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2'!$A$2:$A$10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  <c:pt idx="8">
                  <c:v>2025/26*</c:v>
                </c:pt>
              </c:strCache>
            </c:strRef>
          </c:cat>
          <c:val>
            <c:numRef>
              <c:f>'Figure 2'!$C$2:$C$10</c:f>
              <c:numCache>
                <c:formatCode>_(* #,##0.0_);_(* \(#,##0.0\);_(* "-"??_);_(@_)</c:formatCode>
                <c:ptCount val="9"/>
                <c:pt idx="0">
                  <c:v>1.3843699999999999</c:v>
                </c:pt>
                <c:pt idx="1">
                  <c:v>1.1000000000000001</c:v>
                </c:pt>
                <c:pt idx="2">
                  <c:v>1.3175999999999999</c:v>
                </c:pt>
                <c:pt idx="3">
                  <c:v>1.1499999999999999</c:v>
                </c:pt>
                <c:pt idx="4">
                  <c:v>1.335</c:v>
                </c:pt>
                <c:pt idx="5">
                  <c:v>2.9143020000000002</c:v>
                </c:pt>
                <c:pt idx="6">
                  <c:v>4.3368987146988012</c:v>
                </c:pt>
                <c:pt idx="7">
                  <c:v>3.9</c:v>
                </c:pt>
                <c:pt idx="8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2-408E-9E91-0F3AD9D36029}"/>
            </c:ext>
          </c:extLst>
        </c:ser>
        <c:ser>
          <c:idx val="1"/>
          <c:order val="2"/>
          <c:tx>
            <c:strRef>
              <c:f>'Figure 2'!$D$1</c:f>
              <c:strCache>
                <c:ptCount val="1"/>
                <c:pt idx="0">
                  <c:v>Corn oil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strRef>
              <c:f>'Figure 2'!$A$2:$A$10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  <c:pt idx="8">
                  <c:v>2025/26*</c:v>
                </c:pt>
              </c:strCache>
            </c:strRef>
          </c:cat>
          <c:val>
            <c:numRef>
              <c:f>'Figure 2'!$D$2:$D$9</c:f>
              <c:numCache>
                <c:formatCode>_(* #,##0.0_);_(* \(#,##0.0\);_(* "-"??_);_(@_)</c:formatCode>
                <c:ptCount val="8"/>
                <c:pt idx="0">
                  <c:v>2.3361190000000001</c:v>
                </c:pt>
                <c:pt idx="1">
                  <c:v>2.8254999999999999</c:v>
                </c:pt>
                <c:pt idx="2">
                  <c:v>2.2966030000000002</c:v>
                </c:pt>
                <c:pt idx="3">
                  <c:v>2.4861309999999999</c:v>
                </c:pt>
                <c:pt idx="4">
                  <c:v>3.4057064429999957</c:v>
                </c:pt>
                <c:pt idx="5">
                  <c:v>3.8938603241012983</c:v>
                </c:pt>
                <c:pt idx="6">
                  <c:v>4.2112297811424977</c:v>
                </c:pt>
                <c:pt idx="7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B2-408E-9E91-0F3AD9D36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48474365985292"/>
              <c:y val="0.785570367084396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0.14821367917245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875986576803269"/>
          <c:y val="0.13158924176794159"/>
          <c:w val="0.53353142081660987"/>
          <c:h val="6.2000107129465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Global major oilseed production and crush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1.7148371159487414E-3"/>
          <c:y val="1.09326753317511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2555595822488722E-2"/>
          <c:y val="0.19320259006429646"/>
          <c:w val="0.91780252363852011"/>
          <c:h val="0.520358491098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3'!$E$2</c:f>
              <c:strCache>
                <c:ptCount val="1"/>
                <c:pt idx="0">
                  <c:v>Soybean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3'!$A$3:$A$13</c:f>
              <c:strCache>
                <c:ptCount val="1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  <c:pt idx="10">
                  <c:v>2025/26*</c:v>
                </c:pt>
              </c:strCache>
            </c:strRef>
          </c:cat>
          <c:val>
            <c:numRef>
              <c:f>'Figure 3'!$E$3:$E$13</c:f>
              <c:numCache>
                <c:formatCode>0</c:formatCode>
                <c:ptCount val="11"/>
                <c:pt idx="0">
                  <c:v>316.072</c:v>
                </c:pt>
                <c:pt idx="1">
                  <c:v>350.80500000000001</c:v>
                </c:pt>
                <c:pt idx="2">
                  <c:v>343.63200000000001</c:v>
                </c:pt>
                <c:pt idx="3">
                  <c:v>363.45100000000002</c:v>
                </c:pt>
                <c:pt idx="4">
                  <c:v>341.72800000000001</c:v>
                </c:pt>
                <c:pt idx="5">
                  <c:v>369.62599999999998</c:v>
                </c:pt>
                <c:pt idx="6">
                  <c:v>360.53100000000001</c:v>
                </c:pt>
                <c:pt idx="7">
                  <c:v>378.35</c:v>
                </c:pt>
                <c:pt idx="8">
                  <c:v>396.93</c:v>
                </c:pt>
                <c:pt idx="9">
                  <c:v>420.87</c:v>
                </c:pt>
                <c:pt idx="10">
                  <c:v>426.81700000000001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C2-4634-8E2C-A46EF826FEBD}"/>
            </c:ext>
          </c:extLst>
        </c:ser>
        <c:ser>
          <c:idx val="3"/>
          <c:order val="1"/>
          <c:tx>
            <c:strRef>
              <c:f>'Figure 3'!$B$2</c:f>
              <c:strCache>
                <c:ptCount val="1"/>
                <c:pt idx="0">
                  <c:v>Cottonseed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3'!$A$3:$A$13</c:f>
              <c:strCache>
                <c:ptCount val="1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  <c:pt idx="10">
                  <c:v>2025/26*</c:v>
                </c:pt>
              </c:strCache>
            </c:strRef>
          </c:cat>
          <c:val>
            <c:numRef>
              <c:f>'Figure 3'!$B$3:$B$13</c:f>
              <c:numCache>
                <c:formatCode>0</c:formatCode>
                <c:ptCount val="11"/>
                <c:pt idx="0">
                  <c:v>36.165999999999997</c:v>
                </c:pt>
                <c:pt idx="1">
                  <c:v>38.798000000000002</c:v>
                </c:pt>
                <c:pt idx="2">
                  <c:v>42.853000000000002</c:v>
                </c:pt>
                <c:pt idx="3">
                  <c:v>40.031999999999996</c:v>
                </c:pt>
                <c:pt idx="4">
                  <c:v>41.594999999999999</c:v>
                </c:pt>
                <c:pt idx="5">
                  <c:v>39.942999999999998</c:v>
                </c:pt>
                <c:pt idx="6">
                  <c:v>39.534999999999997</c:v>
                </c:pt>
                <c:pt idx="7">
                  <c:v>40.502000000000002</c:v>
                </c:pt>
                <c:pt idx="8">
                  <c:v>39.692</c:v>
                </c:pt>
                <c:pt idx="9">
                  <c:v>41.884999999999998</c:v>
                </c:pt>
                <c:pt idx="10">
                  <c:v>41.073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C2-4634-8E2C-A46EF826FEBD}"/>
            </c:ext>
          </c:extLst>
        </c:ser>
        <c:ser>
          <c:idx val="4"/>
          <c:order val="2"/>
          <c:tx>
            <c:strRef>
              <c:f>'Figure 3'!$C$2</c:f>
              <c:strCache>
                <c:ptCount val="1"/>
                <c:pt idx="0">
                  <c:v>Peanut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3'!$A$3:$A$13</c:f>
              <c:strCache>
                <c:ptCount val="1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  <c:pt idx="10">
                  <c:v>2025/26*</c:v>
                </c:pt>
              </c:strCache>
            </c:strRef>
          </c:cat>
          <c:val>
            <c:numRef>
              <c:f>'Figure 3'!$C$3:$C$13</c:f>
              <c:numCache>
                <c:formatCode>0</c:formatCode>
                <c:ptCount val="11"/>
                <c:pt idx="0">
                  <c:v>41.261000000000003</c:v>
                </c:pt>
                <c:pt idx="1">
                  <c:v>45.878</c:v>
                </c:pt>
                <c:pt idx="2">
                  <c:v>46.927</c:v>
                </c:pt>
                <c:pt idx="3">
                  <c:v>46.676000000000002</c:v>
                </c:pt>
                <c:pt idx="4">
                  <c:v>47.703000000000003</c:v>
                </c:pt>
                <c:pt idx="5">
                  <c:v>50.688000000000002</c:v>
                </c:pt>
                <c:pt idx="6">
                  <c:v>52.122999999999998</c:v>
                </c:pt>
                <c:pt idx="7">
                  <c:v>49.804000000000002</c:v>
                </c:pt>
                <c:pt idx="8">
                  <c:v>49.759</c:v>
                </c:pt>
                <c:pt idx="9">
                  <c:v>51.274999999999999</c:v>
                </c:pt>
                <c:pt idx="10">
                  <c:v>51.777000000000001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C2-4634-8E2C-A46EF826FEBD}"/>
            </c:ext>
          </c:extLst>
        </c:ser>
        <c:ser>
          <c:idx val="2"/>
          <c:order val="3"/>
          <c:tx>
            <c:strRef>
              <c:f>'Figure 3'!$D$2</c:f>
              <c:strCache>
                <c:ptCount val="1"/>
                <c:pt idx="0">
                  <c:v>Rapeseed</c:v>
                </c:pt>
              </c:strCache>
            </c:strRef>
          </c:tx>
          <c:spPr>
            <a:solidFill>
              <a:srgbClr val="A991D5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3'!$A$3:$A$13</c:f>
              <c:strCache>
                <c:ptCount val="1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  <c:pt idx="10">
                  <c:v>2025/26*</c:v>
                </c:pt>
              </c:strCache>
            </c:strRef>
          </c:cat>
          <c:val>
            <c:numRef>
              <c:f>'Figure 3'!$D$3:$D$13</c:f>
              <c:numCache>
                <c:formatCode>0</c:formatCode>
                <c:ptCount val="11"/>
                <c:pt idx="0">
                  <c:v>68.671999999999997</c:v>
                </c:pt>
                <c:pt idx="1">
                  <c:v>70.311000000000007</c:v>
                </c:pt>
                <c:pt idx="2">
                  <c:v>75.804000000000002</c:v>
                </c:pt>
                <c:pt idx="3">
                  <c:v>73.69</c:v>
                </c:pt>
                <c:pt idx="4">
                  <c:v>70.941000000000003</c:v>
                </c:pt>
                <c:pt idx="5">
                  <c:v>75.438999999999993</c:v>
                </c:pt>
                <c:pt idx="6">
                  <c:v>76.647999999999996</c:v>
                </c:pt>
                <c:pt idx="7">
                  <c:v>89.858000000000004</c:v>
                </c:pt>
                <c:pt idx="8">
                  <c:v>89.9</c:v>
                </c:pt>
                <c:pt idx="9">
                  <c:v>85.099000000000004</c:v>
                </c:pt>
                <c:pt idx="10" formatCode="0.00">
                  <c:v>89.558000000000007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C2-4634-8E2C-A46EF826FEBD}"/>
            </c:ext>
          </c:extLst>
        </c:ser>
        <c:ser>
          <c:idx val="6"/>
          <c:order val="4"/>
          <c:tx>
            <c:strRef>
              <c:f>'Figure 3'!$F$2</c:f>
              <c:strCache>
                <c:ptCount val="1"/>
                <c:pt idx="0">
                  <c:v>Sunflowerseed</c:v>
                </c:pt>
              </c:strCache>
            </c:strRef>
          </c:tx>
          <c:spPr>
            <a:solidFill>
              <a:srgbClr val="FFCC66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3'!$A$3:$A$13</c:f>
              <c:strCache>
                <c:ptCount val="1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  <c:pt idx="10">
                  <c:v>2025/26*</c:v>
                </c:pt>
              </c:strCache>
            </c:strRef>
          </c:cat>
          <c:val>
            <c:numRef>
              <c:f>'Figure 3'!$F$3:$F$13</c:f>
              <c:numCache>
                <c:formatCode>0</c:formatCode>
                <c:ptCount val="11"/>
                <c:pt idx="0">
                  <c:v>40.700000000000003</c:v>
                </c:pt>
                <c:pt idx="1">
                  <c:v>48.345999999999997</c:v>
                </c:pt>
                <c:pt idx="2">
                  <c:v>47.918999999999997</c:v>
                </c:pt>
                <c:pt idx="3">
                  <c:v>50.326999999999998</c:v>
                </c:pt>
                <c:pt idx="4">
                  <c:v>53.908999999999999</c:v>
                </c:pt>
                <c:pt idx="5">
                  <c:v>48.871000000000002</c:v>
                </c:pt>
                <c:pt idx="6">
                  <c:v>56.857999999999997</c:v>
                </c:pt>
                <c:pt idx="7">
                  <c:v>52.776000000000003</c:v>
                </c:pt>
                <c:pt idx="8">
                  <c:v>56.003999999999998</c:v>
                </c:pt>
                <c:pt idx="9">
                  <c:v>51.906999999999996</c:v>
                </c:pt>
                <c:pt idx="10">
                  <c:v>56.22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EC2-4634-8E2C-A46EF826FEBD}"/>
            </c:ext>
          </c:extLst>
        </c:ser>
        <c:ser>
          <c:idx val="5"/>
          <c:order val="5"/>
          <c:tx>
            <c:strRef>
              <c:f>'Figure 3'!$G$2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3'!$A$3:$A$13</c:f>
              <c:strCache>
                <c:ptCount val="1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  <c:pt idx="10">
                  <c:v>2025/26*</c:v>
                </c:pt>
              </c:strCache>
            </c:strRef>
          </c:cat>
          <c:val>
            <c:numRef>
              <c:f>'Figure 3'!$G$3:$G$13</c:f>
              <c:numCache>
                <c:formatCode>0</c:formatCode>
                <c:ptCount val="11"/>
                <c:pt idx="0">
                  <c:v>21.07</c:v>
                </c:pt>
                <c:pt idx="1">
                  <c:v>22.85</c:v>
                </c:pt>
                <c:pt idx="2">
                  <c:v>24.658999999999999</c:v>
                </c:pt>
                <c:pt idx="3">
                  <c:v>25.541999999999998</c:v>
                </c:pt>
                <c:pt idx="4">
                  <c:v>25.260999999999999</c:v>
                </c:pt>
                <c:pt idx="5">
                  <c:v>24.856999999999999</c:v>
                </c:pt>
                <c:pt idx="6">
                  <c:v>24.907</c:v>
                </c:pt>
                <c:pt idx="7">
                  <c:v>25.751999999999999</c:v>
                </c:pt>
                <c:pt idx="8">
                  <c:v>25.796999999999997</c:v>
                </c:pt>
                <c:pt idx="9">
                  <c:v>26.124000000000002</c:v>
                </c:pt>
                <c:pt idx="10">
                  <c:v>26.658000000000001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C2-4634-8E2C-A46EF826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1"/>
          <c:order val="6"/>
          <c:tx>
            <c:strRef>
              <c:f>'Figure 3'!$H$2</c:f>
              <c:strCache>
                <c:ptCount val="1"/>
                <c:pt idx="0">
                  <c:v>Total crush 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'Figure 3'!$H$3:$H$13</c:f>
              <c:numCache>
                <c:formatCode>0</c:formatCode>
                <c:ptCount val="11"/>
                <c:pt idx="0">
                  <c:v>445.57799999999997</c:v>
                </c:pt>
                <c:pt idx="1">
                  <c:v>468.49299999999999</c:v>
                </c:pt>
                <c:pt idx="2">
                  <c:v>482.19900000000001</c:v>
                </c:pt>
                <c:pt idx="3">
                  <c:v>487.33699999999999</c:v>
                </c:pt>
                <c:pt idx="4">
                  <c:v>506.649</c:v>
                </c:pt>
                <c:pt idx="5">
                  <c:v>509.82400000000001</c:v>
                </c:pt>
                <c:pt idx="6">
                  <c:v>509.79399999999998</c:v>
                </c:pt>
                <c:pt idx="7">
                  <c:v>524.08000000000004</c:v>
                </c:pt>
                <c:pt idx="8">
                  <c:v>543.52800000000002</c:v>
                </c:pt>
                <c:pt idx="9">
                  <c:v>562.06600000000003</c:v>
                </c:pt>
                <c:pt idx="10">
                  <c:v>580.48800000000006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C2-4634-8E2C-A46EF826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7537393338385003"/>
              <c:y val="0.837223838525153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ax val="700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20323006353177819"/>
          <c:y val="8.8523644442055668E-2"/>
          <c:w val="0.75938675889812834"/>
          <c:h val="0.10454955076007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Global major vegetable oil stocks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489664652186899E-2"/>
          <c:y val="0.18702969208280643"/>
          <c:w val="0.91300453984487207"/>
          <c:h val="0.56720248669534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4'!$B$1</c:f>
              <c:strCache>
                <c:ptCount val="1"/>
                <c:pt idx="0">
                  <c:v>Palm oil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4'!$A$2:$A$13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  <c:pt idx="11">
                  <c:v>2025/26*</c:v>
                </c:pt>
              </c:strCache>
            </c:strRef>
          </c:cat>
          <c:val>
            <c:numRef>
              <c:f>'Figure 4'!$B$2:$B$13</c:f>
              <c:numCache>
                <c:formatCode>General</c:formatCode>
                <c:ptCount val="12"/>
                <c:pt idx="0">
                  <c:v>10.84</c:v>
                </c:pt>
                <c:pt idx="1">
                  <c:v>8.6280000000000001</c:v>
                </c:pt>
                <c:pt idx="2">
                  <c:v>10.4</c:v>
                </c:pt>
                <c:pt idx="3">
                  <c:v>12.987</c:v>
                </c:pt>
                <c:pt idx="4">
                  <c:v>14.989000000000001</c:v>
                </c:pt>
                <c:pt idx="5">
                  <c:v>16.021000000000001</c:v>
                </c:pt>
                <c:pt idx="6">
                  <c:v>15.195</c:v>
                </c:pt>
                <c:pt idx="7">
                  <c:v>16.559999999999999</c:v>
                </c:pt>
                <c:pt idx="8">
                  <c:v>16.914999999999999</c:v>
                </c:pt>
                <c:pt idx="9">
                  <c:v>15.82</c:v>
                </c:pt>
                <c:pt idx="10">
                  <c:v>14.609</c:v>
                </c:pt>
                <c:pt idx="11">
                  <c:v>14.462999999999999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51-44BC-9CA5-D897586CEE6A}"/>
            </c:ext>
          </c:extLst>
        </c:ser>
        <c:ser>
          <c:idx val="1"/>
          <c:order val="1"/>
          <c:tx>
            <c:strRef>
              <c:f>'Figure 4'!$C$1</c:f>
              <c:strCache>
                <c:ptCount val="1"/>
                <c:pt idx="0">
                  <c:v>Rapeseed oil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4'!$A$2:$A$13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  <c:pt idx="11">
                  <c:v>2025/26*</c:v>
                </c:pt>
              </c:strCache>
            </c:strRef>
          </c:cat>
          <c:val>
            <c:numRef>
              <c:f>'Figure 4'!$C$2:$C$13</c:f>
              <c:numCache>
                <c:formatCode>_(* #,##0.0_);_(* \(#,##0.0\);_(* "-"_);_(@_)</c:formatCode>
                <c:ptCount val="12"/>
                <c:pt idx="0">
                  <c:v>6.617</c:v>
                </c:pt>
                <c:pt idx="1">
                  <c:v>5.6449999999999996</c:v>
                </c:pt>
                <c:pt idx="2">
                  <c:v>4.1790000000000003</c:v>
                </c:pt>
                <c:pt idx="3">
                  <c:v>3.3220000000000001</c:v>
                </c:pt>
                <c:pt idx="4">
                  <c:v>2.9020000000000001</c:v>
                </c:pt>
                <c:pt idx="5">
                  <c:v>2.8879999999999999</c:v>
                </c:pt>
                <c:pt idx="6">
                  <c:v>3.6419999999999999</c:v>
                </c:pt>
                <c:pt idx="7">
                  <c:v>2.52</c:v>
                </c:pt>
                <c:pt idx="8">
                  <c:v>3.5539999999999998</c:v>
                </c:pt>
                <c:pt idx="9">
                  <c:v>3.6120000000000001</c:v>
                </c:pt>
                <c:pt idx="10">
                  <c:v>2.8479999999999999</c:v>
                </c:pt>
                <c:pt idx="11" formatCode="General">
                  <c:v>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51-44BC-9CA5-D897586CEE6A}"/>
            </c:ext>
          </c:extLst>
        </c:ser>
        <c:ser>
          <c:idx val="4"/>
          <c:order val="2"/>
          <c:tx>
            <c:strRef>
              <c:f>'Figure 4'!$D$1</c:f>
              <c:strCache>
                <c:ptCount val="1"/>
                <c:pt idx="0">
                  <c:v>Soybean 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4'!$A$2:$A$13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  <c:pt idx="11">
                  <c:v>2025/26*</c:v>
                </c:pt>
              </c:strCache>
            </c:strRef>
          </c:cat>
          <c:val>
            <c:numRef>
              <c:f>'Figure 4'!$D$2:$D$13</c:f>
              <c:numCache>
                <c:formatCode>_(* #,##0.0_);_(* \(#,##0.0\);_(* "-"_);_(@_)</c:formatCode>
                <c:ptCount val="12"/>
                <c:pt idx="0">
                  <c:v>4.6950000000000003</c:v>
                </c:pt>
                <c:pt idx="1">
                  <c:v>4.1909999999999998</c:v>
                </c:pt>
                <c:pt idx="2">
                  <c:v>4.3630000000000004</c:v>
                </c:pt>
                <c:pt idx="3">
                  <c:v>4.516</c:v>
                </c:pt>
                <c:pt idx="4">
                  <c:v>4.8170000000000002</c:v>
                </c:pt>
                <c:pt idx="5">
                  <c:v>5.7089999999999996</c:v>
                </c:pt>
                <c:pt idx="6">
                  <c:v>5.9729999999999999</c:v>
                </c:pt>
                <c:pt idx="7">
                  <c:v>5.3259999999999996</c:v>
                </c:pt>
                <c:pt idx="8" formatCode="_(* #,##0.0_);_(* \(#,##0.0\);_(* &quot;-&quot;??_);_(@_)">
                  <c:v>5.875</c:v>
                </c:pt>
                <c:pt idx="9" formatCode="_(* #,##0.0_);_(* \(#,##0.0\);_(* &quot;-&quot;??_);_(@_)">
                  <c:v>5.7039999999999997</c:v>
                </c:pt>
                <c:pt idx="10" formatCode="_(* #,##0.0_);_(* \(#,##0.0\);_(* &quot;-&quot;??_);_(@_)">
                  <c:v>6.0570000000000004</c:v>
                </c:pt>
                <c:pt idx="11" formatCode="General">
                  <c:v>6.4489999999999998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51-44BC-9CA5-D897586CEE6A}"/>
            </c:ext>
          </c:extLst>
        </c:ser>
        <c:ser>
          <c:idx val="3"/>
          <c:order val="3"/>
          <c:tx>
            <c:strRef>
              <c:f>'Figure 4'!$E$1</c:f>
              <c:strCache>
                <c:ptCount val="1"/>
                <c:pt idx="0">
                  <c:v>Sunflowerseed oil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4'!$A$2:$A$13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  <c:pt idx="11">
                  <c:v>2025/26*</c:v>
                </c:pt>
              </c:strCache>
            </c:strRef>
          </c:cat>
          <c:val>
            <c:numRef>
              <c:f>'Figure 4'!$E$2:$E$13</c:f>
              <c:numCache>
                <c:formatCode>_(* #,##0.0_);_(* \(#,##0.0\);_(* "-"_);_(@_)</c:formatCode>
                <c:ptCount val="12"/>
                <c:pt idx="0">
                  <c:v>2.59</c:v>
                </c:pt>
                <c:pt idx="1">
                  <c:v>2.0379999999999998</c:v>
                </c:pt>
                <c:pt idx="2">
                  <c:v>2.6160000000000001</c:v>
                </c:pt>
                <c:pt idx="3">
                  <c:v>2.6059999999999999</c:v>
                </c:pt>
                <c:pt idx="4">
                  <c:v>2.4430000000000001</c:v>
                </c:pt>
                <c:pt idx="5">
                  <c:v>2.9969999999999999</c:v>
                </c:pt>
                <c:pt idx="6">
                  <c:v>2.1120000000000001</c:v>
                </c:pt>
                <c:pt idx="7">
                  <c:v>2.7650000000000001</c:v>
                </c:pt>
                <c:pt idx="8" formatCode="_(* #,##0.0_);_(* \(#,##0.0\);_(* &quot;-&quot;??_);_(@_)">
                  <c:v>3.2210000000000001</c:v>
                </c:pt>
                <c:pt idx="9" formatCode="_(* #,##0.0_);_(* \(#,##0.0\);_(* &quot;-&quot;??_);_(@_)">
                  <c:v>2.9119999999999999</c:v>
                </c:pt>
                <c:pt idx="10" formatCode="_(* #,##0.0_);_(* \(#,##0.0\);_(* &quot;-&quot;??_);_(@_)">
                  <c:v>2.472</c:v>
                </c:pt>
                <c:pt idx="11" formatCode="General">
                  <c:v>2.4409999999999998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51-44BC-9CA5-D897586CEE6A}"/>
            </c:ext>
          </c:extLst>
        </c:ser>
        <c:ser>
          <c:idx val="0"/>
          <c:order val="4"/>
          <c:tx>
            <c:strRef>
              <c:f>'Figure 4'!$F$1</c:f>
              <c:strCache>
                <c:ptCount val="1"/>
                <c:pt idx="0">
                  <c:v>Other oils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4'!$A$2:$A$13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  <c:pt idx="11">
                  <c:v>2025/26*</c:v>
                </c:pt>
              </c:strCache>
            </c:strRef>
          </c:cat>
          <c:val>
            <c:numRef>
              <c:f>'Figure 4'!$F$2:$F$13</c:f>
              <c:numCache>
                <c:formatCode>General</c:formatCode>
                <c:ptCount val="12"/>
                <c:pt idx="0">
                  <c:v>2.145</c:v>
                </c:pt>
                <c:pt idx="1">
                  <c:v>2.4580000000000002</c:v>
                </c:pt>
                <c:pt idx="2">
                  <c:v>2.286</c:v>
                </c:pt>
                <c:pt idx="3">
                  <c:v>3.3479999999999999</c:v>
                </c:pt>
                <c:pt idx="4">
                  <c:v>3.3129999999999997</c:v>
                </c:pt>
                <c:pt idx="5">
                  <c:v>3.2359999999999998</c:v>
                </c:pt>
                <c:pt idx="6">
                  <c:v>2.8780000000000001</c:v>
                </c:pt>
                <c:pt idx="7">
                  <c:v>3.1019999999999999</c:v>
                </c:pt>
                <c:pt idx="8">
                  <c:v>2.915</c:v>
                </c:pt>
                <c:pt idx="9">
                  <c:v>2.78</c:v>
                </c:pt>
                <c:pt idx="10">
                  <c:v>3.1469999999999949</c:v>
                </c:pt>
                <c:pt idx="11">
                  <c:v>3.0459999999999994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51-44BC-9CA5-D897586C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249458671009363"/>
              <c:y val="0.814770014807174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716711729012E-2"/>
              <c:y val="0.111363682019143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923486090060338"/>
          <c:y val="0.12636223785452472"/>
          <c:w val="0.7224611699366188"/>
          <c:h val="4.90251911244022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14</xdr:col>
      <xdr:colOff>266700</xdr:colOff>
      <xdr:row>25</xdr:row>
      <xdr:rowOff>62865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777907-772E-45C8-92C5-A4C9298ED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0.87133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19359"/>
          <a:ext cx="5114925" cy="504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Asterisk (*) denotes forecast. 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from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USDA, World Agricultural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Outlook Board,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report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May 2025.</a:t>
          </a:r>
          <a:endParaRPr lang="en-US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</xdr:colOff>
      <xdr:row>0</xdr:row>
      <xdr:rowOff>38100</xdr:rowOff>
    </xdr:from>
    <xdr:to>
      <xdr:col>13</xdr:col>
      <xdr:colOff>502920</xdr:colOff>
      <xdr:row>21</xdr:row>
      <xdr:rowOff>22860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3DDF1C6D-ED50-41BD-FF64-FF6550E9E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0.83849</cdr:y>
    </cdr:from>
    <cdr:to>
      <cdr:x>1</cdr:x>
      <cdr:y>0.9901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2838450"/>
          <a:ext cx="5855971" cy="51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 </a:t>
          </a: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(ERS)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the USDA, ERS Oil Crops Yearbook and from USDA, World Agricultural Outlook Board,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Estimates,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May 2025.</a:t>
          </a:r>
          <a:endParaRPr lang="en-US" sz="10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417195</xdr:colOff>
      <xdr:row>0</xdr:row>
      <xdr:rowOff>0</xdr:rowOff>
    </xdr:from>
    <xdr:to>
      <xdr:col>19</xdr:col>
      <xdr:colOff>188595</xdr:colOff>
      <xdr:row>26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FE6F2A0-97C9-6B3C-D1E2-6F4922247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0.90102</cdr:y>
    </cdr:from>
    <cdr:to>
      <cdr:x>1</cdr:x>
      <cdr:y>0.99116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5029200"/>
          <a:ext cx="6115050" cy="50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Other includes: Copra and palm kernel.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May 2025.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0.00586</cdr:x>
      <cdr:y>0.11373</cdr:y>
    </cdr:from>
    <cdr:to>
      <cdr:x>0.18661</cdr:x>
      <cdr:y>0.15422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93206985-DA7A-4350-ACA2-E585D1AF9617}"/>
            </a:ext>
          </a:extLst>
        </cdr:cNvPr>
        <cdr:cNvSpPr/>
      </cdr:nvSpPr>
      <cdr:spPr bwMode="auto">
        <a:xfrm xmlns:a="http://schemas.openxmlformats.org/drawingml/2006/main">
          <a:off x="34807" y="415016"/>
          <a:ext cx="1074306" cy="1477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226694</xdr:colOff>
      <xdr:row>0</xdr:row>
      <xdr:rowOff>28574</xdr:rowOff>
    </xdr:from>
    <xdr:to>
      <xdr:col>17</xdr:col>
      <xdr:colOff>93345</xdr:colOff>
      <xdr:row>23</xdr:row>
      <xdr:rowOff>53340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6667F2F-4E03-7FBD-994A-52774E7A1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0.87133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676651"/>
          <a:ext cx="6558778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Other oils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include coconut oil, cottonseed oil, olive oil, and palm kernel oil.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Asterisk (*) denotes forecast. 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from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USDA, Foreign Agricultural Service,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database, May 2025.</a:t>
          </a:r>
          <a:endParaRPr lang="en-US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/>
  </sheetViews>
  <sheetFormatPr defaultColWidth="9.5546875" defaultRowHeight="13.8"/>
  <cols>
    <col min="1" max="1" width="166.6640625" style="12" customWidth="1"/>
    <col min="2" max="16384" width="9.5546875" style="1"/>
  </cols>
  <sheetData>
    <row r="1" spans="1:3">
      <c r="B1" s="80"/>
      <c r="C1" s="80"/>
    </row>
    <row r="2" spans="1:3" s="2" customFormat="1">
      <c r="A2" s="7" t="s">
        <v>0</v>
      </c>
    </row>
    <row r="3" spans="1:3">
      <c r="A3" s="8"/>
      <c r="B3" s="3"/>
      <c r="C3" s="2"/>
    </row>
    <row r="4" spans="1:3">
      <c r="A4" s="10" t="s">
        <v>1</v>
      </c>
      <c r="B4" s="4"/>
      <c r="C4" s="80"/>
    </row>
    <row r="5" spans="1:3">
      <c r="A5" s="10" t="s">
        <v>2</v>
      </c>
      <c r="B5" s="4"/>
      <c r="C5" s="80"/>
    </row>
    <row r="6" spans="1:3">
      <c r="A6" s="10" t="s">
        <v>3</v>
      </c>
      <c r="B6" s="4"/>
      <c r="C6" s="80"/>
    </row>
    <row r="7" spans="1:3">
      <c r="A7" s="10" t="s">
        <v>4</v>
      </c>
      <c r="B7" s="4"/>
      <c r="C7" s="80"/>
    </row>
    <row r="8" spans="1:3">
      <c r="A8" s="10" t="s">
        <v>5</v>
      </c>
      <c r="B8" s="4"/>
      <c r="C8" s="80"/>
    </row>
    <row r="9" spans="1:3">
      <c r="A9" s="10" t="s">
        <v>6</v>
      </c>
      <c r="B9" s="4"/>
      <c r="C9" s="80"/>
    </row>
    <row r="10" spans="1:3">
      <c r="A10" s="10" t="s">
        <v>7</v>
      </c>
      <c r="B10" s="4"/>
      <c r="C10" s="80"/>
    </row>
    <row r="11" spans="1:3">
      <c r="A11" s="10" t="s">
        <v>8</v>
      </c>
      <c r="B11" s="4"/>
      <c r="C11" s="80"/>
    </row>
    <row r="12" spans="1:3">
      <c r="A12" s="10" t="s">
        <v>9</v>
      </c>
      <c r="B12" s="4"/>
      <c r="C12" s="80"/>
    </row>
    <row r="13" spans="1:3">
      <c r="A13" s="10" t="s">
        <v>10</v>
      </c>
      <c r="B13" s="4"/>
      <c r="C13" s="80"/>
    </row>
    <row r="14" spans="1:3">
      <c r="A14" s="11" t="s">
        <v>11</v>
      </c>
      <c r="B14" s="4"/>
      <c r="C14" s="80"/>
    </row>
    <row r="15" spans="1:3">
      <c r="A15" s="11" t="s">
        <v>12</v>
      </c>
      <c r="B15" s="80"/>
      <c r="C15" s="80"/>
    </row>
    <row r="16" spans="1:3" ht="13.2">
      <c r="A16" s="80"/>
      <c r="B16" s="80"/>
      <c r="C16" s="80"/>
    </row>
    <row r="17" spans="1:3">
      <c r="A17" s="7" t="s">
        <v>13</v>
      </c>
      <c r="B17" s="80"/>
      <c r="C17" s="80"/>
    </row>
    <row r="18" spans="1:3">
      <c r="A18" s="9">
        <v>45791</v>
      </c>
    </row>
  </sheetData>
  <hyperlinks>
    <hyperlink ref="A4" location="'Table 1'!A1" display="Table 1--Soybeans:  Annual U.S. supply and disappearance" xr:uid="{00000000-0004-0000-0000-000000000000}"/>
    <hyperlink ref="A5" location="'Table 2'!A1" display="Table 2--Soybean meal:  U.S. supply and disappearance" xr:uid="{00000000-0004-0000-0000-000001000000}"/>
    <hyperlink ref="A6" location="'Table 3'!A1" display="Table 3--Soybean oil:  U.S. supply and disappearance" xr:uid="{00000000-0004-0000-0000-000002000000}"/>
    <hyperlink ref="A7" location="'Tables 4-7'!A1" display="Table 4--Cottonseed:  U.S. supply and disappearance" xr:uid="{00000000-0004-0000-0000-000003000000}"/>
    <hyperlink ref="A8" location="'Tables 4-7'!A1" display="Table 5--Cottonseed meal:  U.S. supply and disappearance" xr:uid="{00000000-0004-0000-0000-000004000000}"/>
    <hyperlink ref="A9" location="'Tables 4-7'!A1" display="Table 6--Cottonseed oil:  U.S. supply and disappearance" xr:uid="{00000000-0004-0000-0000-000005000000}"/>
    <hyperlink ref="A10" location="'Tables 4-7'!A1" display="Table 7--Peanuts:  U.S. supply and disappearance" xr:uid="{00000000-0004-0000-0000-000006000000}"/>
    <hyperlink ref="A11" location="'Table 8'!A1" display="Table 8--Oilseed prices received by U.S. farmers" xr:uid="{00000000-0004-0000-0000-000007000000}"/>
    <hyperlink ref="A12" location="'Table 9'!A1" display="Table 9--U.S. vegetable oil and fats prices" xr:uid="{00000000-0004-0000-0000-000008000000}"/>
    <hyperlink ref="A13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4"/>
  <sheetViews>
    <sheetView showGridLines="0" zoomScale="70" zoomScaleNormal="70" workbookViewId="0"/>
  </sheetViews>
  <sheetFormatPr defaultColWidth="9.33203125" defaultRowHeight="13.2"/>
  <cols>
    <col min="1" max="1" width="21.5546875" customWidth="1"/>
    <col min="2" max="2" width="14.33203125" customWidth="1"/>
    <col min="3" max="3" width="9.5546875" customWidth="1"/>
    <col min="4" max="4" width="26.5546875" customWidth="1"/>
    <col min="5" max="5" width="9.5546875" customWidth="1"/>
    <col min="6" max="6" width="12.44140625" customWidth="1"/>
    <col min="7" max="7" width="19.6640625" customWidth="1"/>
    <col min="8" max="8" width="18.6640625" customWidth="1"/>
    <col min="9" max="9" width="1.5546875" customWidth="1"/>
    <col min="10" max="10" width="14.5546875" customWidth="1"/>
    <col min="11" max="11" width="10.5546875" customWidth="1"/>
    <col min="12" max="12" width="12.88671875" customWidth="1"/>
    <col min="13" max="13" width="14.109375" customWidth="1"/>
    <col min="14" max="14" width="9.5546875" customWidth="1"/>
    <col min="15" max="15" width="11.88671875" bestFit="1" customWidth="1"/>
    <col min="17" max="17" width="15.44140625" bestFit="1" customWidth="1"/>
    <col min="18" max="18" width="13.44140625" bestFit="1" customWidth="1"/>
    <col min="22" max="22" width="12.3320312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14</v>
      </c>
      <c r="C2" s="123"/>
      <c r="D2" s="17" t="s">
        <v>15</v>
      </c>
      <c r="E2" s="18"/>
      <c r="F2" s="123" t="s">
        <v>16</v>
      </c>
      <c r="G2" s="123"/>
      <c r="H2" s="123"/>
      <c r="I2" s="15"/>
      <c r="J2" s="18"/>
      <c r="K2" s="123"/>
      <c r="L2" s="19" t="s">
        <v>17</v>
      </c>
      <c r="M2" s="123"/>
      <c r="N2" s="15"/>
    </row>
    <row r="3" spans="1:23" ht="13.8">
      <c r="A3" s="15" t="s">
        <v>18</v>
      </c>
      <c r="B3" s="17" t="s">
        <v>19</v>
      </c>
      <c r="C3" s="15" t="s">
        <v>20</v>
      </c>
      <c r="D3" s="17"/>
      <c r="E3" s="20" t="s">
        <v>21</v>
      </c>
      <c r="F3" s="20"/>
      <c r="G3" s="20"/>
      <c r="H3" s="20"/>
      <c r="I3" s="20"/>
      <c r="J3" s="17" t="s">
        <v>22</v>
      </c>
      <c r="K3" s="20" t="s">
        <v>23</v>
      </c>
      <c r="L3" s="20"/>
      <c r="M3" s="20"/>
      <c r="N3" s="20" t="s">
        <v>24</v>
      </c>
    </row>
    <row r="4" spans="1:23" ht="13.8">
      <c r="A4" s="21" t="s">
        <v>25</v>
      </c>
      <c r="B4" s="22"/>
      <c r="C4" s="22"/>
      <c r="D4" s="22"/>
      <c r="E4" s="23" t="s">
        <v>26</v>
      </c>
      <c r="F4" s="23" t="s">
        <v>27</v>
      </c>
      <c r="G4" s="24" t="s">
        <v>28</v>
      </c>
      <c r="H4" s="25" t="s">
        <v>29</v>
      </c>
      <c r="I4" s="24"/>
      <c r="J4" s="24"/>
      <c r="K4" s="24" t="s">
        <v>30</v>
      </c>
      <c r="L4" s="25" t="s">
        <v>31</v>
      </c>
      <c r="M4" s="23" t="s">
        <v>29</v>
      </c>
      <c r="N4" s="24" t="s">
        <v>26</v>
      </c>
      <c r="W4" s="26"/>
    </row>
    <row r="5" spans="1:23" ht="14.4">
      <c r="A5" s="15"/>
      <c r="B5" s="110" t="s">
        <v>32</v>
      </c>
      <c r="C5" s="124"/>
      <c r="D5" s="27" t="s">
        <v>33</v>
      </c>
      <c r="G5" s="110"/>
      <c r="I5" s="110"/>
      <c r="J5" s="110" t="s">
        <v>34</v>
      </c>
      <c r="K5" s="110"/>
      <c r="L5" s="110"/>
      <c r="M5" s="110"/>
      <c r="N5" s="110"/>
      <c r="W5" s="26"/>
    </row>
    <row r="6" spans="1:23" ht="16.5" customHeight="1">
      <c r="A6" s="15" t="s">
        <v>53</v>
      </c>
      <c r="B6" s="178">
        <v>83.6</v>
      </c>
      <c r="C6" s="178">
        <v>82.271000000000001</v>
      </c>
      <c r="D6" s="178">
        <f>F6/C6</f>
        <v>50.589600223651104</v>
      </c>
      <c r="E6" s="179">
        <v>264.18400000000003</v>
      </c>
      <c r="F6" s="180">
        <v>4162.0569999999998</v>
      </c>
      <c r="G6" s="113">
        <f>G27</f>
        <v>20.835116574689998</v>
      </c>
      <c r="H6" s="113">
        <f>SUM(E6:G6)</f>
        <v>4447.0761165746899</v>
      </c>
      <c r="I6" s="15"/>
      <c r="J6" s="180">
        <f>J27</f>
        <v>2285.303146537427</v>
      </c>
      <c r="K6" s="180">
        <f>M6-L6-J6</f>
        <v>124.40827608605787</v>
      </c>
      <c r="L6" s="113">
        <f>L27</f>
        <v>1694.931693951205</v>
      </c>
      <c r="M6" s="113">
        <f>H6-N6</f>
        <v>4104.6431165746899</v>
      </c>
      <c r="N6" s="113">
        <f>N26</f>
        <v>342.43299999999999</v>
      </c>
    </row>
    <row r="7" spans="1:23" ht="16.5" customHeight="1">
      <c r="A7" s="15" t="s">
        <v>162</v>
      </c>
      <c r="B7" s="178">
        <v>87.05</v>
      </c>
      <c r="C7" s="178">
        <v>86.05</v>
      </c>
      <c r="D7" s="178">
        <f>F7/C7</f>
        <v>50.743660662405581</v>
      </c>
      <c r="E7" s="179">
        <f>N6</f>
        <v>342.43299999999999</v>
      </c>
      <c r="F7" s="180">
        <v>4366.4920000000002</v>
      </c>
      <c r="G7" s="113">
        <v>25</v>
      </c>
      <c r="H7" s="113">
        <f>SUM(E7:G7)</f>
        <v>4733.9250000000002</v>
      </c>
      <c r="I7" s="15"/>
      <c r="J7" s="180">
        <v>2420</v>
      </c>
      <c r="K7" s="181">
        <v>114</v>
      </c>
      <c r="L7" s="113">
        <v>1850</v>
      </c>
      <c r="M7" s="113">
        <f>SUM(J7:L7)</f>
        <v>4384</v>
      </c>
      <c r="N7" s="113">
        <f>H7-M7</f>
        <v>349.92500000000018</v>
      </c>
      <c r="P7" s="182"/>
    </row>
    <row r="8" spans="1:23" ht="16.5" customHeight="1">
      <c r="A8" s="15" t="s">
        <v>163</v>
      </c>
      <c r="B8" s="178">
        <v>83.5</v>
      </c>
      <c r="C8" s="178">
        <v>82.7</v>
      </c>
      <c r="D8" s="178">
        <v>52.5</v>
      </c>
      <c r="E8" s="179">
        <f>N7</f>
        <v>349.92500000000018</v>
      </c>
      <c r="F8" s="180">
        <v>4340</v>
      </c>
      <c r="G8" s="113">
        <v>20</v>
      </c>
      <c r="H8" s="113">
        <f>SUM(E8:G8)</f>
        <v>4709.9250000000002</v>
      </c>
      <c r="I8" s="15"/>
      <c r="J8" s="180">
        <v>2490</v>
      </c>
      <c r="K8" s="181">
        <v>110</v>
      </c>
      <c r="L8" s="113">
        <v>1815</v>
      </c>
      <c r="M8" s="113">
        <f>SUM(J8:L8)</f>
        <v>4415</v>
      </c>
      <c r="N8" s="113">
        <f>H8-M8</f>
        <v>294.92500000000018</v>
      </c>
      <c r="P8" s="182"/>
      <c r="Q8" s="182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53</v>
      </c>
      <c r="B10" s="81"/>
      <c r="C10" s="81"/>
      <c r="D10" s="81"/>
      <c r="E10" s="32"/>
      <c r="F10" s="32"/>
      <c r="G10" s="6"/>
      <c r="H10" s="13"/>
      <c r="I10" s="81"/>
      <c r="J10" s="13"/>
      <c r="K10" s="31"/>
      <c r="L10" s="6"/>
      <c r="M10" s="6"/>
      <c r="N10" s="13"/>
      <c r="R10" s="111"/>
      <c r="S10" s="112"/>
    </row>
    <row r="11" spans="1:23" ht="16.5" customHeight="1">
      <c r="A11" s="15" t="s">
        <v>38</v>
      </c>
      <c r="B11" s="81"/>
      <c r="C11" s="81"/>
      <c r="D11" s="81"/>
      <c r="E11" s="32"/>
      <c r="F11" s="32"/>
      <c r="G11" s="6">
        <f>(37479.5*36.74371)/1000000</f>
        <v>1.3771358789450001</v>
      </c>
      <c r="H11" s="13"/>
      <c r="I11" s="81"/>
      <c r="J11" s="6">
        <f>((5242931*0.907184741)*36.74371)/1000000</f>
        <v>174.76436512731999</v>
      </c>
      <c r="K11" s="31"/>
      <c r="L11" s="6">
        <f>(2498517*36.74371)/1000000</f>
        <v>91.80478407807</v>
      </c>
      <c r="M11" s="6"/>
      <c r="N11" s="13"/>
      <c r="Q11" s="84"/>
      <c r="R11" s="111"/>
      <c r="S11" s="112"/>
    </row>
    <row r="12" spans="1:23" ht="16.5" customHeight="1">
      <c r="A12" s="15" t="s">
        <v>39</v>
      </c>
      <c r="B12" s="81"/>
      <c r="C12" s="81"/>
      <c r="D12" s="81"/>
      <c r="E12" s="32"/>
      <c r="F12" s="32"/>
      <c r="G12" s="6">
        <f>(19292.3*36.74371)/1000000</f>
        <v>0.70887067643300006</v>
      </c>
      <c r="H12" s="13"/>
      <c r="I12" s="81"/>
      <c r="J12" s="6">
        <f>((6041685*0.907184741)*36.74371)/1000000</f>
        <v>201.38949822613577</v>
      </c>
      <c r="K12" s="31"/>
      <c r="L12" s="6">
        <f>(9422340.2*36.74371)/1000000</f>
        <v>346.21173583014195</v>
      </c>
      <c r="M12" s="6"/>
      <c r="N12" s="13"/>
      <c r="Q12" s="84"/>
      <c r="R12" s="111"/>
      <c r="S12" s="112"/>
    </row>
    <row r="13" spans="1:23" ht="16.5" customHeight="1">
      <c r="A13" s="15" t="s">
        <v>40</v>
      </c>
      <c r="B13" s="81"/>
      <c r="C13" s="81"/>
      <c r="D13" s="81"/>
      <c r="E13" s="32"/>
      <c r="F13" s="32"/>
      <c r="G13" s="6">
        <f>(46381*36.74371)/1000000</f>
        <v>1.70421001351</v>
      </c>
      <c r="H13" s="13"/>
      <c r="I13" s="81"/>
      <c r="J13" s="6">
        <f>((6002708*0.907184741)*36.74371)/1000000</f>
        <v>200.09026490424628</v>
      </c>
      <c r="K13" s="31"/>
      <c r="L13" s="6">
        <f>(7462119.8*36.74371)/1000000</f>
        <v>274.18596591645803</v>
      </c>
      <c r="M13" s="6"/>
      <c r="N13" s="104"/>
      <c r="Q13" s="84"/>
      <c r="R13" s="111"/>
      <c r="S13" s="111"/>
    </row>
    <row r="14" spans="1:23" ht="16.5" customHeight="1">
      <c r="A14" s="15" t="s">
        <v>41</v>
      </c>
      <c r="B14" s="81"/>
      <c r="C14" s="81"/>
      <c r="D14" s="81"/>
      <c r="E14" s="32">
        <v>264.18400000000003</v>
      </c>
      <c r="F14" s="60">
        <v>4162.0569999999998</v>
      </c>
      <c r="G14" s="6">
        <f>SUM(G11:G13)</f>
        <v>3.7902165688880003</v>
      </c>
      <c r="H14" s="13">
        <f>SUM(E14:G14)</f>
        <v>4430.0312165688883</v>
      </c>
      <c r="I14" s="81"/>
      <c r="J14" s="6">
        <f>SUM(J11:J13)</f>
        <v>576.24412825770207</v>
      </c>
      <c r="K14" s="31">
        <f>M14-L14-J14</f>
        <v>140.8656024865162</v>
      </c>
      <c r="L14" s="6">
        <f>SUM(L11:L13)</f>
        <v>712.20248582467002</v>
      </c>
      <c r="M14" s="6">
        <f>H14-N14</f>
        <v>1429.3122165688883</v>
      </c>
      <c r="N14" s="105">
        <v>3000.7190000000001</v>
      </c>
      <c r="R14" s="111"/>
      <c r="S14" s="111"/>
    </row>
    <row r="15" spans="1:23" ht="16.5" customHeight="1">
      <c r="A15" s="15" t="s">
        <v>42</v>
      </c>
      <c r="B15" s="81"/>
      <c r="C15" s="81"/>
      <c r="D15" s="81"/>
      <c r="E15" s="32"/>
      <c r="F15" s="32"/>
      <c r="G15" s="6">
        <f>(18649.8*36.74371)/1000000</f>
        <v>0.68526284275799998</v>
      </c>
      <c r="H15" s="13"/>
      <c r="I15" s="81"/>
      <c r="J15" s="6">
        <f>((6128558*0.907184741)*36.74371)/1000000</f>
        <v>204.28526486729618</v>
      </c>
      <c r="K15" s="31"/>
      <c r="L15" s="6">
        <f>(4738450.9*36.74371)/1000000</f>
        <v>174.10826571883902</v>
      </c>
      <c r="M15" s="6"/>
      <c r="N15" s="105"/>
      <c r="R15" s="111"/>
      <c r="S15" s="111"/>
    </row>
    <row r="16" spans="1:23" ht="16.5" customHeight="1">
      <c r="A16" s="15" t="s">
        <v>43</v>
      </c>
      <c r="B16" s="81"/>
      <c r="C16" s="81"/>
      <c r="D16" s="81"/>
      <c r="E16" s="32"/>
      <c r="F16" s="32"/>
      <c r="G16" s="6">
        <f>(25838.2*36.74371)/1000000</f>
        <v>0.94939132772200008</v>
      </c>
      <c r="H16" s="13"/>
      <c r="I16" s="81"/>
      <c r="J16" s="6">
        <f>((5828390*0.907184741)*36.74371)/1000000</f>
        <v>194.27966495542674</v>
      </c>
      <c r="K16" s="31"/>
      <c r="L16" s="6">
        <f>(5961252*36.74371)/1000000</f>
        <v>219.03851472491999</v>
      </c>
      <c r="M16" s="6"/>
      <c r="N16" s="105"/>
      <c r="Q16" s="34"/>
      <c r="R16" s="111"/>
      <c r="S16" s="111"/>
    </row>
    <row r="17" spans="1:24" ht="16.5" customHeight="1">
      <c r="A17" s="15" t="s">
        <v>44</v>
      </c>
      <c r="B17" s="81"/>
      <c r="C17" s="81"/>
      <c r="D17" s="81"/>
      <c r="E17" s="32"/>
      <c r="F17" s="32"/>
      <c r="G17" s="6">
        <f>(24300.7*36.74371)/1000000</f>
        <v>0.89289787359700001</v>
      </c>
      <c r="H17" s="13"/>
      <c r="I17" s="81"/>
      <c r="J17" s="6">
        <f>((5803253*0.907184741)*36.74371)/1000000</f>
        <v>193.4417649628071</v>
      </c>
      <c r="K17" s="31"/>
      <c r="L17" s="6">
        <f>(5263949.5*36.74371)/1000000</f>
        <v>193.417033882645</v>
      </c>
      <c r="M17" s="6"/>
      <c r="N17" s="105"/>
      <c r="Q17" s="84"/>
      <c r="R17" s="111"/>
      <c r="S17" s="111"/>
    </row>
    <row r="18" spans="1:24" ht="16.5" customHeight="1">
      <c r="A18" s="15" t="s">
        <v>45</v>
      </c>
      <c r="B18" s="81"/>
      <c r="C18" s="81"/>
      <c r="D18" s="81"/>
      <c r="E18" s="32">
        <f>N14</f>
        <v>3000.7190000000001</v>
      </c>
      <c r="F18" s="32"/>
      <c r="G18" s="6">
        <f>SUM(G15:G17)</f>
        <v>2.5275520440770003</v>
      </c>
      <c r="H18" s="13">
        <f>SUM(E18:G18)</f>
        <v>3003.2465520440769</v>
      </c>
      <c r="I18" s="81"/>
      <c r="J18" s="6">
        <f>SUM(J15:J17)</f>
        <v>592.00669478553004</v>
      </c>
      <c r="K18" s="31">
        <f>M18-L18-J18</f>
        <v>-20.402957067857074</v>
      </c>
      <c r="L18" s="6">
        <f>SUM(L15:L17)</f>
        <v>586.56381432640399</v>
      </c>
      <c r="M18" s="6">
        <f>H18-N18</f>
        <v>1158.167552044077</v>
      </c>
      <c r="N18" s="105">
        <v>1845.079</v>
      </c>
      <c r="P18" s="34"/>
      <c r="R18" s="111"/>
      <c r="S18" s="111"/>
    </row>
    <row r="19" spans="1:24" ht="16.5" customHeight="1">
      <c r="A19" s="15" t="s">
        <v>46</v>
      </c>
      <c r="B19" s="81"/>
      <c r="C19" s="81"/>
      <c r="D19" s="81"/>
      <c r="E19" s="32"/>
      <c r="F19" s="32"/>
      <c r="G19" s="6">
        <f>(144280.7*36.74371)/1000000</f>
        <v>5.3014081993970006</v>
      </c>
      <c r="H19" s="13"/>
      <c r="I19" s="81"/>
      <c r="J19" s="6">
        <f>((6106056*0.907184741)*36.74371)/1000000</f>
        <v>203.53519820723619</v>
      </c>
      <c r="K19" s="31"/>
      <c r="L19" s="6">
        <f>(3054246.9*36.74371)/1000000</f>
        <v>112.22436236199898</v>
      </c>
      <c r="M19" s="6"/>
      <c r="N19" s="105"/>
      <c r="Q19" s="84"/>
      <c r="R19" s="111"/>
      <c r="S19" s="111"/>
    </row>
    <row r="20" spans="1:24" ht="16.5" customHeight="1">
      <c r="A20" s="15" t="s">
        <v>47</v>
      </c>
      <c r="B20" s="81"/>
      <c r="C20" s="81"/>
      <c r="D20" s="81"/>
      <c r="E20" s="32"/>
      <c r="F20" s="32"/>
      <c r="G20" s="6">
        <f>(57199.7*36.74371)/1000000</f>
        <v>2.101729188887</v>
      </c>
      <c r="H20" s="13"/>
      <c r="I20" s="81"/>
      <c r="J20" s="6">
        <f>((5327076*0.907184741)*36.74371)/1000000</f>
        <v>177.56919843594798</v>
      </c>
      <c r="K20" s="31"/>
      <c r="L20" s="6">
        <f>(1769751.6*36.74371)/1000000</f>
        <v>65.027239562436009</v>
      </c>
      <c r="M20" s="6"/>
      <c r="N20" s="105"/>
      <c r="R20" s="111"/>
      <c r="S20" s="111"/>
    </row>
    <row r="21" spans="1:24" ht="16.5" customHeight="1">
      <c r="A21" s="15" t="s">
        <v>48</v>
      </c>
      <c r="B21" s="81"/>
      <c r="C21" s="81"/>
      <c r="D21" s="81"/>
      <c r="E21" s="32"/>
      <c r="F21" s="32"/>
      <c r="G21" s="6">
        <f>(32603.2*36.74371)/1000000</f>
        <v>1.1979625258719999</v>
      </c>
      <c r="H21" s="13"/>
      <c r="I21" s="81"/>
      <c r="J21" s="6">
        <f>((5748779*0.907184741)*36.74371)/1000000</f>
        <v>191.62596497880088</v>
      </c>
      <c r="K21" s="31"/>
      <c r="L21" s="6">
        <f>(1410073.2*36.74371)/1000000</f>
        <v>51.811320739571997</v>
      </c>
      <c r="M21" s="6"/>
      <c r="N21" s="105"/>
      <c r="P21" s="81"/>
      <c r="Q21" s="84"/>
      <c r="R21" s="111"/>
      <c r="S21" s="111"/>
    </row>
    <row r="22" spans="1:24" ht="16.5" customHeight="1">
      <c r="A22" s="15" t="s">
        <v>54</v>
      </c>
      <c r="B22" s="81"/>
      <c r="C22" s="81"/>
      <c r="D22" s="81"/>
      <c r="E22" s="32">
        <f>N18</f>
        <v>1845.079</v>
      </c>
      <c r="F22" s="32"/>
      <c r="G22" s="6">
        <f>SUM(G19:G21)</f>
        <v>8.6010999141560003</v>
      </c>
      <c r="H22" s="13">
        <f>SUM(E22:G22)</f>
        <v>1853.680099914156</v>
      </c>
      <c r="I22" s="81"/>
      <c r="J22" s="6">
        <f>SUM(J19:J21)</f>
        <v>572.73036162198503</v>
      </c>
      <c r="K22" s="13">
        <f>M22-L22-J22</f>
        <v>81.836815628164118</v>
      </c>
      <c r="L22" s="6">
        <f>SUM(L19:L21)</f>
        <v>229.06292266400698</v>
      </c>
      <c r="M22" s="6">
        <f>H22-N22</f>
        <v>883.63009991415606</v>
      </c>
      <c r="N22" s="13">
        <v>970.05</v>
      </c>
      <c r="P22" s="81"/>
    </row>
    <row r="23" spans="1:24" ht="16.5" customHeight="1">
      <c r="A23" s="15" t="s">
        <v>49</v>
      </c>
      <c r="B23" s="81"/>
      <c r="C23" s="81"/>
      <c r="D23" s="81"/>
      <c r="E23" s="32"/>
      <c r="F23" s="32"/>
      <c r="G23" s="6">
        <f>(31221.6*36.74371)/1000000</f>
        <v>1.1471974161359999</v>
      </c>
      <c r="H23" s="13"/>
      <c r="I23" s="81"/>
      <c r="J23" s="6">
        <f>((5504777*0.907184741)*36.74371)/1000000</f>
        <v>183.49256505044087</v>
      </c>
      <c r="K23" s="13"/>
      <c r="L23" s="6">
        <f>(1338976.8*36.74371)/1000000</f>
        <v>49.198975235927996</v>
      </c>
      <c r="M23" s="6"/>
      <c r="N23" s="13"/>
    </row>
    <row r="24" spans="1:24" ht="16.5" customHeight="1">
      <c r="A24" s="15" t="s">
        <v>50</v>
      </c>
      <c r="B24" s="81"/>
      <c r="C24" s="81"/>
      <c r="D24" s="81"/>
      <c r="E24" s="32"/>
      <c r="F24" s="32"/>
      <c r="G24" s="6">
        <f>(59884.6*36.74371)/1000000</f>
        <v>2.2003823758659999</v>
      </c>
      <c r="H24" s="13"/>
      <c r="I24" s="81"/>
      <c r="J24" s="6">
        <f>((5798234*0.907184741)*36.74371)/1000000</f>
        <v>193.2744649642807</v>
      </c>
      <c r="K24" s="13"/>
      <c r="L24" s="6">
        <f>(1494549.2*36.74371)/1000000</f>
        <v>54.915282385532002</v>
      </c>
      <c r="M24" s="6"/>
      <c r="N24" s="13"/>
      <c r="Q24" s="84"/>
    </row>
    <row r="25" spans="1:24" ht="16.5" customHeight="1">
      <c r="A25" s="15" t="s">
        <v>51</v>
      </c>
      <c r="B25" s="81"/>
      <c r="C25" s="81"/>
      <c r="D25" s="81"/>
      <c r="E25" s="32"/>
      <c r="F25" s="32"/>
      <c r="G25" s="6">
        <f>(69907.6*36.74371)/1000000</f>
        <v>2.5686645811960003</v>
      </c>
      <c r="H25" s="13"/>
      <c r="I25" s="81"/>
      <c r="J25" s="6">
        <f>((5026648*0.907184741)*36.74371)/1000000</f>
        <v>167.55493185748824</v>
      </c>
      <c r="K25" s="13"/>
      <c r="L25" s="6">
        <f>(1714258.5*36.74371)/1000000</f>
        <v>62.988217189034998</v>
      </c>
      <c r="M25" s="6"/>
      <c r="N25" s="13"/>
    </row>
    <row r="26" spans="1:24" ht="16.5" customHeight="1">
      <c r="A26" s="15" t="s">
        <v>52</v>
      </c>
      <c r="B26" s="81"/>
      <c r="C26" s="81"/>
      <c r="D26" s="81"/>
      <c r="E26" s="32">
        <f>N22</f>
        <v>970.05</v>
      </c>
      <c r="F26" s="32"/>
      <c r="G26" s="6">
        <f>SUM(G23:G25)</f>
        <v>5.9162443731979995</v>
      </c>
      <c r="H26" s="13">
        <f>SUM(E26:G26)</f>
        <v>975.96624437319792</v>
      </c>
      <c r="I26" s="81"/>
      <c r="J26" s="6">
        <f>SUM(J23:J25)</f>
        <v>544.32196187220984</v>
      </c>
      <c r="K26" s="31">
        <f>M26-J26-L26</f>
        <v>-77.891192309506891</v>
      </c>
      <c r="L26" s="6">
        <f>SUM(L23:L25)</f>
        <v>167.10247481049498</v>
      </c>
      <c r="M26" s="6">
        <f>H26-N26</f>
        <v>633.53324437319793</v>
      </c>
      <c r="N26" s="97">
        <v>342.43299999999999</v>
      </c>
      <c r="Q26" s="121"/>
    </row>
    <row r="27" spans="1:24" ht="16.5" customHeight="1">
      <c r="A27" s="15" t="s">
        <v>29</v>
      </c>
      <c r="B27" s="81"/>
      <c r="C27" s="81"/>
      <c r="D27" s="81"/>
      <c r="E27" s="32"/>
      <c r="F27" s="32"/>
      <c r="G27" s="122">
        <f>(567039*36.74371)/1000000</f>
        <v>20.835116574689998</v>
      </c>
      <c r="H27" s="91"/>
      <c r="I27" s="92"/>
      <c r="J27" s="113">
        <f>SUM(J14,J18,J22,J26)</f>
        <v>2285.303146537427</v>
      </c>
      <c r="K27" s="6"/>
      <c r="L27" s="144">
        <f>(46128.4855*36.74371)/1000</f>
        <v>1694.931693951205</v>
      </c>
      <c r="M27" s="6"/>
      <c r="N27" s="13"/>
      <c r="Q27" s="84"/>
    </row>
    <row r="28" spans="1:24" ht="16.5" customHeight="1">
      <c r="A28" s="15"/>
      <c r="B28" s="81"/>
      <c r="C28" s="81"/>
      <c r="D28" s="81"/>
      <c r="E28" s="32"/>
      <c r="F28" s="32"/>
      <c r="G28" s="6"/>
      <c r="H28" s="13"/>
      <c r="I28" s="81"/>
      <c r="J28" s="145"/>
      <c r="K28" s="31"/>
      <c r="L28" s="6"/>
      <c r="M28" s="6"/>
      <c r="N28" s="13"/>
      <c r="R28" s="81"/>
    </row>
    <row r="29" spans="1:24" ht="16.5" customHeight="1">
      <c r="A29" s="30" t="s">
        <v>154</v>
      </c>
      <c r="B29" s="81"/>
      <c r="C29" s="81"/>
      <c r="D29" s="81"/>
      <c r="E29" s="32"/>
      <c r="F29" s="32"/>
      <c r="G29" s="6"/>
      <c r="H29" s="13"/>
      <c r="I29" s="81"/>
      <c r="J29" s="13"/>
      <c r="K29" s="31"/>
      <c r="L29" s="6"/>
      <c r="M29" s="6"/>
      <c r="N29" s="13"/>
      <c r="Q29" s="81"/>
      <c r="V29" s="94"/>
      <c r="X29" s="95"/>
    </row>
    <row r="30" spans="1:24" ht="16.5" customHeight="1">
      <c r="A30" s="15" t="s">
        <v>38</v>
      </c>
      <c r="B30" s="81"/>
      <c r="C30" s="81"/>
      <c r="D30" s="81"/>
      <c r="E30" s="32"/>
      <c r="F30" s="32"/>
      <c r="G30" s="6">
        <f>(83703.7*36.74371)/1000000</f>
        <v>3.0755844787269999</v>
      </c>
      <c r="H30" s="13"/>
      <c r="I30" s="81"/>
      <c r="J30" s="6">
        <f>((5595095*0.907185)*36.74371)/1000000</f>
        <v>186.5032182703211</v>
      </c>
      <c r="K30" s="31"/>
      <c r="L30" s="6">
        <f>(2977475.4*36.74371)/1000000</f>
        <v>109.40349262973399</v>
      </c>
      <c r="M30" s="6"/>
      <c r="N30" s="13"/>
      <c r="T30" s="93"/>
    </row>
    <row r="31" spans="1:24" s="127" customFormat="1" ht="16.5" customHeight="1">
      <c r="A31" s="119" t="s">
        <v>39</v>
      </c>
      <c r="B31" s="128"/>
      <c r="C31" s="128"/>
      <c r="D31" s="128"/>
      <c r="E31" s="129"/>
      <c r="F31" s="129"/>
      <c r="G31" s="103">
        <f>(21164.7*36.74371)/1000000</f>
        <v>0.77766959903699995</v>
      </c>
      <c r="H31" s="130"/>
      <c r="I31" s="128"/>
      <c r="J31" s="6">
        <f>((6473504*0.907185)*36.74371)/1000000</f>
        <v>215.78352637190193</v>
      </c>
      <c r="K31" s="131"/>
      <c r="L31" s="103">
        <f>(9426929.5*36.74371)/1000000</f>
        <v>346.380363738445</v>
      </c>
      <c r="M31" s="103"/>
      <c r="N31" s="130"/>
      <c r="T31" s="132"/>
    </row>
    <row r="32" spans="1:24" ht="16.5" customHeight="1">
      <c r="A32" s="15" t="s">
        <v>40</v>
      </c>
      <c r="B32" s="81"/>
      <c r="C32" s="81"/>
      <c r="D32" s="81"/>
      <c r="E32" s="32"/>
      <c r="F32" s="32"/>
      <c r="G32" s="100">
        <f>(41373.8*36.74371)/1000000</f>
        <v>1.520226908798</v>
      </c>
      <c r="H32" s="13"/>
      <c r="I32" s="81"/>
      <c r="J32" s="6">
        <f>((6301225*0.907185)*36.74371)/1000000</f>
        <v>210.04089144963655</v>
      </c>
      <c r="K32" s="31"/>
      <c r="L32" s="100">
        <f>((10024672.7)*36.74371)/1000000</f>
        <v>368.343666533717</v>
      </c>
      <c r="M32" s="6"/>
      <c r="N32" s="13"/>
      <c r="T32" s="93"/>
    </row>
    <row r="33" spans="1:20" ht="16.5" customHeight="1">
      <c r="A33" s="15" t="s">
        <v>41</v>
      </c>
      <c r="B33" s="81"/>
      <c r="C33" s="81"/>
      <c r="D33" s="81"/>
      <c r="E33" s="32">
        <f>N26</f>
        <v>342.43299999999999</v>
      </c>
      <c r="F33" s="60">
        <v>4366.4920000000002</v>
      </c>
      <c r="G33" s="6">
        <f>SUM(G30:G32)</f>
        <v>5.3734809865619999</v>
      </c>
      <c r="H33" s="13">
        <f>SUM(E33:G33)</f>
        <v>4714.298480986562</v>
      </c>
      <c r="I33" s="81"/>
      <c r="J33" s="6">
        <f>SUM(J30:J32)</f>
        <v>612.32763609185963</v>
      </c>
      <c r="K33" s="31">
        <f>M33-L33-J33</f>
        <v>178.10032199280647</v>
      </c>
      <c r="L33" s="6">
        <f>SUM(L30:L32)</f>
        <v>824.12752290189599</v>
      </c>
      <c r="M33" s="6">
        <f>H33-N33</f>
        <v>1614.5554809865621</v>
      </c>
      <c r="N33" s="105">
        <v>3099.7429999999999</v>
      </c>
      <c r="P33" s="34"/>
      <c r="R33" s="111"/>
      <c r="S33" s="111"/>
    </row>
    <row r="34" spans="1:20" ht="16.5" customHeight="1">
      <c r="A34" s="15" t="s">
        <v>42</v>
      </c>
      <c r="B34" s="81"/>
      <c r="C34" s="81"/>
      <c r="D34" s="81"/>
      <c r="E34" s="32"/>
      <c r="F34" s="60"/>
      <c r="G34" s="100">
        <f>(52301.5*36.74371)/1000000</f>
        <v>1.9217511485649998</v>
      </c>
      <c r="H34" s="13"/>
      <c r="I34" s="81"/>
      <c r="J34" s="6">
        <f>((6531043*0.907185)*36.74371)/1000000</f>
        <v>217.70149356925177</v>
      </c>
      <c r="K34" s="31"/>
      <c r="L34" s="100">
        <f>(7962483.8*36.74371)/1000000</f>
        <v>292.57119562689797</v>
      </c>
      <c r="M34" s="6"/>
      <c r="N34" s="105"/>
      <c r="P34" s="34"/>
      <c r="R34" s="111"/>
      <c r="S34" s="111"/>
    </row>
    <row r="35" spans="1:20" ht="16.5" customHeight="1">
      <c r="A35" s="15" t="s">
        <v>43</v>
      </c>
      <c r="B35" s="81"/>
      <c r="C35" s="81"/>
      <c r="D35" s="81"/>
      <c r="E35" s="32"/>
      <c r="F35" s="60"/>
      <c r="G35" s="100">
        <f>(61026*36.74371)/1000000</f>
        <v>2.2423216464599998</v>
      </c>
      <c r="H35" s="13"/>
      <c r="I35" s="81"/>
      <c r="J35" s="6">
        <f>((6376635*0.907185)*36.74371)/1000000</f>
        <v>212.55455881181089</v>
      </c>
      <c r="K35" s="31"/>
      <c r="L35" s="100">
        <f>(5211687.1*36.74371)/1000000</f>
        <v>191.49671941314099</v>
      </c>
      <c r="M35" s="6"/>
      <c r="N35" s="105"/>
      <c r="P35" s="34"/>
      <c r="Q35" s="34"/>
      <c r="R35" s="88"/>
      <c r="S35" s="111"/>
    </row>
    <row r="36" spans="1:20" s="127" customFormat="1" ht="16.5" customHeight="1">
      <c r="A36" s="119" t="s">
        <v>44</v>
      </c>
      <c r="B36" s="128"/>
      <c r="C36" s="128"/>
      <c r="D36" s="128"/>
      <c r="E36" s="129"/>
      <c r="F36" s="149"/>
      <c r="G36" s="148">
        <f>(66815.2*36.74371)/1000000</f>
        <v>2.4550383323920002</v>
      </c>
      <c r="H36" s="130"/>
      <c r="I36" s="128"/>
      <c r="J36" s="103">
        <f>((5687304*0.907185)*36.74371)/1000000</f>
        <v>189.57685245409957</v>
      </c>
      <c r="K36" s="131"/>
      <c r="L36" s="100">
        <f>(3117201.8*36.74371)/1000000</f>
        <v>114.53755895067799</v>
      </c>
      <c r="M36" s="103"/>
      <c r="N36" s="150"/>
      <c r="P36" s="151"/>
      <c r="Q36" s="151"/>
      <c r="R36" s="152"/>
      <c r="S36" s="153"/>
    </row>
    <row r="37" spans="1:20" s="127" customFormat="1" ht="16.5" customHeight="1">
      <c r="A37" s="119" t="s">
        <v>45</v>
      </c>
      <c r="B37" s="128"/>
      <c r="C37" s="128"/>
      <c r="D37" s="128"/>
      <c r="E37" s="129">
        <f>N33</f>
        <v>3099.7429999999999</v>
      </c>
      <c r="F37" s="149"/>
      <c r="G37" s="148">
        <f>SUM(G34:G36)</f>
        <v>6.6191111274169998</v>
      </c>
      <c r="H37" s="130">
        <f>SUM(E37:G37)</f>
        <v>3106.3621111274169</v>
      </c>
      <c r="I37" s="148">
        <f t="shared" ref="I37" si="0">SUM(I34:I36)</f>
        <v>0</v>
      </c>
      <c r="J37" s="148">
        <f>SUM(J34:J36)</f>
        <v>619.83290483516225</v>
      </c>
      <c r="K37" s="131">
        <f>M37-L37-J37</f>
        <v>-22.113267698462323</v>
      </c>
      <c r="L37" s="103">
        <f>SUM(L34:L36)</f>
        <v>598.60547399071697</v>
      </c>
      <c r="M37" s="103">
        <f>H37-N37</f>
        <v>1196.3251111274169</v>
      </c>
      <c r="N37" s="150">
        <v>1910.037</v>
      </c>
      <c r="P37" s="151"/>
      <c r="Q37" s="151"/>
      <c r="R37" s="152"/>
      <c r="S37" s="153"/>
    </row>
    <row r="38" spans="1:20" ht="16.5" customHeight="1">
      <c r="A38" s="15" t="s">
        <v>46</v>
      </c>
      <c r="B38" s="81"/>
      <c r="C38" s="81"/>
      <c r="D38" s="81"/>
      <c r="E38" s="32"/>
      <c r="F38" s="60"/>
      <c r="G38" s="100">
        <f>(47350.9*36.74371)/1000000</f>
        <v>1.739847737839</v>
      </c>
      <c r="H38" s="13"/>
      <c r="I38" s="100"/>
      <c r="J38" s="6">
        <f>((6197177*0.907185)*36.74371)/1000000</f>
        <v>206.57262382333343</v>
      </c>
      <c r="K38" s="31"/>
      <c r="L38" s="100">
        <f>(3498236.8*36.74371)/1000000</f>
        <v>128.53819849052798</v>
      </c>
      <c r="M38" s="6"/>
      <c r="N38" s="105"/>
      <c r="P38" s="34"/>
      <c r="Q38" s="34"/>
      <c r="R38" s="183"/>
      <c r="S38" s="111"/>
    </row>
    <row r="39" spans="1:20" ht="16.5" customHeight="1">
      <c r="A39" s="77" t="s">
        <v>55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78"/>
      <c r="M39" s="67"/>
      <c r="N39" s="67"/>
      <c r="T39" s="93"/>
    </row>
    <row r="40" spans="1:20" ht="16.5" customHeight="1">
      <c r="A40" s="15" t="s">
        <v>56</v>
      </c>
      <c r="B40" s="15"/>
      <c r="C40" s="15"/>
      <c r="D40" s="15"/>
      <c r="E40" s="35"/>
      <c r="F40" s="35"/>
      <c r="G40" s="35"/>
      <c r="H40" s="35"/>
      <c r="I40" s="35"/>
      <c r="J40" s="35"/>
      <c r="K40" s="35"/>
      <c r="L40" s="35"/>
      <c r="M40" s="35"/>
      <c r="N40" s="35"/>
      <c r="T40" s="93"/>
    </row>
    <row r="41" spans="1:20" ht="16.5" customHeight="1">
      <c r="A41" s="20" t="s">
        <v>57</v>
      </c>
      <c r="B41" s="36">
        <f>Contents!A18</f>
        <v>45791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T41" s="93"/>
    </row>
    <row r="42" spans="1:20" ht="16.5" customHeight="1">
      <c r="T42" s="93"/>
    </row>
    <row r="43" spans="1:20" ht="16.5" customHeight="1">
      <c r="J43" s="34"/>
      <c r="K43" s="34"/>
      <c r="L43" s="84"/>
      <c r="M43" s="88"/>
      <c r="T43" s="93"/>
    </row>
    <row r="44" spans="1:20" ht="16.5" customHeight="1">
      <c r="J44" s="34"/>
      <c r="K44" s="90"/>
      <c r="L44" s="34"/>
      <c r="M44" s="34"/>
      <c r="P44" s="34"/>
      <c r="T44" s="93"/>
    </row>
    <row r="45" spans="1:20" ht="16.5" customHeight="1">
      <c r="J45" s="34"/>
      <c r="L45" s="143"/>
      <c r="T45" s="93"/>
    </row>
    <row r="46" spans="1:20" ht="16.5" customHeight="1">
      <c r="J46" s="34"/>
      <c r="L46" s="126"/>
      <c r="T46" s="93"/>
    </row>
    <row r="47" spans="1:20" ht="16.5" customHeight="1">
      <c r="J47" s="34"/>
      <c r="L47" s="34"/>
      <c r="T47" s="93"/>
    </row>
    <row r="48" spans="1:20" ht="16.5" customHeight="1">
      <c r="J48" s="34"/>
      <c r="L48" s="34"/>
      <c r="T48" s="93"/>
    </row>
    <row r="49" spans="5:73" ht="16.5" customHeight="1">
      <c r="T49" s="93"/>
    </row>
    <row r="50" spans="5:73" ht="16.5" customHeight="1">
      <c r="T50" s="93"/>
    </row>
    <row r="51" spans="5:73" ht="16.5" customHeight="1">
      <c r="T51" s="93"/>
    </row>
    <row r="52" spans="5:73" ht="16.5" customHeight="1">
      <c r="E52" s="88"/>
      <c r="T52" s="93"/>
    </row>
    <row r="53" spans="5:73" ht="16.5" customHeight="1"/>
    <row r="54" spans="5:73" ht="16.5" customHeight="1"/>
    <row r="55" spans="5:73" ht="16.5" customHeight="1"/>
    <row r="56" spans="5:73" ht="16.5" customHeight="1"/>
    <row r="57" spans="5:73" ht="16.5" customHeight="1">
      <c r="O57" s="81"/>
      <c r="P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</row>
    <row r="58" spans="5:73">
      <c r="O58" s="81"/>
      <c r="P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</row>
    <row r="59" spans="5:73">
      <c r="O59" s="81"/>
      <c r="P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</row>
    <row r="60" spans="5:73">
      <c r="O60" s="81"/>
      <c r="P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</row>
    <row r="61" spans="5:73">
      <c r="O61" s="81"/>
      <c r="P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</row>
    <row r="62" spans="5:73">
      <c r="O62" s="81"/>
      <c r="P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</row>
    <row r="63" spans="5:73">
      <c r="O63" s="81"/>
      <c r="P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</row>
    <row r="64" spans="5:73">
      <c r="O64" s="81"/>
      <c r="P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</row>
    <row r="65" spans="15:73">
      <c r="O65" s="81"/>
      <c r="P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</row>
    <row r="66" spans="15:73">
      <c r="O66" s="81"/>
      <c r="P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</row>
    <row r="67" spans="15:73">
      <c r="O67" s="81"/>
      <c r="P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</row>
    <row r="68" spans="15:73">
      <c r="O68" s="81"/>
      <c r="P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</row>
    <row r="69" spans="15:73">
      <c r="O69" s="81"/>
      <c r="P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</row>
    <row r="70" spans="15:73">
      <c r="O70" s="81"/>
      <c r="P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</row>
    <row r="71" spans="15:73">
      <c r="O71" s="81"/>
      <c r="P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</row>
    <row r="72" spans="15:73">
      <c r="O72" s="81"/>
      <c r="P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</row>
    <row r="73" spans="15:73">
      <c r="O73" s="81"/>
      <c r="P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</row>
    <row r="74" spans="15:73">
      <c r="O74" s="81"/>
      <c r="P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</row>
    <row r="75" spans="15:73">
      <c r="O75" s="81"/>
      <c r="P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</row>
    <row r="76" spans="15:73">
      <c r="O76" s="81"/>
      <c r="P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</row>
    <row r="77" spans="15:73">
      <c r="O77" s="81"/>
      <c r="P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</row>
    <row r="78" spans="15:73">
      <c r="O78" s="81"/>
      <c r="P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</row>
    <row r="79" spans="15:73">
      <c r="O79" s="81"/>
      <c r="P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</row>
    <row r="80" spans="15:73">
      <c r="O80" s="81"/>
      <c r="P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</row>
    <row r="81" spans="15:73">
      <c r="O81" s="81"/>
      <c r="P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</row>
    <row r="82" spans="15:73">
      <c r="O82" s="81"/>
      <c r="P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</row>
    <row r="83" spans="15:73">
      <c r="O83" s="81"/>
      <c r="P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</row>
    <row r="84" spans="15:73">
      <c r="O84" s="81"/>
      <c r="P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</row>
    <row r="85" spans="15:73"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</row>
    <row r="86" spans="15:73"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</row>
    <row r="87" spans="15:73"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</row>
    <row r="88" spans="15:73"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</row>
    <row r="89" spans="15:73"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</row>
    <row r="90" spans="15:73"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</row>
    <row r="91" spans="15:73"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</row>
    <row r="92" spans="15:73"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</row>
    <row r="93" spans="15:73"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</row>
    <row r="94" spans="15:73"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</row>
    <row r="95" spans="15:73"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</row>
    <row r="96" spans="15:73"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</row>
    <row r="97" spans="15:73"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</row>
    <row r="98" spans="15:73"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</row>
    <row r="99" spans="15:73"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</row>
    <row r="100" spans="15:73"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</row>
    <row r="101" spans="15:73"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</row>
    <row r="102" spans="15:73"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</row>
    <row r="103" spans="15:73"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</row>
    <row r="104" spans="15:73"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</row>
    <row r="105" spans="15:73"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</row>
    <row r="106" spans="15:73"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</row>
    <row r="107" spans="15:73"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</row>
    <row r="108" spans="15:73"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</row>
    <row r="109" spans="15:73"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</row>
    <row r="110" spans="15:73"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</row>
    <row r="111" spans="15:73"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</row>
    <row r="112" spans="15:73"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</row>
    <row r="113" spans="15:73"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</row>
    <row r="114" spans="15:73"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</row>
    <row r="115" spans="15:73"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</row>
    <row r="116" spans="15:73"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</row>
    <row r="117" spans="15:73"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</row>
    <row r="118" spans="15:73"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</row>
    <row r="119" spans="15:73"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</row>
    <row r="120" spans="15:73"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</row>
    <row r="121" spans="15:73"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</row>
    <row r="122" spans="15:73"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</row>
    <row r="123" spans="15:73"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</row>
    <row r="124" spans="15:73"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</row>
    <row r="125" spans="15:73"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</row>
    <row r="126" spans="15:73"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</row>
    <row r="127" spans="15:73"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</row>
    <row r="128" spans="15:73"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</row>
    <row r="129" spans="15:73"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</row>
    <row r="130" spans="15:73"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</row>
    <row r="131" spans="15:73"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</row>
    <row r="132" spans="15:73"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</row>
    <row r="133" spans="15:73"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</row>
    <row r="134" spans="15:73"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</row>
    <row r="135" spans="15:73"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</row>
    <row r="136" spans="15:73"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</row>
    <row r="137" spans="15:73"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</row>
    <row r="138" spans="15:73"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</row>
    <row r="139" spans="15:73"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</row>
    <row r="140" spans="15:73"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</row>
    <row r="141" spans="15:73"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</row>
    <row r="142" spans="15:73"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</row>
    <row r="143" spans="15:73"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</row>
    <row r="144" spans="15:73"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</row>
    <row r="145" spans="15:73"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</row>
    <row r="146" spans="15:73"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</row>
    <row r="147" spans="15:73"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</row>
    <row r="148" spans="15:73"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</row>
    <row r="149" spans="15:73"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</row>
    <row r="150" spans="15:73"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</row>
    <row r="151" spans="15:73"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</row>
    <row r="152" spans="15:73"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</row>
    <row r="153" spans="15:73"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</row>
    <row r="154" spans="15:73"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</row>
    <row r="155" spans="15:73"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</row>
    <row r="156" spans="15:73"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</row>
    <row r="157" spans="15:73"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</row>
    <row r="158" spans="15:73"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</row>
    <row r="159" spans="15:73"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</row>
    <row r="160" spans="15:73"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</row>
    <row r="161" spans="15:73"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</row>
    <row r="162" spans="15:73"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</row>
    <row r="163" spans="15:73"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</row>
    <row r="164" spans="15:73"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</row>
    <row r="165" spans="15:73"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</row>
    <row r="166" spans="15:73"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</row>
    <row r="167" spans="15:73"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</row>
    <row r="168" spans="15:73"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</row>
    <row r="169" spans="15:73"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</row>
    <row r="170" spans="15:73"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</row>
    <row r="171" spans="15:73"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</row>
    <row r="172" spans="15:73"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</row>
    <row r="173" spans="15:73"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</row>
    <row r="174" spans="15:73"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</row>
    <row r="175" spans="15:73"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</row>
    <row r="176" spans="15:73"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</row>
    <row r="177" spans="15:73"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</row>
    <row r="178" spans="15:73"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</row>
    <row r="179" spans="15:73"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</row>
    <row r="180" spans="15:73"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</row>
    <row r="181" spans="15:73"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</row>
    <row r="182" spans="15:73"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</row>
    <row r="183" spans="15:73"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</row>
    <row r="184" spans="15:73"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</row>
    <row r="185" spans="15:73"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</row>
    <row r="186" spans="15:73"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</row>
    <row r="187" spans="15:73"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</row>
    <row r="188" spans="15:73"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</row>
    <row r="189" spans="15:73"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</row>
    <row r="190" spans="15:73"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</row>
    <row r="191" spans="15:73"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</row>
    <row r="192" spans="15:73"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</row>
    <row r="193" spans="15:73"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</row>
    <row r="194" spans="15:73"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</row>
    <row r="195" spans="15:73"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</row>
    <row r="196" spans="15:73"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</row>
    <row r="197" spans="15:73"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</row>
    <row r="198" spans="15:73"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</row>
    <row r="199" spans="15:73"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</row>
    <row r="200" spans="15:73"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</row>
    <row r="201" spans="15:73"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</row>
    <row r="202" spans="15:73"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</row>
    <row r="203" spans="15:73"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</row>
    <row r="204" spans="15:73"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</row>
    <row r="205" spans="15:73"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</row>
    <row r="206" spans="15:73"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</row>
    <row r="207" spans="15:73"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</row>
    <row r="208" spans="15:73"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</row>
    <row r="209" spans="15:73"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</row>
    <row r="210" spans="15:73"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</row>
    <row r="211" spans="15:73"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</row>
    <row r="212" spans="15:73"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</row>
    <row r="213" spans="15:73"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</row>
    <row r="214" spans="15:73"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</row>
    <row r="215" spans="15:73"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</row>
    <row r="216" spans="15:73"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</row>
    <row r="217" spans="15:73"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</row>
    <row r="218" spans="15:73"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</row>
    <row r="219" spans="15:73"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</row>
    <row r="220" spans="15:73"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</row>
    <row r="221" spans="15:73"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</row>
    <row r="222" spans="15:73"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</row>
    <row r="223" spans="15:73"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</row>
    <row r="224" spans="15:73"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</row>
    <row r="225" spans="15:73"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</row>
    <row r="226" spans="15:73"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</row>
    <row r="227" spans="15:73"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</row>
    <row r="228" spans="15:73"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</row>
    <row r="229" spans="15:73"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</row>
    <row r="230" spans="15:73"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</row>
    <row r="231" spans="15:73"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</row>
    <row r="232" spans="15:73"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</row>
    <row r="233" spans="15:73"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</row>
    <row r="234" spans="15:73"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</row>
    <row r="235" spans="15:73"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</row>
    <row r="236" spans="15:73"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</row>
    <row r="237" spans="15:73"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</row>
    <row r="238" spans="15:73"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</row>
    <row r="239" spans="15:73"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</row>
    <row r="240" spans="15:73"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</row>
    <row r="241" spans="15:73"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</row>
    <row r="242" spans="15:73"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</row>
    <row r="243" spans="15:73"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</row>
    <row r="244" spans="15:73"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</row>
    <row r="245" spans="15:73"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</row>
    <row r="246" spans="15:73"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</row>
    <row r="247" spans="15:73"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</row>
    <row r="248" spans="15:73"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</row>
    <row r="249" spans="15:73"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</row>
    <row r="250" spans="15:73"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</row>
    <row r="251" spans="15:73"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</row>
    <row r="252" spans="15:73"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</row>
    <row r="253" spans="15:73"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</row>
    <row r="254" spans="15:73"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</row>
    <row r="255" spans="15:73"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</row>
    <row r="256" spans="15:73"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</row>
    <row r="257" spans="15:73"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</row>
    <row r="258" spans="15:73"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</row>
    <row r="259" spans="15:73"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</row>
    <row r="260" spans="15:73"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</row>
    <row r="261" spans="15:73"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</row>
    <row r="262" spans="15:73"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</row>
    <row r="263" spans="15:73"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</row>
    <row r="264" spans="15:73"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</row>
    <row r="265" spans="15:73"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</row>
    <row r="266" spans="15:73"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</row>
    <row r="267" spans="15:73"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</row>
    <row r="268" spans="15:73"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</row>
    <row r="269" spans="15:73"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</row>
    <row r="270" spans="15:73"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</row>
    <row r="271" spans="15:73"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</row>
    <row r="272" spans="15:73"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</row>
    <row r="273" spans="15:73"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</row>
    <row r="274" spans="15:73"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</row>
    <row r="275" spans="15:73"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</row>
    <row r="276" spans="15:73"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</row>
    <row r="277" spans="15:73"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</row>
    <row r="278" spans="15:73"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</row>
    <row r="279" spans="15:73"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</row>
    <row r="280" spans="15:73"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</row>
    <row r="281" spans="15:73"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</row>
    <row r="282" spans="15:73"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</row>
    <row r="283" spans="15:73"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</row>
    <row r="284" spans="15:73"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</row>
    <row r="285" spans="15:73"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</row>
    <row r="286" spans="15:73"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</row>
    <row r="287" spans="15:73"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</row>
    <row r="288" spans="15:73"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</row>
    <row r="289" spans="15:73"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</row>
    <row r="290" spans="15:73"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</row>
    <row r="291" spans="15:73"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</row>
    <row r="292" spans="15:73"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</row>
    <row r="293" spans="15:73"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</row>
    <row r="294" spans="15:73"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</row>
    <row r="295" spans="15:73"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</row>
    <row r="296" spans="15:73"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</row>
    <row r="297" spans="15:73"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</row>
    <row r="298" spans="15:73"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</row>
    <row r="299" spans="15:73"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</row>
    <row r="300" spans="15:73"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</row>
    <row r="301" spans="15:73"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</row>
    <row r="302" spans="15:73"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</row>
    <row r="303" spans="15:73"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</row>
    <row r="304" spans="15:73"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</row>
    <row r="305" spans="15:73"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</row>
    <row r="306" spans="15:73"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</row>
    <row r="307" spans="15:73"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</row>
    <row r="308" spans="15:73"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</row>
    <row r="309" spans="15:73"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</row>
    <row r="310" spans="15:73"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</row>
    <row r="311" spans="15:73"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</row>
    <row r="312" spans="15:73"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</row>
    <row r="313" spans="15:73"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</row>
    <row r="314" spans="15:73"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</row>
    <row r="315" spans="15:73"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</row>
    <row r="316" spans="15:73"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</row>
    <row r="317" spans="15:73"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</row>
    <row r="318" spans="15:73"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</row>
    <row r="319" spans="15:73"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</row>
    <row r="320" spans="15:73"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</row>
    <row r="321" spans="15:73"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</row>
    <row r="322" spans="15:73"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</row>
    <row r="323" spans="15:73"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</row>
    <row r="324" spans="15:73"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</row>
    <row r="325" spans="15:73"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</row>
    <row r="326" spans="15:73"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</row>
    <row r="327" spans="15:73"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</row>
    <row r="328" spans="15:73"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</row>
    <row r="329" spans="15:73"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</row>
    <row r="330" spans="15:73"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</row>
    <row r="331" spans="15:73"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</row>
    <row r="332" spans="15:73"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</row>
    <row r="333" spans="15:73"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</row>
    <row r="334" spans="15:73"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</row>
    <row r="335" spans="15:73"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</row>
    <row r="336" spans="15:73"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</row>
    <row r="337" spans="15:73"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</row>
    <row r="338" spans="15:73"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</row>
    <row r="339" spans="15:73"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</row>
    <row r="340" spans="15:73"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</row>
    <row r="341" spans="15:73"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</row>
    <row r="342" spans="15:73"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</row>
    <row r="343" spans="15:73"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</row>
    <row r="344" spans="15:73"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</row>
    <row r="345" spans="15:73"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</row>
    <row r="346" spans="15:73"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</row>
    <row r="347" spans="15:73"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</row>
    <row r="348" spans="15:73"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</row>
    <row r="349" spans="15:73"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</row>
    <row r="350" spans="15:73"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</row>
    <row r="351" spans="15:73"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</row>
    <row r="352" spans="15:73"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</row>
    <row r="353" spans="15:73"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</row>
    <row r="354" spans="15:73"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</row>
    <row r="355" spans="15:73"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</row>
    <row r="356" spans="15:73"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</row>
    <row r="357" spans="15:73"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</row>
    <row r="358" spans="15:73"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</row>
    <row r="359" spans="15:73"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</row>
    <row r="360" spans="15:73"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</row>
    <row r="361" spans="15:73"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</row>
    <row r="362" spans="15:73"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</row>
    <row r="363" spans="15:73"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</row>
    <row r="364" spans="15:73"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</row>
    <row r="365" spans="15:73"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</row>
    <row r="366" spans="15:73"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</row>
    <row r="367" spans="15:73"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</row>
    <row r="368" spans="15:73"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</row>
    <row r="369" spans="15:73"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</row>
    <row r="370" spans="15:73"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</row>
    <row r="371" spans="15:73"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</row>
    <row r="372" spans="15:73"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</row>
    <row r="373" spans="15:73"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</row>
    <row r="374" spans="15:73"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</row>
    <row r="375" spans="15:73"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</row>
    <row r="376" spans="15:73"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</row>
    <row r="377" spans="15:73"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</row>
    <row r="378" spans="15:73"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</row>
    <row r="379" spans="15:73"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</row>
    <row r="380" spans="15:73"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</row>
    <row r="381" spans="15:73"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</row>
    <row r="382" spans="15:73"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</row>
    <row r="383" spans="15:73"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</row>
    <row r="384" spans="15:73"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</row>
    <row r="385" spans="15:73"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</row>
    <row r="386" spans="15:73"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</row>
    <row r="387" spans="15:73"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</row>
    <row r="388" spans="15:73"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</row>
    <row r="389" spans="15:73"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</row>
    <row r="390" spans="15:73"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</row>
    <row r="391" spans="15:73"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</row>
    <row r="392" spans="15:73"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</row>
    <row r="393" spans="15:73"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</row>
    <row r="394" spans="15:73"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</row>
    <row r="395" spans="15:73"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</row>
    <row r="396" spans="15:73"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</row>
    <row r="397" spans="15:73"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</row>
    <row r="398" spans="15:73"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</row>
    <row r="399" spans="15:73"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</row>
    <row r="400" spans="15:73"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</row>
    <row r="401" spans="15:73"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</row>
    <row r="402" spans="15:73"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</row>
    <row r="403" spans="15:73"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</row>
    <row r="404" spans="15:73"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</row>
    <row r="405" spans="15:73"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</row>
    <row r="406" spans="15:73"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</row>
    <row r="407" spans="15:73"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</row>
    <row r="408" spans="15:73"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</row>
    <row r="409" spans="15:73"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</row>
    <row r="410" spans="15:73"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</row>
    <row r="411" spans="15:73"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</row>
    <row r="412" spans="15:73"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</row>
    <row r="413" spans="15:73"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</row>
    <row r="414" spans="15:73"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</row>
    <row r="415" spans="15:73"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</row>
    <row r="416" spans="15:73"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</row>
    <row r="417" spans="15:73"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</row>
    <row r="418" spans="15:73"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</row>
    <row r="419" spans="15:73"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</row>
    <row r="420" spans="15:73"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</row>
    <row r="421" spans="15:73"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</row>
    <row r="422" spans="15:73"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</row>
    <row r="423" spans="15:73"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</row>
    <row r="424" spans="15:73"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</row>
    <row r="425" spans="15:73"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</row>
    <row r="426" spans="15:73"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</row>
    <row r="427" spans="15:73"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</row>
    <row r="428" spans="15:73"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</row>
    <row r="429" spans="15:73"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</row>
    <row r="430" spans="15:73"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</row>
    <row r="431" spans="15:73"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</row>
    <row r="432" spans="15:73"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</row>
    <row r="433" spans="15:73"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</row>
    <row r="434" spans="15:73"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</row>
    <row r="435" spans="15:73"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</row>
    <row r="436" spans="15:73"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</row>
    <row r="437" spans="15:73"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</row>
    <row r="438" spans="15:73"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</row>
    <row r="439" spans="15:73"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</row>
    <row r="440" spans="15:73"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</row>
    <row r="441" spans="15:73"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</row>
    <row r="442" spans="15:73"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</row>
    <row r="443" spans="15:73"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</row>
    <row r="444" spans="15:73"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</row>
    <row r="445" spans="15:73"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</row>
    <row r="446" spans="15:73"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</row>
    <row r="447" spans="15:73"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</row>
    <row r="448" spans="15:73"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</row>
    <row r="449" spans="15:73"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</row>
    <row r="450" spans="15:73"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</row>
    <row r="451" spans="15:73"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</row>
    <row r="452" spans="15:73"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</row>
    <row r="453" spans="15:73"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</row>
    <row r="454" spans="15:73"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</row>
    <row r="455" spans="15:73"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</row>
    <row r="456" spans="15:73"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</row>
    <row r="457" spans="15:73"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</row>
    <row r="458" spans="15:73"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</row>
    <row r="459" spans="15:73"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</row>
    <row r="460" spans="15:73"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</row>
    <row r="461" spans="15:73"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</row>
    <row r="462" spans="15:73"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</row>
    <row r="463" spans="15:73"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</row>
    <row r="464" spans="15:73"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</row>
    <row r="465" spans="15:73"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</row>
    <row r="466" spans="15:73"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</row>
    <row r="467" spans="15:73"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</row>
    <row r="468" spans="15:73"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</row>
    <row r="469" spans="15:73"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</row>
    <row r="470" spans="15:73"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</row>
    <row r="471" spans="15:73"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</row>
    <row r="472" spans="15:73"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</row>
    <row r="473" spans="15:73"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</row>
    <row r="474" spans="15:73"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</row>
    <row r="475" spans="15:73"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</row>
    <row r="476" spans="15:73"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</row>
    <row r="477" spans="15:73"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</row>
    <row r="478" spans="15:73"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</row>
    <row r="479" spans="15:73"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</row>
    <row r="480" spans="15:73"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</row>
    <row r="481" spans="15:73"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</row>
    <row r="482" spans="15:73"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</row>
    <row r="483" spans="15:73"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</row>
    <row r="484" spans="15:73"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</row>
    <row r="485" spans="15:73"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</row>
    <row r="486" spans="15:73"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</row>
    <row r="487" spans="15:73"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</row>
    <row r="488" spans="15:73"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</row>
    <row r="489" spans="15:73"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</row>
    <row r="490" spans="15:73"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</row>
    <row r="491" spans="15:73"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</row>
    <row r="492" spans="15:73"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</row>
    <row r="493" spans="15:73"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</row>
    <row r="494" spans="15:73"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</row>
    <row r="495" spans="15:73"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</row>
    <row r="496" spans="15:73"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</row>
    <row r="497" spans="15:73"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</row>
    <row r="498" spans="15:73"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</row>
    <row r="499" spans="15:73"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</row>
    <row r="500" spans="15:73"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</row>
    <row r="501" spans="15:73"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</row>
    <row r="502" spans="15:73"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</row>
    <row r="503" spans="15:73"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</row>
    <row r="504" spans="15:73"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1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1"/>
      <c r="BO504" s="81"/>
      <c r="BP504" s="81"/>
      <c r="BQ504" s="81"/>
      <c r="BR504" s="81"/>
      <c r="BS504" s="81"/>
      <c r="BT504" s="81"/>
      <c r="BU504" s="81"/>
    </row>
    <row r="505" spans="15:73"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1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1"/>
      <c r="BO505" s="81"/>
      <c r="BP505" s="81"/>
      <c r="BQ505" s="81"/>
      <c r="BR505" s="81"/>
      <c r="BS505" s="81"/>
      <c r="BT505" s="81"/>
      <c r="BU505" s="81"/>
    </row>
    <row r="506" spans="15:73"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1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1"/>
      <c r="BO506" s="81"/>
      <c r="BP506" s="81"/>
      <c r="BQ506" s="81"/>
      <c r="BR506" s="81"/>
      <c r="BS506" s="81"/>
      <c r="BT506" s="81"/>
      <c r="BU506" s="81"/>
    </row>
    <row r="507" spans="15:73"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1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1"/>
      <c r="BO507" s="81"/>
      <c r="BP507" s="81"/>
      <c r="BQ507" s="81"/>
      <c r="BR507" s="81"/>
      <c r="BS507" s="81"/>
      <c r="BT507" s="81"/>
      <c r="BU507" s="81"/>
    </row>
    <row r="508" spans="15:73"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1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1"/>
      <c r="BO508" s="81"/>
      <c r="BP508" s="81"/>
      <c r="BQ508" s="81"/>
      <c r="BR508" s="81"/>
      <c r="BS508" s="81"/>
      <c r="BT508" s="81"/>
      <c r="BU508" s="81"/>
    </row>
    <row r="509" spans="15:73"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1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1"/>
      <c r="BO509" s="81"/>
      <c r="BP509" s="81"/>
      <c r="BQ509" s="81"/>
      <c r="BR509" s="81"/>
      <c r="BS509" s="81"/>
      <c r="BT509" s="81"/>
      <c r="BU509" s="81"/>
    </row>
    <row r="510" spans="15:73"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1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1"/>
      <c r="BO510" s="81"/>
      <c r="BP510" s="81"/>
      <c r="BQ510" s="81"/>
      <c r="BR510" s="81"/>
      <c r="BS510" s="81"/>
      <c r="BT510" s="81"/>
      <c r="BU510" s="81"/>
    </row>
    <row r="511" spans="15:73"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1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1"/>
      <c r="BO511" s="81"/>
      <c r="BP511" s="81"/>
      <c r="BQ511" s="81"/>
      <c r="BR511" s="81"/>
      <c r="BS511" s="81"/>
      <c r="BT511" s="81"/>
      <c r="BU511" s="81"/>
    </row>
    <row r="512" spans="15:73"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1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1"/>
      <c r="BO512" s="81"/>
      <c r="BP512" s="81"/>
      <c r="BQ512" s="81"/>
      <c r="BR512" s="81"/>
      <c r="BS512" s="81"/>
      <c r="BT512" s="81"/>
      <c r="BU512" s="81"/>
    </row>
    <row r="513" spans="15:73"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1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1"/>
      <c r="BO513" s="81"/>
      <c r="BP513" s="81"/>
      <c r="BQ513" s="81"/>
      <c r="BR513" s="81"/>
      <c r="BS513" s="81"/>
      <c r="BT513" s="81"/>
      <c r="BU513" s="81"/>
    </row>
    <row r="514" spans="15:73"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1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1"/>
      <c r="BO514" s="81"/>
      <c r="BP514" s="81"/>
      <c r="BQ514" s="81"/>
      <c r="BR514" s="81"/>
      <c r="BS514" s="81"/>
      <c r="BT514" s="81"/>
      <c r="BU514" s="81"/>
    </row>
    <row r="515" spans="15:73"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1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1"/>
      <c r="BO515" s="81"/>
      <c r="BP515" s="81"/>
      <c r="BQ515" s="81"/>
      <c r="BR515" s="81"/>
      <c r="BS515" s="81"/>
      <c r="BT515" s="81"/>
      <c r="BU515" s="81"/>
    </row>
    <row r="516" spans="15:73"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1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1"/>
      <c r="BO516" s="81"/>
      <c r="BP516" s="81"/>
      <c r="BQ516" s="81"/>
      <c r="BR516" s="81"/>
      <c r="BS516" s="81"/>
      <c r="BT516" s="81"/>
      <c r="BU516" s="81"/>
    </row>
    <row r="517" spans="15:73"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1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1"/>
      <c r="BO517" s="81"/>
      <c r="BP517" s="81"/>
      <c r="BQ517" s="81"/>
      <c r="BR517" s="81"/>
      <c r="BS517" s="81"/>
      <c r="BT517" s="81"/>
      <c r="BU517" s="81"/>
    </row>
    <row r="518" spans="15:73"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1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1"/>
      <c r="BO518" s="81"/>
      <c r="BP518" s="81"/>
      <c r="BQ518" s="81"/>
      <c r="BR518" s="81"/>
      <c r="BS518" s="81"/>
      <c r="BT518" s="81"/>
      <c r="BU518" s="81"/>
    </row>
    <row r="519" spans="15:73"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1"/>
      <c r="BO519" s="81"/>
      <c r="BP519" s="81"/>
      <c r="BQ519" s="81"/>
      <c r="BR519" s="81"/>
      <c r="BS519" s="81"/>
      <c r="BT519" s="81"/>
      <c r="BU519" s="81"/>
    </row>
    <row r="520" spans="15:73"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1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1"/>
      <c r="BO520" s="81"/>
      <c r="BP520" s="81"/>
      <c r="BQ520" s="81"/>
      <c r="BR520" s="81"/>
      <c r="BS520" s="81"/>
      <c r="BT520" s="81"/>
      <c r="BU520" s="81"/>
    </row>
    <row r="521" spans="15:73"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1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1"/>
      <c r="BO521" s="81"/>
      <c r="BP521" s="81"/>
      <c r="BQ521" s="81"/>
      <c r="BR521" s="81"/>
      <c r="BS521" s="81"/>
      <c r="BT521" s="81"/>
      <c r="BU521" s="81"/>
    </row>
    <row r="522" spans="15:73"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1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1"/>
      <c r="BO522" s="81"/>
      <c r="BP522" s="81"/>
      <c r="BQ522" s="81"/>
      <c r="BR522" s="81"/>
      <c r="BS522" s="81"/>
      <c r="BT522" s="81"/>
      <c r="BU522" s="81"/>
    </row>
    <row r="523" spans="15:73"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1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1"/>
      <c r="BO523" s="81"/>
      <c r="BP523" s="81"/>
      <c r="BQ523" s="81"/>
      <c r="BR523" s="81"/>
      <c r="BS523" s="81"/>
      <c r="BT523" s="81"/>
      <c r="BU523" s="81"/>
    </row>
    <row r="524" spans="15:73"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1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1"/>
      <c r="BO524" s="81"/>
      <c r="BP524" s="81"/>
      <c r="BQ524" s="81"/>
      <c r="BR524" s="81"/>
      <c r="BS524" s="81"/>
      <c r="BT524" s="81"/>
      <c r="BU524" s="81"/>
    </row>
    <row r="525" spans="15:73"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1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1"/>
      <c r="BO525" s="81"/>
      <c r="BP525" s="81"/>
      <c r="BQ525" s="81"/>
      <c r="BR525" s="81"/>
      <c r="BS525" s="81"/>
      <c r="BT525" s="81"/>
      <c r="BU525" s="81"/>
    </row>
    <row r="526" spans="15:73"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1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1"/>
      <c r="BO526" s="81"/>
      <c r="BP526" s="81"/>
      <c r="BQ526" s="81"/>
      <c r="BR526" s="81"/>
      <c r="BS526" s="81"/>
      <c r="BT526" s="81"/>
      <c r="BU526" s="81"/>
    </row>
    <row r="527" spans="15:73"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1"/>
      <c r="BO527" s="81"/>
      <c r="BP527" s="81"/>
      <c r="BQ527" s="81"/>
      <c r="BR527" s="81"/>
      <c r="BS527" s="81"/>
      <c r="BT527" s="81"/>
      <c r="BU527" s="81"/>
    </row>
    <row r="528" spans="15:73"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1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1"/>
      <c r="BO528" s="81"/>
      <c r="BP528" s="81"/>
      <c r="BQ528" s="81"/>
      <c r="BR528" s="81"/>
      <c r="BS528" s="81"/>
      <c r="BT528" s="81"/>
      <c r="BU528" s="81"/>
    </row>
    <row r="529" spans="15:73"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1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1"/>
      <c r="BO529" s="81"/>
      <c r="BP529" s="81"/>
      <c r="BQ529" s="81"/>
      <c r="BR529" s="81"/>
      <c r="BS529" s="81"/>
      <c r="BT529" s="81"/>
      <c r="BU529" s="81"/>
    </row>
    <row r="530" spans="15:73"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1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1"/>
      <c r="BO530" s="81"/>
      <c r="BP530" s="81"/>
      <c r="BQ530" s="81"/>
      <c r="BR530" s="81"/>
      <c r="BS530" s="81"/>
      <c r="BT530" s="81"/>
      <c r="BU530" s="81"/>
    </row>
    <row r="531" spans="15:73"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1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1"/>
      <c r="BO531" s="81"/>
      <c r="BP531" s="81"/>
      <c r="BQ531" s="81"/>
      <c r="BR531" s="81"/>
      <c r="BS531" s="81"/>
      <c r="BT531" s="81"/>
      <c r="BU531" s="81"/>
    </row>
    <row r="532" spans="15:73"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1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1"/>
      <c r="BO532" s="81"/>
      <c r="BP532" s="81"/>
      <c r="BQ532" s="81"/>
      <c r="BR532" s="81"/>
      <c r="BS532" s="81"/>
      <c r="BT532" s="81"/>
      <c r="BU532" s="81"/>
    </row>
    <row r="533" spans="15:73"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1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1"/>
      <c r="BO533" s="81"/>
      <c r="BP533" s="81"/>
      <c r="BQ533" s="81"/>
      <c r="BR533" s="81"/>
      <c r="BS533" s="81"/>
      <c r="BT533" s="81"/>
      <c r="BU533" s="81"/>
    </row>
    <row r="534" spans="15:73"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1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1"/>
      <c r="BO534" s="81"/>
      <c r="BP534" s="81"/>
      <c r="BQ534" s="81"/>
      <c r="BR534" s="81"/>
      <c r="BS534" s="81"/>
      <c r="BT534" s="81"/>
      <c r="BU534" s="81"/>
    </row>
    <row r="535" spans="15:73"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1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1"/>
      <c r="BO535" s="81"/>
      <c r="BP535" s="81"/>
      <c r="BQ535" s="81"/>
      <c r="BR535" s="81"/>
      <c r="BS535" s="81"/>
      <c r="BT535" s="81"/>
      <c r="BU535" s="81"/>
    </row>
    <row r="536" spans="15:73"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1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1"/>
      <c r="BO536" s="81"/>
      <c r="BP536" s="81"/>
      <c r="BQ536" s="81"/>
      <c r="BR536" s="81"/>
      <c r="BS536" s="81"/>
      <c r="BT536" s="81"/>
      <c r="BU536" s="81"/>
    </row>
    <row r="537" spans="15:73"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1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1"/>
      <c r="BO537" s="81"/>
      <c r="BP537" s="81"/>
      <c r="BQ537" s="81"/>
      <c r="BR537" s="81"/>
      <c r="BS537" s="81"/>
      <c r="BT537" s="81"/>
      <c r="BU537" s="81"/>
    </row>
    <row r="538" spans="15:73"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1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1"/>
      <c r="BO538" s="81"/>
      <c r="BP538" s="81"/>
      <c r="BQ538" s="81"/>
      <c r="BR538" s="81"/>
      <c r="BS538" s="81"/>
      <c r="BT538" s="81"/>
      <c r="BU538" s="81"/>
    </row>
    <row r="539" spans="15:73"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1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1"/>
      <c r="BO539" s="81"/>
      <c r="BP539" s="81"/>
      <c r="BQ539" s="81"/>
      <c r="BR539" s="81"/>
      <c r="BS539" s="81"/>
      <c r="BT539" s="81"/>
      <c r="BU539" s="81"/>
    </row>
    <row r="540" spans="15:73"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1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1"/>
      <c r="BO540" s="81"/>
      <c r="BP540" s="81"/>
      <c r="BQ540" s="81"/>
      <c r="BR540" s="81"/>
      <c r="BS540" s="81"/>
      <c r="BT540" s="81"/>
      <c r="BU540" s="81"/>
    </row>
    <row r="541" spans="15:73"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1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1"/>
      <c r="BO541" s="81"/>
      <c r="BP541" s="81"/>
      <c r="BQ541" s="81"/>
      <c r="BR541" s="81"/>
      <c r="BS541" s="81"/>
      <c r="BT541" s="81"/>
      <c r="BU541" s="81"/>
    </row>
    <row r="542" spans="15:73"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1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1"/>
      <c r="BO542" s="81"/>
      <c r="BP542" s="81"/>
      <c r="BQ542" s="81"/>
      <c r="BR542" s="81"/>
      <c r="BS542" s="81"/>
      <c r="BT542" s="81"/>
      <c r="BU542" s="81"/>
    </row>
    <row r="543" spans="15:73"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1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1"/>
      <c r="BO543" s="81"/>
      <c r="BP543" s="81"/>
      <c r="BQ543" s="81"/>
      <c r="BR543" s="81"/>
      <c r="BS543" s="81"/>
      <c r="BT543" s="81"/>
      <c r="BU543" s="81"/>
    </row>
    <row r="544" spans="15:73"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1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1"/>
      <c r="BO544" s="81"/>
      <c r="BP544" s="81"/>
      <c r="BQ544" s="81"/>
      <c r="BR544" s="81"/>
      <c r="BS544" s="81"/>
      <c r="BT544" s="81"/>
      <c r="BU544" s="81"/>
    </row>
    <row r="545" spans="15:73"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1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1"/>
      <c r="BO545" s="81"/>
      <c r="BP545" s="81"/>
      <c r="BQ545" s="81"/>
      <c r="BR545" s="81"/>
      <c r="BS545" s="81"/>
      <c r="BT545" s="81"/>
      <c r="BU545" s="81"/>
    </row>
    <row r="546" spans="15:73"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1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1"/>
      <c r="BO546" s="81"/>
      <c r="BP546" s="81"/>
      <c r="BQ546" s="81"/>
      <c r="BR546" s="81"/>
      <c r="BS546" s="81"/>
      <c r="BT546" s="81"/>
      <c r="BU546" s="81"/>
    </row>
    <row r="547" spans="15:73"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1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1"/>
      <c r="BO547" s="81"/>
      <c r="BP547" s="81"/>
      <c r="BQ547" s="81"/>
      <c r="BR547" s="81"/>
      <c r="BS547" s="81"/>
      <c r="BT547" s="81"/>
      <c r="BU547" s="81"/>
    </row>
    <row r="548" spans="15:73"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1"/>
      <c r="BO548" s="81"/>
      <c r="BP548" s="81"/>
      <c r="BQ548" s="81"/>
      <c r="BR548" s="81"/>
      <c r="BS548" s="81"/>
      <c r="BT548" s="81"/>
      <c r="BU548" s="81"/>
    </row>
    <row r="549" spans="15:73"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1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1"/>
      <c r="BO549" s="81"/>
      <c r="BP549" s="81"/>
      <c r="BQ549" s="81"/>
      <c r="BR549" s="81"/>
      <c r="BS549" s="81"/>
      <c r="BT549" s="81"/>
      <c r="BU549" s="81"/>
    </row>
    <row r="550" spans="15:73"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1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1"/>
      <c r="BO550" s="81"/>
      <c r="BP550" s="81"/>
      <c r="BQ550" s="81"/>
      <c r="BR550" s="81"/>
      <c r="BS550" s="81"/>
      <c r="BT550" s="81"/>
      <c r="BU550" s="81"/>
    </row>
    <row r="551" spans="15:73"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1"/>
      <c r="BO551" s="81"/>
      <c r="BP551" s="81"/>
      <c r="BQ551" s="81"/>
      <c r="BR551" s="81"/>
      <c r="BS551" s="81"/>
      <c r="BT551" s="81"/>
      <c r="BU551" s="81"/>
    </row>
    <row r="552" spans="15:73"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1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1"/>
      <c r="BO552" s="81"/>
      <c r="BP552" s="81"/>
      <c r="BQ552" s="81"/>
      <c r="BR552" s="81"/>
      <c r="BS552" s="81"/>
      <c r="BT552" s="81"/>
      <c r="BU552" s="81"/>
    </row>
    <row r="553" spans="15:73"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1"/>
      <c r="BO553" s="81"/>
      <c r="BP553" s="81"/>
      <c r="BQ553" s="81"/>
      <c r="BR553" s="81"/>
      <c r="BS553" s="81"/>
      <c r="BT553" s="81"/>
      <c r="BU553" s="81"/>
    </row>
    <row r="554" spans="15:73"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1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1"/>
      <c r="BO554" s="81"/>
      <c r="BP554" s="81"/>
      <c r="BQ554" s="81"/>
      <c r="BR554" s="81"/>
      <c r="BS554" s="81"/>
      <c r="BT554" s="81"/>
      <c r="BU554" s="81"/>
    </row>
  </sheetData>
  <dataConsolidate link="1"/>
  <phoneticPr fontId="60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63"/>
  <sheetViews>
    <sheetView showGridLines="0" zoomScale="70" zoomScaleNormal="70" workbookViewId="0"/>
  </sheetViews>
  <sheetFormatPr defaultColWidth="9.33203125" defaultRowHeight="13.2"/>
  <cols>
    <col min="1" max="1" width="16" customWidth="1"/>
    <col min="2" max="2" width="12.44140625" bestFit="1" customWidth="1"/>
    <col min="3" max="3" width="14.6640625" bestFit="1" customWidth="1"/>
    <col min="4" max="4" width="12" bestFit="1" customWidth="1"/>
    <col min="5" max="5" width="13.44140625" bestFit="1" customWidth="1"/>
    <col min="6" max="6" width="6.88671875" customWidth="1"/>
    <col min="7" max="7" width="14.44140625" bestFit="1" customWidth="1"/>
    <col min="8" max="8" width="15.44140625" bestFit="1" customWidth="1"/>
    <col min="9" max="9" width="13.44140625" bestFit="1" customWidth="1"/>
    <col min="10" max="10" width="10.5546875" customWidth="1"/>
    <col min="11" max="11" width="13.5546875" customWidth="1"/>
    <col min="12" max="12" width="11.5546875" bestFit="1" customWidth="1"/>
    <col min="13" max="13" width="14.6640625" customWidth="1"/>
    <col min="14" max="14" width="10.6640625" customWidth="1"/>
  </cols>
  <sheetData>
    <row r="1" spans="1:16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6" ht="13.8">
      <c r="A2" s="15"/>
      <c r="B2" s="198" t="s">
        <v>58</v>
      </c>
      <c r="C2" s="198"/>
      <c r="D2" s="198"/>
      <c r="E2" s="198"/>
      <c r="F2" s="15"/>
      <c r="G2" s="198" t="s">
        <v>59</v>
      </c>
      <c r="H2" s="198"/>
      <c r="I2" s="198"/>
      <c r="J2" s="15"/>
    </row>
    <row r="3" spans="1:16" ht="13.8">
      <c r="A3" s="15" t="s">
        <v>18</v>
      </c>
      <c r="B3" s="17" t="s">
        <v>21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6" ht="13.8">
      <c r="A4" s="21" t="s">
        <v>61</v>
      </c>
      <c r="B4" s="23" t="s">
        <v>62</v>
      </c>
      <c r="C4" s="23" t="s">
        <v>27</v>
      </c>
      <c r="D4" s="23" t="s">
        <v>28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6" ht="14.4">
      <c r="A5" s="15"/>
      <c r="B5" s="199" t="s">
        <v>67</v>
      </c>
      <c r="C5" s="199"/>
      <c r="D5" s="199"/>
      <c r="E5" s="199"/>
      <c r="F5" s="199"/>
      <c r="G5" s="199"/>
      <c r="H5" s="199"/>
      <c r="I5" s="199"/>
      <c r="J5" s="199"/>
    </row>
    <row r="6" spans="1:16" ht="13.8">
      <c r="A6" s="15" t="s">
        <v>53</v>
      </c>
      <c r="B6" s="184">
        <v>370.89100000000002</v>
      </c>
      <c r="C6" s="37">
        <f>C23</f>
        <v>54106.152000000002</v>
      </c>
      <c r="D6" s="37">
        <f>D23</f>
        <v>687.28289952299997</v>
      </c>
      <c r="E6" s="113">
        <f>SUM(B6:D6)</f>
        <v>55164.325899523006</v>
      </c>
      <c r="F6" s="37"/>
      <c r="G6" s="37">
        <f>E6-H6-J6</f>
        <v>38603.699347260008</v>
      </c>
      <c r="H6" s="185">
        <f>H23</f>
        <v>16107.336552262999</v>
      </c>
      <c r="I6" s="37">
        <f>E6-J6</f>
        <v>54711.035899523005</v>
      </c>
      <c r="J6" s="37">
        <f>J22</f>
        <v>453.29</v>
      </c>
      <c r="K6" s="84"/>
      <c r="L6" s="126"/>
      <c r="M6" s="93"/>
    </row>
    <row r="7" spans="1:16" ht="16.2">
      <c r="A7" s="15" t="s">
        <v>162</v>
      </c>
      <c r="B7" s="184">
        <f>J6</f>
        <v>453.29</v>
      </c>
      <c r="C7" s="37">
        <v>57296.59</v>
      </c>
      <c r="D7" s="37">
        <v>625</v>
      </c>
      <c r="E7" s="113">
        <f>SUM(B7:D7)</f>
        <v>58374.879999999997</v>
      </c>
      <c r="F7" s="37"/>
      <c r="G7" s="37">
        <v>40525</v>
      </c>
      <c r="H7" s="185">
        <v>17400</v>
      </c>
      <c r="I7" s="37">
        <f>SUM(G7:H7)</f>
        <v>57925</v>
      </c>
      <c r="J7" s="37">
        <f>E7-I7</f>
        <v>449.87999999999738</v>
      </c>
      <c r="K7" s="84"/>
      <c r="L7" s="126"/>
    </row>
    <row r="8" spans="1:16" ht="16.2">
      <c r="A8" s="15" t="s">
        <v>163</v>
      </c>
      <c r="B8" s="184">
        <f>J7</f>
        <v>449.87999999999738</v>
      </c>
      <c r="C8" s="37">
        <v>58700</v>
      </c>
      <c r="D8" s="37">
        <v>650</v>
      </c>
      <c r="E8" s="113">
        <f>SUM(B8:D8)</f>
        <v>59799.88</v>
      </c>
      <c r="F8" s="37"/>
      <c r="G8" s="37">
        <v>41325</v>
      </c>
      <c r="H8" s="185">
        <v>18000</v>
      </c>
      <c r="I8" s="37">
        <f>SUM(G8:H8)</f>
        <v>59325</v>
      </c>
      <c r="J8" s="37">
        <f>E8-I8</f>
        <v>474.87999999999738</v>
      </c>
      <c r="L8" s="126"/>
    </row>
    <row r="9" spans="1:16" ht="13.8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6" ht="13.8">
      <c r="A10" s="30" t="s">
        <v>53</v>
      </c>
      <c r="B10" s="39"/>
      <c r="C10" s="6"/>
      <c r="D10" s="6"/>
      <c r="E10" s="6"/>
      <c r="F10" s="6"/>
      <c r="G10" s="6"/>
      <c r="H10" s="6"/>
      <c r="I10" s="6"/>
      <c r="J10" s="6"/>
    </row>
    <row r="11" spans="1:16" ht="14.4">
      <c r="A11" s="15" t="s">
        <v>39</v>
      </c>
      <c r="B11" s="102">
        <v>370.89100000000002</v>
      </c>
      <c r="C11" s="103">
        <v>4738.4830000000002</v>
      </c>
      <c r="D11" s="6">
        <f>(43352.2*1.10231)/1000</f>
        <v>47.787563581999997</v>
      </c>
      <c r="E11" s="6">
        <f t="shared" ref="E11:E22" si="0">SUM(B11:D11)</f>
        <v>5157.1615635819999</v>
      </c>
      <c r="F11" s="6"/>
      <c r="G11" s="6">
        <f t="shared" ref="G11:G20" si="1">I11-H11</f>
        <v>3602.9976581149999</v>
      </c>
      <c r="H11" s="6">
        <f>(1106335.7*1.10231)/1000</f>
        <v>1219.5249054669998</v>
      </c>
      <c r="I11" s="96">
        <f t="shared" ref="I11:I20" si="2">E11-J11</f>
        <v>4822.5225635819997</v>
      </c>
      <c r="J11" s="103">
        <v>334.63900000000001</v>
      </c>
      <c r="K11" s="82"/>
      <c r="M11" s="115"/>
      <c r="N11" s="115"/>
    </row>
    <row r="12" spans="1:16" ht="14.4">
      <c r="A12" s="15" t="s">
        <v>40</v>
      </c>
      <c r="B12" s="39">
        <f t="shared" ref="B12:B18" si="3">J11</f>
        <v>334.63900000000001</v>
      </c>
      <c r="C12" s="6">
        <v>4706.2079999999996</v>
      </c>
      <c r="D12" s="6">
        <f>(48390.3*1.10231)/1000</f>
        <v>53.341111593000001</v>
      </c>
      <c r="E12" s="6">
        <f t="shared" si="0"/>
        <v>5094.188111593</v>
      </c>
      <c r="F12" s="6"/>
      <c r="G12" s="6">
        <f t="shared" si="1"/>
        <v>3280.6629275390005</v>
      </c>
      <c r="H12" s="6">
        <f>(1369023.4*1.10231)/1000</f>
        <v>1509.0881840539998</v>
      </c>
      <c r="I12" s="6">
        <f t="shared" si="2"/>
        <v>4789.7511115930001</v>
      </c>
      <c r="J12" s="6">
        <v>304.43700000000001</v>
      </c>
      <c r="K12" s="82"/>
      <c r="M12" s="115"/>
      <c r="N12" s="115"/>
    </row>
    <row r="13" spans="1:16" ht="14.4">
      <c r="A13" s="15" t="s">
        <v>42</v>
      </c>
      <c r="B13" s="39">
        <f t="shared" si="3"/>
        <v>304.43700000000001</v>
      </c>
      <c r="C13" s="6">
        <v>4818.3419999999996</v>
      </c>
      <c r="D13" s="100">
        <f>(53099.9*1.10231)/1000</f>
        <v>58.532550768999997</v>
      </c>
      <c r="E13" s="100">
        <f t="shared" si="0"/>
        <v>5181.311550769</v>
      </c>
      <c r="F13" s="100"/>
      <c r="G13" s="100">
        <f t="shared" si="1"/>
        <v>3073.843674963</v>
      </c>
      <c r="H13" s="100">
        <f>(1457582.6*1.10231)/1000</f>
        <v>1606.7078758059999</v>
      </c>
      <c r="I13" s="100">
        <f t="shared" si="2"/>
        <v>4680.5515507689997</v>
      </c>
      <c r="J13" s="6">
        <v>500.76</v>
      </c>
      <c r="K13" s="82"/>
      <c r="M13" s="115"/>
      <c r="N13" s="115"/>
    </row>
    <row r="14" spans="1:16" ht="14.4">
      <c r="A14" s="15" t="s">
        <v>43</v>
      </c>
      <c r="B14" s="39">
        <f t="shared" si="3"/>
        <v>500.76</v>
      </c>
      <c r="C14" s="6">
        <v>4583.558</v>
      </c>
      <c r="D14" s="100">
        <f>(53674.5*1.10231)/1000</f>
        <v>59.165938094999994</v>
      </c>
      <c r="E14" s="100">
        <f t="shared" si="0"/>
        <v>5143.4839380949998</v>
      </c>
      <c r="F14" s="100"/>
      <c r="G14" s="100">
        <f t="shared" si="1"/>
        <v>3276.5696487350006</v>
      </c>
      <c r="H14" s="100">
        <f>(1376056*1.10231)/1000</f>
        <v>1516.8402893599998</v>
      </c>
      <c r="I14" s="100">
        <f t="shared" si="2"/>
        <v>4793.4099380950001</v>
      </c>
      <c r="J14" s="6">
        <v>350.07400000000001</v>
      </c>
      <c r="K14" s="82"/>
      <c r="M14" s="115"/>
      <c r="N14" s="115"/>
      <c r="P14" s="34"/>
    </row>
    <row r="15" spans="1:16" ht="14.4">
      <c r="A15" s="15" t="s">
        <v>44</v>
      </c>
      <c r="B15" s="39">
        <f t="shared" si="3"/>
        <v>350.07400000000001</v>
      </c>
      <c r="C15" s="6">
        <v>4546.5569999999998</v>
      </c>
      <c r="D15" s="100">
        <f>(57158.1*1.10231)/1000</f>
        <v>63.00594521099999</v>
      </c>
      <c r="E15" s="100">
        <f t="shared" si="0"/>
        <v>4959.6369452109993</v>
      </c>
      <c r="F15" s="100"/>
      <c r="G15" s="100">
        <f t="shared" si="1"/>
        <v>3127.9675940109992</v>
      </c>
      <c r="H15" s="100">
        <f>(1365520*1.10231)/1000</f>
        <v>1505.2263512</v>
      </c>
      <c r="I15" s="100">
        <f t="shared" si="2"/>
        <v>4633.1939452109991</v>
      </c>
      <c r="J15" s="6">
        <v>326.44299999999998</v>
      </c>
      <c r="K15" s="82"/>
      <c r="M15" s="115"/>
      <c r="N15" s="115"/>
      <c r="P15" s="34"/>
    </row>
    <row r="16" spans="1:16" ht="14.4">
      <c r="A16" s="15" t="s">
        <v>46</v>
      </c>
      <c r="B16" s="39">
        <f t="shared" si="3"/>
        <v>326.44299999999998</v>
      </c>
      <c r="C16" s="6">
        <v>4793.0349999999999</v>
      </c>
      <c r="D16" s="100">
        <f>(52412.6*1.10231)/1000</f>
        <v>57.774933105999999</v>
      </c>
      <c r="E16" s="100">
        <f t="shared" si="0"/>
        <v>5177.2529331060005</v>
      </c>
      <c r="F16" s="100"/>
      <c r="G16" s="100">
        <f t="shared" si="1"/>
        <v>2965.4011064250003</v>
      </c>
      <c r="H16" s="100">
        <f>(1498795.1*1.10231)/1000</f>
        <v>1652.136826681</v>
      </c>
      <c r="I16" s="100">
        <f t="shared" si="2"/>
        <v>4617.5379331060003</v>
      </c>
      <c r="J16" s="6">
        <v>559.71500000000003</v>
      </c>
      <c r="K16" s="82"/>
      <c r="M16" s="115"/>
      <c r="N16" s="115"/>
      <c r="P16" s="34"/>
    </row>
    <row r="17" spans="1:16" ht="14.4">
      <c r="A17" s="15" t="s">
        <v>47</v>
      </c>
      <c r="B17" s="39">
        <f t="shared" si="3"/>
        <v>559.71500000000003</v>
      </c>
      <c r="C17" s="6">
        <v>4201.777</v>
      </c>
      <c r="D17" s="100">
        <f>(45671.7*1.10231)/1000</f>
        <v>50.344371626999994</v>
      </c>
      <c r="E17" s="100">
        <f t="shared" si="0"/>
        <v>4811.8363716270005</v>
      </c>
      <c r="F17" s="100"/>
      <c r="G17" s="100">
        <f t="shared" si="1"/>
        <v>3090.6009551340003</v>
      </c>
      <c r="H17" s="100">
        <f>(1257180.3*1.10231)/1000</f>
        <v>1385.802416493</v>
      </c>
      <c r="I17" s="100">
        <f t="shared" si="2"/>
        <v>4476.4033716270005</v>
      </c>
      <c r="J17" s="6">
        <v>335.43299999999999</v>
      </c>
      <c r="K17" s="82"/>
      <c r="M17" s="115"/>
      <c r="N17" s="115"/>
      <c r="P17" s="34"/>
    </row>
    <row r="18" spans="1:16" ht="14.4">
      <c r="A18" s="15" t="s">
        <v>48</v>
      </c>
      <c r="B18" s="39">
        <f t="shared" si="3"/>
        <v>335.43299999999999</v>
      </c>
      <c r="C18" s="6">
        <v>4506.893</v>
      </c>
      <c r="D18" s="100">
        <f>(61818.5*1.10231)/1000</f>
        <v>68.143150734999992</v>
      </c>
      <c r="E18" s="100">
        <f t="shared" si="0"/>
        <v>4910.4691507349999</v>
      </c>
      <c r="F18" s="100"/>
      <c r="G18" s="100">
        <f t="shared" si="1"/>
        <v>3444.2383320180006</v>
      </c>
      <c r="H18" s="100">
        <f>(1010410.7*1.10231)/1000</f>
        <v>1113.7858187169998</v>
      </c>
      <c r="I18" s="100">
        <f t="shared" si="2"/>
        <v>4558.0241507350001</v>
      </c>
      <c r="J18" s="6">
        <v>352.44499999999999</v>
      </c>
      <c r="K18" s="82"/>
      <c r="M18" s="115"/>
      <c r="N18" s="115"/>
      <c r="P18" s="34"/>
    </row>
    <row r="19" spans="1:16" ht="15.6">
      <c r="A19" s="15" t="s">
        <v>49</v>
      </c>
      <c r="B19" s="39">
        <f>J18</f>
        <v>352.44499999999999</v>
      </c>
      <c r="C19" s="6">
        <v>4330.68</v>
      </c>
      <c r="D19" s="100">
        <f>(44979.4*1.10231)/1000</f>
        <v>49.581242414000002</v>
      </c>
      <c r="E19" s="100">
        <f t="shared" si="0"/>
        <v>4732.7062424140004</v>
      </c>
      <c r="F19" s="100"/>
      <c r="G19" s="100">
        <f t="shared" si="1"/>
        <v>3006.2036164590004</v>
      </c>
      <c r="H19" s="100">
        <f>(1119080.5*1.10231)/1000</f>
        <v>1233.5736259549999</v>
      </c>
      <c r="I19" s="100">
        <f t="shared" si="2"/>
        <v>4239.7772424140003</v>
      </c>
      <c r="J19" s="6">
        <v>492.92899999999997</v>
      </c>
      <c r="K19" s="82"/>
      <c r="M19" s="165"/>
      <c r="N19" s="166"/>
      <c r="P19" s="34"/>
    </row>
    <row r="20" spans="1:16" ht="14.4">
      <c r="A20" s="15" t="s">
        <v>50</v>
      </c>
      <c r="B20" s="39">
        <f>J19</f>
        <v>492.92899999999997</v>
      </c>
      <c r="C20" s="6">
        <v>4548.6549999999997</v>
      </c>
      <c r="D20" s="100">
        <f>(38648.7*1.10231)/1000</f>
        <v>42.602848496999989</v>
      </c>
      <c r="E20" s="100">
        <f t="shared" si="0"/>
        <v>5084.186848497</v>
      </c>
      <c r="F20" s="100"/>
      <c r="G20" s="100">
        <f t="shared" si="1"/>
        <v>3531.9827891890004</v>
      </c>
      <c r="H20" s="100">
        <f>(1017566.8*1.10231)/1000</f>
        <v>1121.6740593079999</v>
      </c>
      <c r="I20" s="100">
        <f t="shared" si="2"/>
        <v>4653.6568484970003</v>
      </c>
      <c r="J20" s="6">
        <v>430.53</v>
      </c>
      <c r="K20" s="82"/>
      <c r="M20" s="115"/>
      <c r="N20" s="115"/>
      <c r="P20" s="34"/>
    </row>
    <row r="21" spans="1:16" ht="14.4">
      <c r="A21" s="15" t="s">
        <v>51</v>
      </c>
      <c r="B21" s="39">
        <f>J20</f>
        <v>430.53</v>
      </c>
      <c r="C21" s="6">
        <v>3963.0810000000001</v>
      </c>
      <c r="D21" s="100">
        <f>(54003.3*1.10231)/1000</f>
        <v>59.528377622999997</v>
      </c>
      <c r="E21" s="100">
        <f t="shared" si="0"/>
        <v>4453.1393776229997</v>
      </c>
      <c r="F21" s="100"/>
      <c r="G21" s="100">
        <f>I21-H21</f>
        <v>3097.4258477249996</v>
      </c>
      <c r="H21" s="100">
        <f>(909155.8*1.10231)/1000</f>
        <v>1002.1715298979999</v>
      </c>
      <c r="I21" s="100">
        <f>E21-J21</f>
        <v>4099.5973776229994</v>
      </c>
      <c r="J21" s="6">
        <v>353.54199999999997</v>
      </c>
      <c r="K21" s="82"/>
      <c r="M21" s="115"/>
      <c r="N21" s="115"/>
      <c r="P21" s="34"/>
    </row>
    <row r="22" spans="1:16" ht="14.4">
      <c r="A22" s="15" t="s">
        <v>38</v>
      </c>
      <c r="B22" s="39">
        <f>J21</f>
        <v>353.54199999999997</v>
      </c>
      <c r="C22" s="6">
        <v>4368.8829999999998</v>
      </c>
      <c r="D22" s="100">
        <f>(70284.1*1.10231)/1000</f>
        <v>77.47486627100001</v>
      </c>
      <c r="E22" s="100">
        <f t="shared" si="0"/>
        <v>4799.8998662710001</v>
      </c>
      <c r="F22" s="100"/>
      <c r="G22" s="100">
        <f>I22-H22</f>
        <v>3105.8048662540004</v>
      </c>
      <c r="H22" s="100">
        <f>(1125640.7*1.10231)/1000</f>
        <v>1240.8050000169999</v>
      </c>
      <c r="I22" s="100">
        <f>E22-J22</f>
        <v>4346.6098662710001</v>
      </c>
      <c r="J22" s="6">
        <v>453.29</v>
      </c>
      <c r="K22" s="85"/>
      <c r="M22" s="115"/>
      <c r="N22" s="115"/>
      <c r="P22" s="34"/>
    </row>
    <row r="23" spans="1:16" ht="14.4">
      <c r="A23" s="15" t="s">
        <v>29</v>
      </c>
      <c r="B23" s="39"/>
      <c r="C23" s="6">
        <f>SUM(C11:C22)</f>
        <v>54106.152000000002</v>
      </c>
      <c r="D23" s="6">
        <f>(623493.3*1.10231)/1000</f>
        <v>687.28289952299997</v>
      </c>
      <c r="E23" s="6">
        <f>B11+C23+D23</f>
        <v>55164.325899523006</v>
      </c>
      <c r="F23" s="6"/>
      <c r="G23" s="6">
        <f>SUM(G11:G22)</f>
        <v>38603.699016567007</v>
      </c>
      <c r="H23" s="6">
        <f>(14612347.3*1.10231)/1000</f>
        <v>16107.336552262999</v>
      </c>
      <c r="I23" s="5">
        <f>SUM(I11:I22)</f>
        <v>54711.035899522998</v>
      </c>
      <c r="J23" s="6"/>
      <c r="K23" s="114"/>
      <c r="M23" s="115"/>
      <c r="N23" s="34"/>
      <c r="P23" s="34"/>
    </row>
    <row r="24" spans="1:16" ht="14.4">
      <c r="A24" s="15"/>
      <c r="B24" s="39"/>
      <c r="C24" s="6"/>
      <c r="D24" s="6"/>
      <c r="E24" s="6"/>
      <c r="F24" s="6"/>
      <c r="G24" s="6"/>
      <c r="H24" s="6"/>
      <c r="I24" s="6"/>
      <c r="J24" s="6"/>
      <c r="K24" s="82"/>
      <c r="M24" s="115"/>
      <c r="N24" s="34"/>
      <c r="P24" s="34"/>
    </row>
    <row r="25" spans="1:16" ht="14.4">
      <c r="A25" s="30" t="s">
        <v>154</v>
      </c>
      <c r="B25" s="39"/>
      <c r="C25" s="6"/>
      <c r="D25" s="6"/>
      <c r="E25" s="6"/>
      <c r="F25" s="6"/>
      <c r="G25" s="6"/>
      <c r="H25" s="6"/>
      <c r="I25" s="6"/>
      <c r="J25" s="6"/>
      <c r="K25" s="82"/>
      <c r="M25" s="115"/>
      <c r="N25" s="34"/>
      <c r="P25" s="34"/>
    </row>
    <row r="26" spans="1:16" ht="14.4">
      <c r="A26" s="15" t="s">
        <v>39</v>
      </c>
      <c r="B26" s="39">
        <f>J22</f>
        <v>453.29</v>
      </c>
      <c r="C26" s="6">
        <v>5088.7489999999998</v>
      </c>
      <c r="D26" s="100">
        <f>(42814.1*1.10231)/1000</f>
        <v>47.194410570999992</v>
      </c>
      <c r="E26" s="6">
        <f t="shared" ref="E26:E31" si="4">SUM(B26:D26)</f>
        <v>5589.2334105709997</v>
      </c>
      <c r="F26" s="6"/>
      <c r="G26" s="6">
        <f t="shared" ref="G26:G31" si="5">I26-H26</f>
        <v>3831.7500592099996</v>
      </c>
      <c r="H26" s="100">
        <f>(1284823.1*1.10231)/1000</f>
        <v>1416.2733513609999</v>
      </c>
      <c r="I26" s="100">
        <f t="shared" ref="I26:I31" si="6">E26-J26</f>
        <v>5248.0234105709997</v>
      </c>
      <c r="J26" s="6">
        <v>341.21000000000004</v>
      </c>
      <c r="K26" s="82"/>
      <c r="M26" s="115"/>
      <c r="N26" s="34"/>
      <c r="P26" s="34"/>
    </row>
    <row r="27" spans="1:16" ht="14.4">
      <c r="A27" s="15" t="s">
        <v>40</v>
      </c>
      <c r="B27" s="39">
        <f>J26</f>
        <v>341.21000000000004</v>
      </c>
      <c r="C27" s="6">
        <v>4974.8110000000006</v>
      </c>
      <c r="D27" s="100">
        <f>(46652.9*1.10231)/1000</f>
        <v>51.425958199</v>
      </c>
      <c r="E27" s="100">
        <f t="shared" si="4"/>
        <v>5367.4469581990006</v>
      </c>
      <c r="F27" s="6"/>
      <c r="G27" s="100">
        <f t="shared" si="5"/>
        <v>3144.328219418001</v>
      </c>
      <c r="H27" s="100">
        <f>(1550705.1*1.10231)/1000</f>
        <v>1709.3577387810001</v>
      </c>
      <c r="I27" s="100">
        <f t="shared" si="6"/>
        <v>4853.6859581990011</v>
      </c>
      <c r="J27" s="6">
        <v>513.76099999999997</v>
      </c>
      <c r="K27" s="82"/>
      <c r="M27" s="115"/>
      <c r="N27" s="34"/>
      <c r="P27" s="34"/>
    </row>
    <row r="28" spans="1:16" ht="14.4">
      <c r="A28" s="15" t="s">
        <v>42</v>
      </c>
      <c r="B28" s="39">
        <f>J27</f>
        <v>513.76099999999997</v>
      </c>
      <c r="C28" s="98">
        <v>5162.1440000000002</v>
      </c>
      <c r="D28" s="100">
        <f>(31368.9*1.10231)/1000</f>
        <v>34.578252158999994</v>
      </c>
      <c r="E28" s="100">
        <f t="shared" si="4"/>
        <v>5710.4832521590006</v>
      </c>
      <c r="F28" s="100"/>
      <c r="G28" s="100">
        <f t="shared" si="5"/>
        <v>3548.7402949380003</v>
      </c>
      <c r="H28" s="100">
        <f>(1548029.1*1.10231)/1000</f>
        <v>1706.4079572210001</v>
      </c>
      <c r="I28" s="100">
        <f t="shared" si="6"/>
        <v>5255.1482521590005</v>
      </c>
      <c r="J28" s="6">
        <v>455.33500000000004</v>
      </c>
      <c r="K28" s="82"/>
      <c r="L28" s="99"/>
      <c r="M28" s="115"/>
      <c r="N28" s="34"/>
      <c r="P28" s="34"/>
    </row>
    <row r="29" spans="1:16" ht="14.4">
      <c r="A29" s="15" t="s">
        <v>43</v>
      </c>
      <c r="B29" s="39">
        <f>J28</f>
        <v>455.33500000000004</v>
      </c>
      <c r="C29" s="6">
        <v>5046.0140000000001</v>
      </c>
      <c r="D29" s="100">
        <f>(49274.6*1.10231)/1000</f>
        <v>54.315884325999995</v>
      </c>
      <c r="E29" s="100">
        <f t="shared" si="4"/>
        <v>5555.664884326</v>
      </c>
      <c r="F29" s="100"/>
      <c r="G29" s="100">
        <f t="shared" si="5"/>
        <v>3522.7561092720007</v>
      </c>
      <c r="H29" s="100">
        <f>(1425123.4*1.10231)/1000</f>
        <v>1570.9277750539998</v>
      </c>
      <c r="I29" s="100">
        <f t="shared" si="6"/>
        <v>5093.6838843260002</v>
      </c>
      <c r="J29" s="6">
        <v>461.98099999999999</v>
      </c>
      <c r="K29" s="82"/>
      <c r="M29" s="115"/>
      <c r="N29" s="34"/>
    </row>
    <row r="30" spans="1:16" s="127" customFormat="1" ht="14.4">
      <c r="A30" s="119" t="s">
        <v>44</v>
      </c>
      <c r="B30" s="102">
        <f>J29</f>
        <v>461.98099999999999</v>
      </c>
      <c r="C30" s="103">
        <v>4504.5150000000003</v>
      </c>
      <c r="D30" s="148">
        <f>(53629.4*1.10231)/1000</f>
        <v>59.116223913999995</v>
      </c>
      <c r="E30" s="148">
        <f t="shared" si="4"/>
        <v>5025.6122239140004</v>
      </c>
      <c r="F30" s="148"/>
      <c r="G30" s="148">
        <f t="shared" si="5"/>
        <v>3314.0849477780007</v>
      </c>
      <c r="H30" s="148">
        <f>(1124725.6*1.10231)/1000</f>
        <v>1239.796276136</v>
      </c>
      <c r="I30" s="148">
        <f t="shared" si="6"/>
        <v>4553.8812239140007</v>
      </c>
      <c r="J30" s="103">
        <v>471.73099999999999</v>
      </c>
      <c r="K30" s="154"/>
      <c r="M30" s="155"/>
      <c r="N30" s="151"/>
    </row>
    <row r="31" spans="1:16" s="127" customFormat="1" ht="14.4">
      <c r="A31" s="119" t="s">
        <v>46</v>
      </c>
      <c r="B31" s="39">
        <f>J30</f>
        <v>471.73099999999999</v>
      </c>
      <c r="C31" s="6">
        <v>4917.6779999999999</v>
      </c>
      <c r="D31" s="100">
        <f>(62064.5*1.10231)/1000</f>
        <v>68.414318994999988</v>
      </c>
      <c r="E31" s="100">
        <f t="shared" si="4"/>
        <v>5457.8233189949997</v>
      </c>
      <c r="F31" s="100"/>
      <c r="G31" s="100">
        <f t="shared" si="5"/>
        <v>3278.3891531030004</v>
      </c>
      <c r="H31" s="100">
        <f>(1593353.2*1.10231)/1000</f>
        <v>1756.369165892</v>
      </c>
      <c r="I31" s="100">
        <f t="shared" si="6"/>
        <v>5034.7583189950001</v>
      </c>
      <c r="J31" s="6">
        <v>423.065</v>
      </c>
      <c r="K31" s="154"/>
      <c r="M31" s="155"/>
      <c r="N31" s="151"/>
    </row>
    <row r="32" spans="1:16" ht="16.2">
      <c r="A32" s="77" t="s">
        <v>68</v>
      </c>
      <c r="B32" s="67"/>
      <c r="C32" s="67"/>
      <c r="D32" s="67"/>
      <c r="E32" s="67"/>
      <c r="F32" s="67"/>
      <c r="G32" s="67"/>
      <c r="H32" s="67"/>
      <c r="I32" s="67"/>
      <c r="J32" s="67"/>
    </row>
    <row r="33" spans="1:10" ht="14.4">
      <c r="A33" s="15" t="s">
        <v>69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3.8">
      <c r="A34" s="20" t="s">
        <v>57</v>
      </c>
      <c r="B34" s="36">
        <f>Contents!A18</f>
        <v>45791</v>
      </c>
      <c r="C34" s="33"/>
      <c r="D34" s="28"/>
      <c r="E34" s="28"/>
      <c r="F34" s="28"/>
      <c r="G34" s="28"/>
      <c r="H34" s="28"/>
      <c r="I34" s="28"/>
      <c r="J34" s="28"/>
    </row>
    <row r="35" spans="1:10">
      <c r="B35" s="41"/>
      <c r="C35" s="42"/>
      <c r="D35" s="41"/>
      <c r="E35" s="79"/>
      <c r="F35" s="41"/>
      <c r="G35" s="41"/>
      <c r="H35" s="43"/>
      <c r="I35" s="79"/>
      <c r="J35" s="41"/>
    </row>
    <row r="36" spans="1:10">
      <c r="B36" s="41"/>
      <c r="D36" s="41"/>
      <c r="E36" s="41"/>
      <c r="F36" s="41"/>
      <c r="G36" s="41"/>
      <c r="H36" s="41"/>
      <c r="I36" s="41"/>
      <c r="J36" s="41"/>
    </row>
    <row r="37" spans="1:10">
      <c r="G37" s="137"/>
      <c r="H37" s="66"/>
    </row>
    <row r="38" spans="1:10">
      <c r="G38" s="88"/>
    </row>
    <row r="53" spans="2:9">
      <c r="B53" s="34"/>
      <c r="C53" s="34"/>
      <c r="D53" s="34"/>
      <c r="E53" s="34"/>
      <c r="F53" s="34"/>
      <c r="G53" s="34"/>
      <c r="H53" s="34"/>
      <c r="I53" s="34"/>
    </row>
    <row r="54" spans="2:9">
      <c r="B54" s="34"/>
      <c r="C54" s="34"/>
      <c r="D54" s="34"/>
      <c r="E54" s="34"/>
      <c r="F54" s="34"/>
      <c r="G54" s="34"/>
      <c r="H54" s="34"/>
      <c r="I54" s="34"/>
    </row>
    <row r="55" spans="2:9">
      <c r="B55" s="34"/>
      <c r="C55" s="34"/>
      <c r="D55" s="34"/>
      <c r="E55" s="34"/>
      <c r="F55" s="34"/>
      <c r="G55" s="34"/>
      <c r="H55" s="34"/>
      <c r="I55" s="34"/>
    </row>
    <row r="56" spans="2:9">
      <c r="B56" s="34"/>
      <c r="C56" s="34"/>
      <c r="D56" s="34"/>
      <c r="E56" s="34"/>
      <c r="F56" s="34"/>
      <c r="G56" s="34"/>
      <c r="H56" s="34"/>
      <c r="I56" s="34"/>
    </row>
    <row r="57" spans="2:9">
      <c r="B57" s="34"/>
      <c r="C57" s="34"/>
      <c r="D57" s="34"/>
      <c r="E57" s="34"/>
      <c r="F57" s="34"/>
      <c r="G57" s="34"/>
      <c r="H57" s="34"/>
      <c r="I57" s="34"/>
    </row>
    <row r="58" spans="2:9">
      <c r="B58" s="34"/>
      <c r="C58" s="34"/>
      <c r="D58" s="34"/>
      <c r="E58" s="34"/>
      <c r="F58" s="34"/>
      <c r="G58" s="34"/>
      <c r="H58" s="34"/>
      <c r="I58" s="34"/>
    </row>
    <row r="59" spans="2:9">
      <c r="B59" s="34"/>
      <c r="C59" s="34"/>
      <c r="D59" s="34"/>
      <c r="E59" s="34"/>
      <c r="F59" s="34"/>
      <c r="G59" s="34"/>
      <c r="H59" s="34"/>
      <c r="I59" s="34"/>
    </row>
    <row r="60" spans="2:9">
      <c r="B60" s="34"/>
      <c r="C60" s="34"/>
      <c r="D60" s="34"/>
      <c r="E60" s="34"/>
      <c r="F60" s="34"/>
      <c r="G60" s="34"/>
      <c r="H60" s="34"/>
      <c r="I60" s="34"/>
    </row>
    <row r="61" spans="2:9">
      <c r="B61" s="34"/>
      <c r="C61" s="34"/>
      <c r="D61" s="34"/>
      <c r="E61" s="34"/>
      <c r="F61" s="34"/>
      <c r="G61" s="34"/>
      <c r="H61" s="34"/>
      <c r="I61" s="34"/>
    </row>
    <row r="62" spans="2:9">
      <c r="B62" s="34"/>
      <c r="C62" s="34"/>
      <c r="D62" s="34"/>
      <c r="E62" s="34"/>
      <c r="F62" s="34"/>
      <c r="G62" s="34"/>
      <c r="H62" s="34"/>
      <c r="I62" s="34"/>
    </row>
    <row r="63" spans="2:9">
      <c r="B63" s="34"/>
      <c r="C63" s="34"/>
      <c r="D63" s="34"/>
      <c r="E63" s="34"/>
      <c r="F63" s="34"/>
      <c r="G63" s="34"/>
      <c r="H63" s="34"/>
      <c r="I63" s="34"/>
    </row>
  </sheetData>
  <mergeCells count="3">
    <mergeCell ref="G2:I2"/>
    <mergeCell ref="B5:J5"/>
    <mergeCell ref="B2:E2"/>
  </mergeCells>
  <phoneticPr fontId="60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59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33203125" defaultRowHeight="13.2"/>
  <cols>
    <col min="1" max="1" width="15.44140625" customWidth="1"/>
    <col min="2" max="2" width="12.44140625" bestFit="1" customWidth="1"/>
    <col min="3" max="3" width="14.8867187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3" max="13" width="11.5546875" bestFit="1" customWidth="1"/>
    <col min="14" max="14" width="11.3320312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198" t="s">
        <v>58</v>
      </c>
      <c r="C2" s="198"/>
      <c r="D2" s="198"/>
      <c r="E2" s="198"/>
      <c r="F2" s="15"/>
      <c r="G2" s="198" t="s">
        <v>59</v>
      </c>
      <c r="H2" s="198"/>
      <c r="I2" s="198"/>
      <c r="J2" s="123"/>
      <c r="K2" s="123"/>
      <c r="L2" s="15"/>
    </row>
    <row r="3" spans="1:20" ht="13.8">
      <c r="A3" s="15" t="s">
        <v>18</v>
      </c>
      <c r="B3" s="17" t="s">
        <v>70</v>
      </c>
      <c r="C3" s="17" t="s">
        <v>27</v>
      </c>
      <c r="D3" s="17" t="s">
        <v>71</v>
      </c>
      <c r="E3" s="17" t="s">
        <v>63</v>
      </c>
      <c r="F3" s="17"/>
      <c r="G3" s="123" t="s">
        <v>64</v>
      </c>
      <c r="H3" s="123"/>
      <c r="I3" s="123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29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200" t="s">
        <v>75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20" ht="16.2">
      <c r="A6" s="15" t="s">
        <v>36</v>
      </c>
      <c r="B6" s="38">
        <v>1607.0719999999999</v>
      </c>
      <c r="C6" s="38">
        <f>C23</f>
        <v>27092.798000000003</v>
      </c>
      <c r="D6" s="186">
        <f>D23</f>
        <v>620.64231943139998</v>
      </c>
      <c r="E6" s="38">
        <f>SUM(B6:D6)</f>
        <v>29320.512319431404</v>
      </c>
      <c r="F6" s="38"/>
      <c r="G6" s="38">
        <f>K6-J6</f>
        <v>27152.891032409003</v>
      </c>
      <c r="H6" s="38">
        <f>H23</f>
        <v>12989.041999999999</v>
      </c>
      <c r="I6" s="113">
        <f>G6-H6</f>
        <v>14163.849032409003</v>
      </c>
      <c r="J6" s="38">
        <f>J23</f>
        <v>616.76328702240005</v>
      </c>
      <c r="K6" s="38">
        <f>E6-L6</f>
        <v>27769.654319431404</v>
      </c>
      <c r="L6" s="38">
        <f>L22</f>
        <v>1550.8580000000002</v>
      </c>
    </row>
    <row r="7" spans="1:20" ht="16.2">
      <c r="A7" s="15" t="s">
        <v>37</v>
      </c>
      <c r="B7" s="38">
        <f>L6</f>
        <v>1550.8580000000002</v>
      </c>
      <c r="C7" s="38">
        <v>28800</v>
      </c>
      <c r="D7" s="186">
        <v>500</v>
      </c>
      <c r="E7" s="38">
        <f>SUM(B7:D7)</f>
        <v>30850.858</v>
      </c>
      <c r="F7" s="38"/>
      <c r="G7" s="38">
        <f>H7+I7</f>
        <v>27000</v>
      </c>
      <c r="H7" s="38">
        <v>13100</v>
      </c>
      <c r="I7" s="113">
        <v>13900</v>
      </c>
      <c r="J7" s="38">
        <v>2400</v>
      </c>
      <c r="K7" s="38">
        <f>G7+J7</f>
        <v>29400</v>
      </c>
      <c r="L7" s="38">
        <f>E7-K7</f>
        <v>1450.8580000000002</v>
      </c>
      <c r="M7" s="126"/>
      <c r="N7" s="126"/>
      <c r="O7" s="126"/>
      <c r="P7" s="126"/>
      <c r="Q7" s="126"/>
      <c r="R7" s="126"/>
      <c r="S7" s="126"/>
      <c r="T7" s="126"/>
    </row>
    <row r="8" spans="1:20" s="127" customFormat="1" ht="16.2">
      <c r="A8" s="15" t="s">
        <v>163</v>
      </c>
      <c r="B8" s="38">
        <f>L7</f>
        <v>1450.8580000000002</v>
      </c>
      <c r="C8" s="38">
        <v>29380</v>
      </c>
      <c r="D8" s="186">
        <v>300</v>
      </c>
      <c r="E8" s="38">
        <f>SUM(B8:D8)</f>
        <v>31130.858</v>
      </c>
      <c r="F8" s="38"/>
      <c r="G8" s="38">
        <f>H8+I8</f>
        <v>27900</v>
      </c>
      <c r="H8" s="38">
        <v>13900</v>
      </c>
      <c r="I8" s="113">
        <v>14000</v>
      </c>
      <c r="J8" s="38">
        <v>1700</v>
      </c>
      <c r="K8" s="38">
        <f>G8+J8</f>
        <v>29600</v>
      </c>
      <c r="L8" s="38">
        <f>E8-K8</f>
        <v>1530.8580000000002</v>
      </c>
    </row>
    <row r="9" spans="1:20" ht="13.8">
      <c r="A9" s="15"/>
      <c r="B9" s="38"/>
      <c r="C9" s="38"/>
      <c r="D9" s="38"/>
      <c r="E9" s="38"/>
      <c r="F9" s="38"/>
      <c r="G9" s="38"/>
      <c r="H9" s="38"/>
      <c r="I9" s="76"/>
      <c r="J9" s="38"/>
      <c r="K9" s="38"/>
      <c r="L9" s="38"/>
    </row>
    <row r="10" spans="1:20" ht="13.8">
      <c r="A10" s="30" t="s">
        <v>53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v>1607.0719999999999</v>
      </c>
      <c r="C11" s="6">
        <v>2375.654</v>
      </c>
      <c r="D11" s="6">
        <f>(20588.3*2204.622)/1000000</f>
        <v>45.389419122599996</v>
      </c>
      <c r="E11" s="6">
        <f t="shared" ref="E11:E22" si="0">SUM(B11:D11)</f>
        <v>4028.1154191225996</v>
      </c>
      <c r="F11" s="5"/>
      <c r="G11" s="5">
        <f>K11-J11</f>
        <v>2513.5540054601997</v>
      </c>
      <c r="H11" s="101">
        <v>1062.24</v>
      </c>
      <c r="I11" s="6">
        <f>G11-H11</f>
        <v>1451.3140054601997</v>
      </c>
      <c r="J11" s="6">
        <f>(5879.2*2204.622)/1000000</f>
        <v>12.961413662399998</v>
      </c>
      <c r="K11" s="6">
        <f>E11-L11</f>
        <v>2526.5154191225997</v>
      </c>
      <c r="L11" s="5">
        <v>1501.6</v>
      </c>
      <c r="M11" s="117"/>
      <c r="N11" s="84"/>
      <c r="P11" s="34"/>
    </row>
    <row r="12" spans="1:20" ht="13.8">
      <c r="A12" s="15" t="s">
        <v>40</v>
      </c>
      <c r="B12" s="5">
        <f>L11</f>
        <v>1501.6</v>
      </c>
      <c r="C12" s="6">
        <v>2324.6680000000001</v>
      </c>
      <c r="D12" s="6">
        <f>(16757.1*2204.622)/1000000</f>
        <v>36.943071316199998</v>
      </c>
      <c r="E12" s="6">
        <f t="shared" si="0"/>
        <v>3863.2110713162001</v>
      </c>
      <c r="F12" s="5"/>
      <c r="G12" s="5">
        <f t="shared" ref="G12:G22" si="1">K12-J12</f>
        <v>2250.4175343679999</v>
      </c>
      <c r="H12" s="101">
        <v>1064.6769999999999</v>
      </c>
      <c r="I12" s="6">
        <f t="shared" ref="I12:I22" si="2">G12-H12</f>
        <v>1185.740534368</v>
      </c>
      <c r="J12" s="6">
        <f>(6213.1*2204.622)/1000000</f>
        <v>13.6975369482</v>
      </c>
      <c r="K12" s="6">
        <f t="shared" ref="K12:K22" si="3">E12-L12</f>
        <v>2264.1150713162001</v>
      </c>
      <c r="L12" s="5">
        <v>1599.096</v>
      </c>
      <c r="M12" s="117"/>
      <c r="N12" s="84"/>
      <c r="P12" s="34"/>
    </row>
    <row r="13" spans="1:20" ht="13.8">
      <c r="A13" s="15" t="s">
        <v>42</v>
      </c>
      <c r="B13" s="5">
        <f t="shared" ref="B13:B21" si="4">L12</f>
        <v>1599.096</v>
      </c>
      <c r="C13" s="6">
        <v>2376.2370000000001</v>
      </c>
      <c r="D13" s="6">
        <f>(21905.7*2204.622)/1000000</f>
        <v>48.293788145399994</v>
      </c>
      <c r="E13" s="6">
        <f t="shared" si="0"/>
        <v>4023.6267881454</v>
      </c>
      <c r="F13" s="5"/>
      <c r="G13" s="5">
        <f t="shared" si="1"/>
        <v>2186.9834934009996</v>
      </c>
      <c r="H13" s="101">
        <v>1141.8820000000001</v>
      </c>
      <c r="I13" s="6">
        <f t="shared" si="2"/>
        <v>1045.1014934009995</v>
      </c>
      <c r="J13" s="6">
        <f>(5810.2*2204.622)/1000000</f>
        <v>12.809294744399999</v>
      </c>
      <c r="K13" s="6">
        <f t="shared" si="3"/>
        <v>2199.7927881453998</v>
      </c>
      <c r="L13" s="5">
        <v>1823.8340000000001</v>
      </c>
      <c r="M13" s="117"/>
      <c r="N13" s="84"/>
      <c r="P13" s="34"/>
    </row>
    <row r="14" spans="1:20" ht="13.8">
      <c r="A14" s="15" t="s">
        <v>43</v>
      </c>
      <c r="B14" s="5">
        <f t="shared" si="4"/>
        <v>1823.8340000000001</v>
      </c>
      <c r="C14" s="6">
        <v>2282.3240000000001</v>
      </c>
      <c r="D14" s="6">
        <f>(22995*2204.622)/1000000</f>
        <v>50.695282889999994</v>
      </c>
      <c r="E14" s="6">
        <f t="shared" si="0"/>
        <v>4156.8532828900006</v>
      </c>
      <c r="F14" s="5"/>
      <c r="G14" s="5">
        <f t="shared" si="1"/>
        <v>2117.2979197476006</v>
      </c>
      <c r="H14" s="120">
        <v>960.20299999999997</v>
      </c>
      <c r="I14" s="6">
        <f t="shared" si="2"/>
        <v>1157.0949197476007</v>
      </c>
      <c r="J14" s="6">
        <f>(5219.2*2204.622)/1000000</f>
        <v>11.506363142399998</v>
      </c>
      <c r="K14" s="6">
        <f t="shared" si="3"/>
        <v>2128.8042828900006</v>
      </c>
      <c r="L14" s="5">
        <v>2028.049</v>
      </c>
      <c r="M14" s="142"/>
      <c r="N14" s="84"/>
      <c r="O14" s="84"/>
      <c r="P14" s="34"/>
    </row>
    <row r="15" spans="1:20" ht="13.8">
      <c r="A15" s="15" t="s">
        <v>44</v>
      </c>
      <c r="B15" s="5">
        <f t="shared" si="4"/>
        <v>2028.049</v>
      </c>
      <c r="C15" s="6">
        <v>2288.2179999999998</v>
      </c>
      <c r="D15" s="6">
        <f>(15950.7*2204.622)/1000000</f>
        <v>35.165264135399994</v>
      </c>
      <c r="E15" s="6">
        <f t="shared" si="0"/>
        <v>4351.4322641354001</v>
      </c>
      <c r="F15" s="5"/>
      <c r="G15" s="5">
        <f t="shared" si="1"/>
        <v>2190.4027908488001</v>
      </c>
      <c r="H15" s="120">
        <v>888.49</v>
      </c>
      <c r="I15" s="6">
        <f t="shared" si="2"/>
        <v>1301.9127908488001</v>
      </c>
      <c r="J15" s="6">
        <f>(6450.3*2204.622)/1000000</f>
        <v>14.220473286599999</v>
      </c>
      <c r="K15" s="6">
        <f t="shared" si="3"/>
        <v>2204.6232641353999</v>
      </c>
      <c r="L15" s="5">
        <v>2146.8090000000002</v>
      </c>
      <c r="M15" s="142"/>
      <c r="N15" s="84"/>
      <c r="O15" s="84"/>
      <c r="P15" s="34"/>
    </row>
    <row r="16" spans="1:20" ht="13.8">
      <c r="A16" s="15" t="s">
        <v>46</v>
      </c>
      <c r="B16" s="5">
        <f t="shared" si="4"/>
        <v>2146.8090000000002</v>
      </c>
      <c r="C16" s="6">
        <v>2403.7959999999998</v>
      </c>
      <c r="D16" s="6">
        <f>(22598.7*2204.622)/1000000</f>
        <v>49.821591191399996</v>
      </c>
      <c r="E16" s="6">
        <f t="shared" si="0"/>
        <v>4600.4265911913999</v>
      </c>
      <c r="F16" s="5"/>
      <c r="G16" s="5">
        <f t="shared" si="1"/>
        <v>2133.1132490381997</v>
      </c>
      <c r="H16" s="120">
        <v>1026.1990000000001</v>
      </c>
      <c r="I16" s="6">
        <f t="shared" si="2"/>
        <v>1106.9142490381996</v>
      </c>
      <c r="J16" s="6">
        <f>(44790.6*2204.622)/1000000</f>
        <v>98.74634215319999</v>
      </c>
      <c r="K16" s="6">
        <f t="shared" si="3"/>
        <v>2231.8595911913999</v>
      </c>
      <c r="L16" s="5">
        <v>2368.567</v>
      </c>
      <c r="M16" s="142"/>
      <c r="N16" s="84"/>
      <c r="O16" s="84"/>
      <c r="P16" s="34"/>
    </row>
    <row r="17" spans="1:16" ht="13.8">
      <c r="A17" s="15" t="s">
        <v>47</v>
      </c>
      <c r="B17" s="5">
        <f t="shared" si="4"/>
        <v>2368.567</v>
      </c>
      <c r="C17" s="6">
        <v>2096.2080000000001</v>
      </c>
      <c r="D17" s="6">
        <f>(24996.9*2204.622)/1000000</f>
        <v>55.108715671800006</v>
      </c>
      <c r="E17" s="6">
        <f t="shared" si="0"/>
        <v>4519.8837156718</v>
      </c>
      <c r="F17" s="5"/>
      <c r="G17" s="5">
        <f t="shared" si="1"/>
        <v>2186.6918875420001</v>
      </c>
      <c r="H17" s="120">
        <v>1070.029</v>
      </c>
      <c r="I17" s="6">
        <f t="shared" si="2"/>
        <v>1116.6628875420001</v>
      </c>
      <c r="J17" s="6">
        <f>(10135.9*2204.622)/1000000</f>
        <v>22.345828129800001</v>
      </c>
      <c r="K17" s="6">
        <f t="shared" si="3"/>
        <v>2209.0377156718</v>
      </c>
      <c r="L17" s="5">
        <v>2310.846</v>
      </c>
      <c r="M17" s="142"/>
      <c r="N17" s="84"/>
      <c r="O17" s="84"/>
      <c r="P17" s="34"/>
    </row>
    <row r="18" spans="1:16" ht="13.8">
      <c r="A18" s="15" t="s">
        <v>48</v>
      </c>
      <c r="B18" s="5">
        <f t="shared" si="4"/>
        <v>2310.846</v>
      </c>
      <c r="C18" s="6">
        <v>2267.1660000000002</v>
      </c>
      <c r="D18" s="6">
        <f>(40370*2204.622)/1000000</f>
        <v>89.00059014</v>
      </c>
      <c r="E18" s="6">
        <f t="shared" si="0"/>
        <v>4667.0125901400006</v>
      </c>
      <c r="F18" s="5"/>
      <c r="G18" s="5">
        <f t="shared" si="1"/>
        <v>2385.4156363152006</v>
      </c>
      <c r="H18" s="120">
        <v>1076.011</v>
      </c>
      <c r="I18" s="6">
        <f t="shared" si="2"/>
        <v>1309.4046363152006</v>
      </c>
      <c r="J18" s="6">
        <f>(42508.4*2204.622)/1000000</f>
        <v>93.714953824800006</v>
      </c>
      <c r="K18" s="6">
        <f t="shared" si="3"/>
        <v>2479.1305901400005</v>
      </c>
      <c r="L18" s="5">
        <v>2187.8820000000001</v>
      </c>
      <c r="M18" s="142"/>
      <c r="N18" s="84"/>
      <c r="O18" s="84"/>
      <c r="P18" s="34"/>
    </row>
    <row r="19" spans="1:16" ht="13.8">
      <c r="A19" s="15" t="s">
        <v>49</v>
      </c>
      <c r="B19" s="5">
        <f t="shared" si="4"/>
        <v>2187.8820000000001</v>
      </c>
      <c r="C19" s="6">
        <v>2182.25</v>
      </c>
      <c r="D19" s="6">
        <f>(45970.5*2204.622)/1000000</f>
        <v>101.347575651</v>
      </c>
      <c r="E19" s="6">
        <f t="shared" si="0"/>
        <v>4471.4795756509993</v>
      </c>
      <c r="F19" s="5"/>
      <c r="G19" s="5">
        <f t="shared" si="1"/>
        <v>2231.1614918979994</v>
      </c>
      <c r="H19" s="120">
        <v>1266.837</v>
      </c>
      <c r="I19" s="6">
        <f t="shared" si="2"/>
        <v>964.32449189799945</v>
      </c>
      <c r="J19" s="6">
        <f>(52311.5*2204.622)/1000000</f>
        <v>115.327083753</v>
      </c>
      <c r="K19" s="6">
        <f t="shared" si="3"/>
        <v>2346.4885756509993</v>
      </c>
      <c r="L19" s="5">
        <v>2124.991</v>
      </c>
      <c r="M19" s="142"/>
      <c r="N19" s="84"/>
      <c r="O19" s="84"/>
      <c r="P19" s="34"/>
    </row>
    <row r="20" spans="1:16" ht="13.8">
      <c r="A20" s="15" t="s">
        <v>50</v>
      </c>
      <c r="B20" s="5">
        <f t="shared" si="4"/>
        <v>2124.991</v>
      </c>
      <c r="C20" s="6">
        <v>2303.0819999999999</v>
      </c>
      <c r="D20" s="6">
        <f>(33095.7*2204.622)/1000000</f>
        <v>72.963508325399999</v>
      </c>
      <c r="E20" s="6">
        <f t="shared" si="0"/>
        <v>4501.0365083254001</v>
      </c>
      <c r="F20" s="5"/>
      <c r="G20" s="5">
        <f t="shared" si="1"/>
        <v>2395.4271514970001</v>
      </c>
      <c r="H20" s="120">
        <v>1139.1510000000001</v>
      </c>
      <c r="I20" s="6">
        <f t="shared" si="2"/>
        <v>1256.276151497</v>
      </c>
      <c r="J20" s="6">
        <f>(44032.2*2204.622)/1000000</f>
        <v>97.074356828399985</v>
      </c>
      <c r="K20" s="6">
        <f t="shared" si="3"/>
        <v>2492.5015083254002</v>
      </c>
      <c r="L20" s="5">
        <v>2008.5349999999999</v>
      </c>
      <c r="M20" s="142"/>
      <c r="N20" s="84"/>
      <c r="O20" s="84"/>
      <c r="P20" s="34"/>
    </row>
    <row r="21" spans="1:16" ht="13.8">
      <c r="A21" s="15" t="s">
        <v>51</v>
      </c>
      <c r="B21" s="5">
        <f t="shared" si="4"/>
        <v>2008.5349999999999</v>
      </c>
      <c r="C21" s="98">
        <v>1991.846</v>
      </c>
      <c r="D21" s="6">
        <f>(6929.7*2204.622)/1000000</f>
        <v>15.277369073399997</v>
      </c>
      <c r="E21" s="6">
        <f t="shared" si="0"/>
        <v>4015.6583690734001</v>
      </c>
      <c r="F21" s="5"/>
      <c r="G21" s="5">
        <f t="shared" si="1"/>
        <v>2322.2227831693999</v>
      </c>
      <c r="H21" s="120">
        <v>1217.0319999999999</v>
      </c>
      <c r="I21" s="6">
        <f t="shared" si="2"/>
        <v>1105.1907831694</v>
      </c>
      <c r="J21" s="6">
        <f>(29032*2204.622)/1000000</f>
        <v>64.004585903999995</v>
      </c>
      <c r="K21" s="6">
        <f t="shared" si="3"/>
        <v>2386.2273690734</v>
      </c>
      <c r="L21" s="5">
        <v>1629.431</v>
      </c>
      <c r="M21" s="142"/>
      <c r="N21" s="84"/>
      <c r="O21" s="84"/>
      <c r="P21" s="34"/>
    </row>
    <row r="22" spans="1:16" ht="13.8">
      <c r="A22" s="15" t="s">
        <v>38</v>
      </c>
      <c r="B22" s="5">
        <v>1629.431</v>
      </c>
      <c r="C22" s="98">
        <v>2201.3490000000002</v>
      </c>
      <c r="D22" s="6">
        <f>(9360.5*2204.622)/1000000</f>
        <v>20.636364230999998</v>
      </c>
      <c r="E22" s="6">
        <f t="shared" si="0"/>
        <v>3851.416364231</v>
      </c>
      <c r="F22" s="5"/>
      <c r="G22" s="5">
        <f t="shared" si="1"/>
        <v>2240.2033095857996</v>
      </c>
      <c r="H22" s="120">
        <v>1076.2909999999999</v>
      </c>
      <c r="I22" s="6">
        <f t="shared" si="2"/>
        <v>1163.9123095857997</v>
      </c>
      <c r="J22" s="6">
        <f>(27376.6*2204.622)/1000000</f>
        <v>60.355054645199992</v>
      </c>
      <c r="K22" s="6">
        <f t="shared" si="3"/>
        <v>2300.5583642309998</v>
      </c>
      <c r="L22" s="5">
        <v>1550.8580000000002</v>
      </c>
      <c r="M22" s="142"/>
      <c r="N22" s="84"/>
      <c r="O22" s="84"/>
      <c r="P22" s="34"/>
    </row>
    <row r="23" spans="1:16" ht="13.8">
      <c r="A23" s="15" t="s">
        <v>29</v>
      </c>
      <c r="B23" s="5"/>
      <c r="C23" s="98">
        <f>SUM(C11:C22)</f>
        <v>27092.798000000003</v>
      </c>
      <c r="D23" s="6">
        <f>(281518.7*2204.622)/1000000</f>
        <v>620.64231943139998</v>
      </c>
      <c r="E23" s="6">
        <f>B11+C23+D23</f>
        <v>29320.512319431404</v>
      </c>
      <c r="F23" s="5"/>
      <c r="G23" s="5">
        <f>K23-J23</f>
        <v>27152.891252871203</v>
      </c>
      <c r="H23" s="120">
        <f>SUM(H11:H22)</f>
        <v>12989.041999999999</v>
      </c>
      <c r="I23" s="100">
        <f>G23-H23</f>
        <v>14163.849252871203</v>
      </c>
      <c r="J23" s="6">
        <f>(279759.2*2204.622)/1000000</f>
        <v>616.76328702240005</v>
      </c>
      <c r="K23" s="6">
        <f>SUM(K11:K22)</f>
        <v>27769.654539893603</v>
      </c>
      <c r="L23" s="5"/>
      <c r="O23" s="84"/>
      <c r="P23" s="34"/>
    </row>
    <row r="24" spans="1:16" ht="15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N24" s="167"/>
      <c r="O24" s="167"/>
      <c r="P24" s="34"/>
    </row>
    <row r="25" spans="1:16" ht="13.8">
      <c r="A25" s="30" t="s">
        <v>154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O25" s="84"/>
      <c r="P25" s="34"/>
    </row>
    <row r="26" spans="1:16" ht="13.8">
      <c r="A26" s="15" t="s">
        <v>39</v>
      </c>
      <c r="B26" s="5">
        <f>L22</f>
        <v>1550.8580000000002</v>
      </c>
      <c r="C26" s="6">
        <v>2543.453</v>
      </c>
      <c r="D26" s="6">
        <f>(13263.8*2204.622)/1000000</f>
        <v>29.241665283599996</v>
      </c>
      <c r="E26" s="6">
        <f t="shared" ref="E26:E31" si="5">SUM(B26:D26)</f>
        <v>4123.5526652835997</v>
      </c>
      <c r="F26" s="5"/>
      <c r="G26" s="5">
        <f t="shared" ref="G26:G31" si="6">K26-J26</f>
        <v>2508.8486039863997</v>
      </c>
      <c r="H26" s="133">
        <v>1227.0820000000001</v>
      </c>
      <c r="I26" s="6">
        <f t="shared" ref="I26" si="7">G26-H26</f>
        <v>1281.7666039863996</v>
      </c>
      <c r="J26" s="6">
        <f>(10242.6*2204.622)/1000000</f>
        <v>22.581061297199998</v>
      </c>
      <c r="K26" s="6">
        <f t="shared" ref="K26:K31" si="8">E26-L26</f>
        <v>2531.4296652835997</v>
      </c>
      <c r="L26" s="6">
        <v>1592.123</v>
      </c>
      <c r="N26" s="34"/>
      <c r="O26" s="84"/>
      <c r="P26" s="34"/>
    </row>
    <row r="27" spans="1:16" ht="13.8">
      <c r="A27" s="15" t="s">
        <v>40</v>
      </c>
      <c r="B27" s="5">
        <f>L26</f>
        <v>1592.123</v>
      </c>
      <c r="C27" s="6">
        <v>2489.9409999999998</v>
      </c>
      <c r="D27" s="100">
        <f>(30494.4*2204.622)/1000000</f>
        <v>67.228625116799989</v>
      </c>
      <c r="E27" s="100">
        <f t="shared" si="5"/>
        <v>4149.2926251168001</v>
      </c>
      <c r="F27" s="5"/>
      <c r="G27" s="76">
        <f t="shared" si="6"/>
        <v>2402.1522942078</v>
      </c>
      <c r="H27" s="133">
        <v>1191.5230000000001</v>
      </c>
      <c r="I27" s="100">
        <f>G27-H27</f>
        <v>1210.6292942077998</v>
      </c>
      <c r="J27" s="100">
        <f>(58509.5*2204.622)/1000000</f>
        <v>128.991330909</v>
      </c>
      <c r="K27" s="100">
        <f t="shared" si="8"/>
        <v>2531.1436251168002</v>
      </c>
      <c r="L27" s="6">
        <v>1618.1489999999999</v>
      </c>
      <c r="N27" s="34"/>
      <c r="O27" s="84"/>
      <c r="P27" s="34"/>
    </row>
    <row r="28" spans="1:16" ht="13.8">
      <c r="A28" s="15" t="s">
        <v>42</v>
      </c>
      <c r="B28" s="5">
        <f>L27</f>
        <v>1618.1489999999999</v>
      </c>
      <c r="C28" s="6">
        <v>2572.6219999999998</v>
      </c>
      <c r="D28" s="100">
        <f>(12364.4*2204.622)/1000000</f>
        <v>27.258828256799998</v>
      </c>
      <c r="E28" s="100">
        <f t="shared" si="5"/>
        <v>4218.0298282568001</v>
      </c>
      <c r="F28" s="76"/>
      <c r="G28" s="76">
        <f t="shared" si="6"/>
        <v>2251.0520845650003</v>
      </c>
      <c r="H28" s="156">
        <v>1096.6990000000001</v>
      </c>
      <c r="I28" s="148">
        <f>G28-H28</f>
        <v>1154.3530845650002</v>
      </c>
      <c r="J28" s="100">
        <f>(126906.9*2204.622)/1000000</f>
        <v>279.78174369179993</v>
      </c>
      <c r="K28" s="100">
        <f t="shared" si="8"/>
        <v>2530.8338282568002</v>
      </c>
      <c r="L28" s="6">
        <v>1687.1959999999999</v>
      </c>
      <c r="N28" s="34"/>
      <c r="O28" s="84"/>
      <c r="P28" s="34"/>
    </row>
    <row r="29" spans="1:16" ht="13.8">
      <c r="A29" s="15" t="s">
        <v>43</v>
      </c>
      <c r="B29" s="5">
        <f>L28</f>
        <v>1687.1959999999999</v>
      </c>
      <c r="C29" s="6">
        <v>2526.6570000000002</v>
      </c>
      <c r="D29" s="100">
        <f>(13775.3*2204.622)/1000000</f>
        <v>30.369329436599998</v>
      </c>
      <c r="E29" s="100">
        <f t="shared" si="5"/>
        <v>4244.2223294366004</v>
      </c>
      <c r="F29" s="76"/>
      <c r="G29" s="76">
        <f t="shared" si="6"/>
        <v>1958.7118062530008</v>
      </c>
      <c r="H29" s="156">
        <v>654.25386278320002</v>
      </c>
      <c r="I29" s="148">
        <f>G29-H29</f>
        <v>1304.4579434698007</v>
      </c>
      <c r="J29" s="100">
        <f>(212713.8*2204.622)/1000000</f>
        <v>468.95352318359994</v>
      </c>
      <c r="K29" s="100">
        <f t="shared" si="8"/>
        <v>2427.6653294366006</v>
      </c>
      <c r="L29" s="6">
        <v>1816.557</v>
      </c>
      <c r="N29" s="34"/>
      <c r="O29" s="84"/>
      <c r="P29" s="34"/>
    </row>
    <row r="30" spans="1:16" s="127" customFormat="1" ht="13.8">
      <c r="A30" s="119" t="s">
        <v>44</v>
      </c>
      <c r="B30" s="157">
        <f>L29</f>
        <v>1816.557</v>
      </c>
      <c r="C30" s="103">
        <v>2245.19</v>
      </c>
      <c r="D30" s="148">
        <f>(11981.2*2204.622)/1000000</f>
        <v>26.414017106399999</v>
      </c>
      <c r="E30" s="148">
        <f t="shared" si="5"/>
        <v>4088.1610171064003</v>
      </c>
      <c r="F30" s="158"/>
      <c r="G30" s="158">
        <f t="shared" si="6"/>
        <v>1864.1661514552004</v>
      </c>
      <c r="H30" s="133">
        <v>576.33199999999999</v>
      </c>
      <c r="I30" s="100">
        <f>G30-H30</f>
        <v>1287.8341514552003</v>
      </c>
      <c r="J30" s="148">
        <f>(136249.6*2204.622)/1000000</f>
        <v>300.37886565119999</v>
      </c>
      <c r="K30" s="148">
        <f t="shared" si="8"/>
        <v>2164.5450171064003</v>
      </c>
      <c r="L30" s="6">
        <v>1923.616</v>
      </c>
      <c r="N30" s="151"/>
      <c r="O30" s="159"/>
      <c r="P30" s="151"/>
    </row>
    <row r="31" spans="1:16" ht="13.8">
      <c r="A31" s="15" t="s">
        <v>46</v>
      </c>
      <c r="B31" s="5">
        <f>L30</f>
        <v>1923.616</v>
      </c>
      <c r="C31" s="6">
        <v>2473.1210000000001</v>
      </c>
      <c r="D31" s="100">
        <f>(12692.6*2204.622)/1000000</f>
        <v>27.982385197199999</v>
      </c>
      <c r="E31" s="100">
        <f t="shared" si="5"/>
        <v>4424.7193851971997</v>
      </c>
      <c r="F31" s="76"/>
      <c r="G31" s="76">
        <f t="shared" si="6"/>
        <v>2001.9659631613999</v>
      </c>
      <c r="H31" s="133" t="s">
        <v>76</v>
      </c>
      <c r="I31" s="100" t="s">
        <v>76</v>
      </c>
      <c r="J31" s="100">
        <f>(155958.9*2204.622)/1000000</f>
        <v>343.83042203579998</v>
      </c>
      <c r="K31" s="100">
        <f t="shared" si="8"/>
        <v>2345.7963851971999</v>
      </c>
      <c r="L31" s="6">
        <v>2078.9229999999998</v>
      </c>
      <c r="N31" s="34"/>
      <c r="O31" s="84"/>
      <c r="P31" s="34"/>
    </row>
    <row r="32" spans="1:16" ht="16.2">
      <c r="A32" s="77" t="s">
        <v>77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14.4">
      <c r="A33" s="15" t="s">
        <v>69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3.8">
      <c r="A34" s="20" t="s">
        <v>57</v>
      </c>
      <c r="B34" s="36">
        <f>Contents!A18</f>
        <v>45791</v>
      </c>
      <c r="K34" s="34"/>
    </row>
    <row r="35" spans="1:12">
      <c r="E35" s="34"/>
    </row>
    <row r="36" spans="1:12">
      <c r="C36" s="138"/>
      <c r="D36" s="138"/>
      <c r="E36" s="139"/>
      <c r="F36" s="138"/>
      <c r="G36" s="138"/>
      <c r="H36" s="138"/>
      <c r="I36" s="138"/>
      <c r="J36" s="138"/>
      <c r="K36" s="140"/>
    </row>
    <row r="37" spans="1:12">
      <c r="C37" s="138"/>
      <c r="D37" s="138"/>
      <c r="E37" s="139"/>
      <c r="F37" s="138"/>
      <c r="G37" s="138"/>
      <c r="H37" s="138"/>
      <c r="I37" s="138"/>
      <c r="J37" s="138"/>
      <c r="K37" s="140"/>
    </row>
    <row r="38" spans="1:12">
      <c r="C38" s="138"/>
      <c r="D38" s="138"/>
      <c r="E38" s="139"/>
      <c r="F38" s="138"/>
      <c r="G38" s="138"/>
      <c r="H38" s="138"/>
      <c r="I38" s="138"/>
      <c r="J38" s="138"/>
      <c r="K38" s="140"/>
    </row>
    <row r="39" spans="1:12">
      <c r="C39" s="138"/>
      <c r="D39" s="138"/>
      <c r="E39" s="139"/>
      <c r="F39" s="138"/>
      <c r="G39" s="138"/>
      <c r="H39" s="138"/>
      <c r="I39" s="138"/>
      <c r="J39" s="138"/>
      <c r="K39" s="140"/>
    </row>
    <row r="40" spans="1:12">
      <c r="C40" s="138"/>
      <c r="D40" s="138"/>
      <c r="E40" s="139"/>
      <c r="F40" s="138"/>
      <c r="G40" s="138"/>
      <c r="H40" s="138"/>
      <c r="I40" s="138"/>
      <c r="J40" s="138"/>
      <c r="K40" s="140"/>
    </row>
    <row r="41" spans="1:12">
      <c r="C41" s="138"/>
      <c r="D41" s="138"/>
      <c r="E41" s="139"/>
      <c r="F41" s="138"/>
      <c r="G41" s="138"/>
      <c r="H41" s="138"/>
      <c r="I41" s="138"/>
      <c r="J41" s="138"/>
      <c r="K41" s="140"/>
    </row>
    <row r="42" spans="1:12">
      <c r="C42" s="138"/>
      <c r="D42" s="138"/>
      <c r="E42" s="139"/>
      <c r="F42" s="138"/>
      <c r="G42" s="138"/>
      <c r="H42" s="138"/>
      <c r="I42" s="138"/>
      <c r="J42" s="138"/>
      <c r="K42" s="140"/>
    </row>
    <row r="43" spans="1:12">
      <c r="C43" s="138"/>
      <c r="D43" s="138"/>
      <c r="E43" s="139"/>
      <c r="F43" s="138"/>
      <c r="G43" s="138"/>
      <c r="H43" s="138"/>
      <c r="I43" s="138"/>
      <c r="J43" s="138"/>
      <c r="K43" s="140"/>
    </row>
    <row r="44" spans="1:12">
      <c r="C44" s="138"/>
      <c r="D44" s="138"/>
      <c r="E44" s="139"/>
      <c r="F44" s="138"/>
      <c r="G44" s="138"/>
      <c r="H44" s="138"/>
      <c r="I44" s="138"/>
      <c r="J44" s="138"/>
      <c r="K44" s="140"/>
    </row>
    <row r="45" spans="1:12">
      <c r="C45" s="138"/>
      <c r="D45" s="138"/>
      <c r="E45" s="139"/>
      <c r="F45" s="138"/>
      <c r="G45" s="138"/>
      <c r="H45" s="138"/>
      <c r="I45" s="138"/>
      <c r="J45" s="138"/>
      <c r="K45" s="140"/>
    </row>
    <row r="46" spans="1:12">
      <c r="C46" s="138"/>
      <c r="D46" s="138"/>
      <c r="E46" s="139"/>
      <c r="F46" s="138"/>
      <c r="G46" s="138"/>
      <c r="H46" s="138"/>
      <c r="I46" s="138"/>
      <c r="J46" s="138"/>
      <c r="K46" s="140"/>
    </row>
    <row r="47" spans="1:12">
      <c r="C47" s="138"/>
      <c r="D47" s="138"/>
      <c r="E47" s="139"/>
      <c r="F47" s="138"/>
      <c r="G47" s="138"/>
      <c r="H47" s="138"/>
      <c r="I47" s="138"/>
      <c r="J47" s="138"/>
      <c r="K47" s="140"/>
    </row>
    <row r="49" spans="3:11">
      <c r="C49" s="34"/>
      <c r="D49" s="34"/>
      <c r="E49" s="34"/>
      <c r="F49" s="34"/>
      <c r="G49" s="34"/>
      <c r="H49" s="34"/>
      <c r="I49" s="34"/>
      <c r="J49" s="34"/>
      <c r="K49" s="34"/>
    </row>
    <row r="50" spans="3:11">
      <c r="C50" s="34"/>
      <c r="D50" s="34"/>
      <c r="E50" s="34"/>
      <c r="F50" s="34"/>
      <c r="G50" s="34"/>
      <c r="H50" s="34"/>
      <c r="I50" s="34"/>
      <c r="J50" s="34"/>
      <c r="K50" s="34"/>
    </row>
    <row r="51" spans="3:11">
      <c r="C51" s="34"/>
      <c r="D51" s="34"/>
      <c r="E51" s="34"/>
      <c r="F51" s="34"/>
      <c r="G51" s="34"/>
      <c r="H51" s="34"/>
      <c r="I51" s="34"/>
      <c r="J51" s="34"/>
      <c r="K51" s="34"/>
    </row>
    <row r="52" spans="3:11">
      <c r="C52" s="34"/>
      <c r="D52" s="34"/>
      <c r="E52" s="34"/>
      <c r="F52" s="34"/>
      <c r="G52" s="34"/>
      <c r="H52" s="34"/>
      <c r="I52" s="34"/>
      <c r="J52" s="34"/>
      <c r="K52" s="34"/>
    </row>
    <row r="53" spans="3:11">
      <c r="C53" s="34"/>
      <c r="D53" s="34"/>
      <c r="E53" s="34"/>
      <c r="F53" s="34"/>
      <c r="G53" s="34"/>
      <c r="H53" s="34"/>
      <c r="I53" s="34"/>
      <c r="J53" s="34"/>
      <c r="K53" s="34"/>
    </row>
    <row r="54" spans="3:11">
      <c r="C54" s="34"/>
      <c r="D54" s="34"/>
      <c r="E54" s="34"/>
      <c r="F54" s="34"/>
      <c r="G54" s="34"/>
      <c r="H54" s="34"/>
      <c r="I54" s="34"/>
      <c r="J54" s="34"/>
      <c r="K54" s="34"/>
    </row>
    <row r="55" spans="3:11">
      <c r="C55" s="34"/>
      <c r="D55" s="34"/>
      <c r="E55" s="34"/>
      <c r="F55" s="34"/>
      <c r="G55" s="34"/>
      <c r="H55" s="34"/>
      <c r="I55" s="34"/>
      <c r="J55" s="34"/>
      <c r="K55" s="34"/>
    </row>
    <row r="56" spans="3:11">
      <c r="C56" s="34"/>
      <c r="D56" s="34"/>
      <c r="E56" s="34"/>
      <c r="F56" s="34"/>
      <c r="G56" s="34"/>
      <c r="H56" s="34"/>
      <c r="I56" s="34"/>
      <c r="J56" s="34"/>
      <c r="K56" s="34"/>
    </row>
    <row r="57" spans="3:11">
      <c r="C57" s="34"/>
      <c r="D57" s="34"/>
      <c r="E57" s="34"/>
      <c r="F57" s="34"/>
      <c r="G57" s="34"/>
      <c r="H57" s="34"/>
      <c r="I57" s="34"/>
      <c r="J57" s="34"/>
      <c r="K57" s="34"/>
    </row>
    <row r="58" spans="3:11">
      <c r="C58" s="34"/>
      <c r="D58" s="34"/>
      <c r="E58" s="34"/>
      <c r="F58" s="34"/>
      <c r="G58" s="34"/>
      <c r="H58" s="34"/>
      <c r="I58" s="34"/>
      <c r="J58" s="34"/>
      <c r="K58" s="34"/>
    </row>
    <row r="59" spans="3:11">
      <c r="C59" s="34"/>
      <c r="D59" s="34"/>
      <c r="E59" s="34"/>
      <c r="F59" s="34"/>
      <c r="G59" s="34"/>
      <c r="H59" s="34"/>
      <c r="I59" s="34"/>
      <c r="J59" s="34"/>
      <c r="K59" s="34"/>
    </row>
  </sheetData>
  <mergeCells count="3">
    <mergeCell ref="B5:L5"/>
    <mergeCell ref="G2:I2"/>
    <mergeCell ref="B2:E2"/>
  </mergeCells>
  <phoneticPr fontId="60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33203125" defaultRowHeight="13.2"/>
  <cols>
    <col min="1" max="1" width="15.44140625" customWidth="1"/>
    <col min="2" max="2" width="13.33203125" customWidth="1"/>
    <col min="3" max="3" width="12.3320312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10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98" t="s">
        <v>58</v>
      </c>
      <c r="C2" s="198"/>
      <c r="D2" s="198"/>
      <c r="E2" s="198"/>
      <c r="F2" s="67"/>
      <c r="G2" s="198" t="s">
        <v>59</v>
      </c>
      <c r="H2" s="198"/>
      <c r="I2" s="198"/>
      <c r="J2" s="198"/>
      <c r="K2" s="67"/>
      <c r="L2" s="15"/>
      <c r="M2" s="15"/>
      <c r="N2" s="15"/>
      <c r="O2" s="15"/>
    </row>
    <row r="3" spans="1:15" ht="13.8">
      <c r="A3" s="15" t="s">
        <v>18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78</v>
      </c>
      <c r="B4" s="23" t="s">
        <v>79</v>
      </c>
      <c r="C4" s="53" t="s">
        <v>27</v>
      </c>
      <c r="D4" s="25" t="s">
        <v>71</v>
      </c>
      <c r="E4" s="23" t="s">
        <v>80</v>
      </c>
      <c r="F4" s="24"/>
      <c r="G4" s="23" t="s">
        <v>81</v>
      </c>
      <c r="H4" s="23" t="s">
        <v>31</v>
      </c>
      <c r="I4" s="23" t="s">
        <v>82</v>
      </c>
      <c r="J4" s="23" t="s">
        <v>83</v>
      </c>
      <c r="K4" s="23" t="s">
        <v>62</v>
      </c>
      <c r="L4" s="15"/>
      <c r="M4" s="15"/>
      <c r="N4" s="15"/>
      <c r="O4" s="15"/>
    </row>
    <row r="5" spans="1:15" ht="14.4">
      <c r="A5" s="15"/>
      <c r="B5" s="203" t="s">
        <v>84</v>
      </c>
      <c r="C5" s="203"/>
      <c r="D5" s="203"/>
      <c r="E5" s="203"/>
      <c r="F5" s="203"/>
      <c r="G5" s="203"/>
      <c r="H5" s="203"/>
      <c r="I5" s="203"/>
      <c r="J5" s="203"/>
      <c r="K5" s="203"/>
      <c r="L5" s="15"/>
      <c r="M5" s="15"/>
      <c r="N5" s="15"/>
      <c r="O5" s="15"/>
    </row>
    <row r="6" spans="1:15" ht="13.8">
      <c r="A6" s="15" t="s">
        <v>53</v>
      </c>
      <c r="B6" s="69">
        <v>385.13499999999999</v>
      </c>
      <c r="C6" s="69">
        <v>3644</v>
      </c>
      <c r="D6" s="187">
        <v>24.143999999999998</v>
      </c>
      <c r="E6" s="69">
        <f>B6+C6+D6</f>
        <v>4053.279</v>
      </c>
      <c r="F6" s="70"/>
      <c r="G6" s="69">
        <v>1371.923</v>
      </c>
      <c r="H6" s="188">
        <v>389.28699999999998</v>
      </c>
      <c r="I6" s="69">
        <f>J6-G6-H6</f>
        <v>1921.8943148147448</v>
      </c>
      <c r="J6" s="69">
        <f>E6-K6</f>
        <v>3683.1043148147451</v>
      </c>
      <c r="K6" s="69">
        <v>370.17468518525493</v>
      </c>
      <c r="L6" s="116"/>
      <c r="M6" s="116"/>
      <c r="N6" s="116"/>
      <c r="O6" s="15"/>
    </row>
    <row r="7" spans="1:15" ht="16.2">
      <c r="A7" s="15" t="s">
        <v>162</v>
      </c>
      <c r="B7" s="69">
        <f>K6</f>
        <v>370.17468518525493</v>
      </c>
      <c r="C7" s="69">
        <v>4262</v>
      </c>
      <c r="D7" s="187">
        <v>50</v>
      </c>
      <c r="E7" s="69">
        <f>B7+C7+D7</f>
        <v>4682.1746851852549</v>
      </c>
      <c r="F7" s="70"/>
      <c r="G7" s="69">
        <v>1250</v>
      </c>
      <c r="H7" s="188">
        <v>250</v>
      </c>
      <c r="I7" s="69">
        <v>2782</v>
      </c>
      <c r="J7" s="69">
        <f>SUM(G7:I7)</f>
        <v>4282</v>
      </c>
      <c r="K7" s="69">
        <f>E7-J7</f>
        <v>400.17468518525493</v>
      </c>
      <c r="L7" s="116"/>
      <c r="M7" s="15"/>
      <c r="N7" s="116"/>
      <c r="O7" s="15"/>
    </row>
    <row r="8" spans="1:15" ht="16.2">
      <c r="A8" s="14" t="s">
        <v>163</v>
      </c>
      <c r="B8" s="189">
        <f>K7</f>
        <v>400.17468518525493</v>
      </c>
      <c r="C8" s="189">
        <v>4475</v>
      </c>
      <c r="D8" s="190">
        <v>50</v>
      </c>
      <c r="E8" s="189">
        <f>B8+C8+D8</f>
        <v>4925.1746851852549</v>
      </c>
      <c r="F8" s="191"/>
      <c r="G8" s="189">
        <v>1450</v>
      </c>
      <c r="H8" s="192">
        <v>200</v>
      </c>
      <c r="I8" s="189">
        <v>2875</v>
      </c>
      <c r="J8" s="189">
        <f>SUM(G8:I8)</f>
        <v>4525</v>
      </c>
      <c r="K8" s="189">
        <f>E8-J8</f>
        <v>400.17468518525493</v>
      </c>
      <c r="L8" s="15"/>
      <c r="M8" s="15"/>
      <c r="N8" s="15"/>
      <c r="O8" s="15"/>
    </row>
    <row r="9" spans="1:15" ht="16.2">
      <c r="A9" s="40" t="s">
        <v>85</v>
      </c>
      <c r="B9" s="15"/>
      <c r="C9" s="68"/>
      <c r="D9" s="68"/>
      <c r="E9" s="68"/>
      <c r="F9" s="68"/>
      <c r="G9" s="71"/>
      <c r="H9" s="68"/>
      <c r="I9" s="68"/>
      <c r="J9" s="68"/>
      <c r="K9" s="15"/>
      <c r="L9" s="15"/>
      <c r="M9" s="15"/>
      <c r="N9" s="15"/>
      <c r="O9" s="15"/>
    </row>
    <row r="10" spans="1:15" ht="14.4">
      <c r="A10" s="15" t="s">
        <v>86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4">
      <c r="A11" s="15" t="s">
        <v>87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3.8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98" t="s">
        <v>58</v>
      </c>
      <c r="C15" s="198"/>
      <c r="D15" s="198"/>
      <c r="E15" s="198"/>
      <c r="F15" s="15"/>
      <c r="G15" s="198" t="s">
        <v>59</v>
      </c>
      <c r="H15" s="198"/>
      <c r="I15" s="198"/>
      <c r="J15" s="15"/>
      <c r="K15" s="15"/>
      <c r="L15" s="15"/>
      <c r="M15" s="15"/>
      <c r="N15" s="15"/>
      <c r="O15" s="15"/>
    </row>
    <row r="16" spans="1:15" ht="13.8">
      <c r="A16" s="15" t="s">
        <v>18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3" t="s">
        <v>27</v>
      </c>
      <c r="D17" s="25" t="s">
        <v>71</v>
      </c>
      <c r="E17" s="23" t="s">
        <v>83</v>
      </c>
      <c r="F17" s="24"/>
      <c r="G17" s="69" t="s">
        <v>88</v>
      </c>
      <c r="H17" s="23" t="s">
        <v>31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203" t="s">
        <v>89</v>
      </c>
      <c r="C18" s="203"/>
      <c r="D18" s="203"/>
      <c r="E18" s="203"/>
      <c r="F18" s="203"/>
      <c r="G18" s="203"/>
      <c r="H18" s="203"/>
      <c r="I18" s="203"/>
      <c r="J18" s="203"/>
      <c r="K18" s="15"/>
      <c r="L18" s="15"/>
      <c r="M18" s="15"/>
      <c r="N18" s="15"/>
      <c r="O18" s="15"/>
    </row>
    <row r="19" spans="1:15" ht="13.8">
      <c r="A19" s="15" t="s">
        <v>53</v>
      </c>
      <c r="B19" s="69">
        <v>32.561</v>
      </c>
      <c r="C19" s="188">
        <v>568.43899999999996</v>
      </c>
      <c r="D19" s="187">
        <v>0.05</v>
      </c>
      <c r="E19" s="188">
        <f t="shared" ref="E19:E20" si="0">B19+C19+D19</f>
        <v>601.04999999999995</v>
      </c>
      <c r="F19" s="70"/>
      <c r="G19" s="188">
        <f>I19-H19</f>
        <v>515.82099999999991</v>
      </c>
      <c r="H19" s="188">
        <v>50.72</v>
      </c>
      <c r="I19" s="188">
        <f>E19-J19</f>
        <v>566.54099999999994</v>
      </c>
      <c r="J19" s="69">
        <v>34.509</v>
      </c>
      <c r="K19" s="15"/>
      <c r="L19" s="116"/>
      <c r="M19" s="15"/>
      <c r="N19" s="15"/>
      <c r="O19" s="15"/>
    </row>
    <row r="20" spans="1:15" ht="16.2">
      <c r="A20" s="15" t="s">
        <v>162</v>
      </c>
      <c r="B20" s="69">
        <f>J19</f>
        <v>34.509</v>
      </c>
      <c r="C20" s="188">
        <v>575</v>
      </c>
      <c r="D20" s="187">
        <v>0</v>
      </c>
      <c r="E20" s="188">
        <f t="shared" si="0"/>
        <v>609.50900000000001</v>
      </c>
      <c r="F20" s="70"/>
      <c r="G20" s="188">
        <v>520</v>
      </c>
      <c r="H20" s="188">
        <v>50</v>
      </c>
      <c r="I20" s="188">
        <f>SUM(G20:H20)</f>
        <v>570</v>
      </c>
      <c r="J20" s="69">
        <f>E20-I20</f>
        <v>39.509000000000015</v>
      </c>
      <c r="K20" s="15"/>
      <c r="L20" s="116"/>
      <c r="M20" s="15"/>
      <c r="N20" s="15"/>
      <c r="O20" s="15"/>
    </row>
    <row r="21" spans="1:15" ht="16.2">
      <c r="A21" s="15" t="s">
        <v>163</v>
      </c>
      <c r="B21" s="69">
        <f>J20</f>
        <v>39.509000000000015</v>
      </c>
      <c r="C21" s="188">
        <v>640</v>
      </c>
      <c r="D21" s="187">
        <v>0</v>
      </c>
      <c r="E21" s="188">
        <f>B21+C21+D21</f>
        <v>679.50900000000001</v>
      </c>
      <c r="F21" s="70"/>
      <c r="G21" s="188">
        <v>590</v>
      </c>
      <c r="H21" s="188">
        <v>50</v>
      </c>
      <c r="I21" s="188">
        <f>SUM(G21:H21)</f>
        <v>640</v>
      </c>
      <c r="J21" s="69">
        <f>E21-I21</f>
        <v>39.509000000000015</v>
      </c>
      <c r="K21" s="15"/>
      <c r="L21" s="15"/>
      <c r="M21" s="15"/>
      <c r="N21" s="15"/>
      <c r="O21" s="15"/>
    </row>
    <row r="22" spans="1:15" ht="16.2">
      <c r="A22" s="77" t="s">
        <v>85</v>
      </c>
      <c r="B22" s="67"/>
      <c r="C22" s="175"/>
      <c r="D22" s="175"/>
      <c r="E22" s="175"/>
      <c r="F22" s="175"/>
      <c r="G22" s="175"/>
      <c r="H22" s="175"/>
      <c r="I22" s="67"/>
      <c r="J22" s="67"/>
      <c r="K22" s="15"/>
      <c r="L22" s="15"/>
      <c r="M22" s="15"/>
      <c r="N22" s="15"/>
      <c r="O22" s="15"/>
    </row>
    <row r="23" spans="1:15" ht="14.4">
      <c r="A23" s="15" t="s">
        <v>90</v>
      </c>
      <c r="B23" s="70"/>
      <c r="C23" s="70"/>
      <c r="D23" s="70"/>
      <c r="E23" s="70"/>
      <c r="F23" s="70"/>
      <c r="G23" s="70"/>
      <c r="H23" s="70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98" t="s">
        <v>58</v>
      </c>
      <c r="C27" s="198"/>
      <c r="D27" s="198"/>
      <c r="E27" s="198"/>
      <c r="F27" s="15"/>
      <c r="G27" s="198" t="s">
        <v>59</v>
      </c>
      <c r="H27" s="198"/>
      <c r="I27" s="198"/>
      <c r="J27" s="15"/>
      <c r="K27" s="15"/>
      <c r="L27" s="15"/>
      <c r="M27" s="15"/>
      <c r="N27" s="15"/>
      <c r="O27" s="15"/>
    </row>
    <row r="28" spans="1:15" ht="13.8">
      <c r="A28" s="15" t="s">
        <v>18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27</v>
      </c>
      <c r="D29" s="25" t="s">
        <v>71</v>
      </c>
      <c r="E29" s="23" t="s">
        <v>83</v>
      </c>
      <c r="F29" s="24"/>
      <c r="G29" s="23" t="s">
        <v>64</v>
      </c>
      <c r="H29" s="23" t="s">
        <v>31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203" t="s">
        <v>75</v>
      </c>
      <c r="C30" s="203"/>
      <c r="D30" s="203"/>
      <c r="E30" s="203"/>
      <c r="F30" s="203"/>
      <c r="G30" s="203"/>
      <c r="H30" s="203"/>
      <c r="I30" s="203"/>
      <c r="J30" s="203"/>
      <c r="K30" s="15"/>
      <c r="L30" s="15"/>
      <c r="M30" s="15"/>
      <c r="N30" s="15"/>
      <c r="O30" s="15"/>
    </row>
    <row r="31" spans="1:15" ht="13.8">
      <c r="A31" s="15" t="s">
        <v>53</v>
      </c>
      <c r="B31" s="187">
        <v>50.117999999999995</v>
      </c>
      <c r="C31" s="188">
        <v>358.70499999999998</v>
      </c>
      <c r="D31" s="187">
        <v>1.9690000000000001</v>
      </c>
      <c r="E31" s="193">
        <f>B31+C31+D31</f>
        <v>410.79199999999997</v>
      </c>
      <c r="F31" s="70"/>
      <c r="G31" s="188">
        <f>I31-H31</f>
        <v>338.35299999999995</v>
      </c>
      <c r="H31" s="188">
        <v>22.446000000000002</v>
      </c>
      <c r="I31" s="188">
        <f>E31-J31</f>
        <v>360.79899999999998</v>
      </c>
      <c r="J31" s="188">
        <v>49.993000000000002</v>
      </c>
      <c r="K31" s="15"/>
      <c r="L31" s="116"/>
      <c r="M31" s="15"/>
      <c r="N31" s="15"/>
      <c r="O31" s="15"/>
    </row>
    <row r="32" spans="1:15" ht="16.2">
      <c r="A32" s="15" t="s">
        <v>162</v>
      </c>
      <c r="B32" s="187">
        <f>J31</f>
        <v>49.993000000000002</v>
      </c>
      <c r="C32" s="188">
        <v>320</v>
      </c>
      <c r="D32" s="187">
        <v>5</v>
      </c>
      <c r="E32" s="193">
        <f>B32+C32+D32</f>
        <v>374.99299999999999</v>
      </c>
      <c r="F32" s="70"/>
      <c r="G32" s="188">
        <v>290</v>
      </c>
      <c r="H32" s="188">
        <v>35</v>
      </c>
      <c r="I32" s="188">
        <f>SUM(G32:H32)</f>
        <v>325</v>
      </c>
      <c r="J32" s="188">
        <f>E32-I32</f>
        <v>49.992999999999995</v>
      </c>
      <c r="K32" s="15"/>
      <c r="L32" s="15"/>
      <c r="M32" s="15"/>
      <c r="N32" s="15"/>
      <c r="O32" s="15"/>
    </row>
    <row r="33" spans="1:18" ht="16.2">
      <c r="A33" s="14" t="s">
        <v>163</v>
      </c>
      <c r="B33" s="190">
        <f>J32</f>
        <v>49.992999999999995</v>
      </c>
      <c r="C33" s="192">
        <v>390</v>
      </c>
      <c r="D33" s="190">
        <v>5</v>
      </c>
      <c r="E33" s="194">
        <f>B33+C33+D33</f>
        <v>444.99299999999999</v>
      </c>
      <c r="F33" s="191"/>
      <c r="G33" s="192">
        <v>345</v>
      </c>
      <c r="H33" s="192">
        <v>50</v>
      </c>
      <c r="I33" s="192">
        <f>SUM(G33:H33)</f>
        <v>395</v>
      </c>
      <c r="J33" s="192">
        <f>E33-I33</f>
        <v>49.992999999999995</v>
      </c>
      <c r="K33" s="15"/>
      <c r="L33" s="15"/>
      <c r="M33" s="15"/>
      <c r="N33" s="15"/>
      <c r="O33" s="15"/>
    </row>
    <row r="34" spans="1:18" ht="16.2">
      <c r="A34" s="40" t="s">
        <v>85</v>
      </c>
      <c r="B34" s="15"/>
      <c r="C34" s="68"/>
      <c r="D34" s="68"/>
      <c r="E34" s="68"/>
      <c r="F34" s="68"/>
      <c r="G34" s="68"/>
      <c r="H34" s="68"/>
      <c r="I34" s="15"/>
      <c r="J34" s="15"/>
      <c r="K34" s="15"/>
      <c r="L34" s="15"/>
      <c r="M34" s="15"/>
      <c r="N34" s="15"/>
      <c r="O34" s="15"/>
      <c r="R34" s="106"/>
    </row>
    <row r="35" spans="1:18" ht="14.4">
      <c r="A35" s="15" t="s">
        <v>90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06"/>
    </row>
    <row r="36" spans="1:18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3.8">
      <c r="A39" s="15"/>
      <c r="B39" s="198" t="s">
        <v>14</v>
      </c>
      <c r="C39" s="198"/>
      <c r="D39" s="17" t="s">
        <v>15</v>
      </c>
      <c r="E39" s="198" t="s">
        <v>16</v>
      </c>
      <c r="F39" s="198"/>
      <c r="G39" s="198"/>
      <c r="H39" s="198"/>
      <c r="I39" s="15"/>
      <c r="J39" s="198" t="s">
        <v>59</v>
      </c>
      <c r="K39" s="198"/>
      <c r="L39" s="198"/>
      <c r="M39" s="198"/>
      <c r="N39" s="198"/>
      <c r="O39" s="67"/>
    </row>
    <row r="40" spans="1:18" ht="13.8">
      <c r="A40" s="15" t="s">
        <v>18</v>
      </c>
      <c r="B40" s="17" t="s">
        <v>19</v>
      </c>
      <c r="C40" s="17" t="s">
        <v>20</v>
      </c>
      <c r="D40" s="15"/>
      <c r="E40" s="17" t="s">
        <v>70</v>
      </c>
      <c r="F40" s="17"/>
      <c r="G40" s="17"/>
      <c r="H40" s="17"/>
      <c r="I40" s="15"/>
      <c r="J40" s="50" t="s">
        <v>88</v>
      </c>
      <c r="K40" s="17"/>
      <c r="L40" s="17" t="s">
        <v>23</v>
      </c>
      <c r="M40" s="17"/>
      <c r="N40" s="17"/>
      <c r="O40" s="17" t="s">
        <v>60</v>
      </c>
    </row>
    <row r="41" spans="1:18" ht="13.8">
      <c r="A41" s="21" t="s">
        <v>78</v>
      </c>
      <c r="B41" s="22"/>
      <c r="C41" s="22"/>
      <c r="D41" s="22"/>
      <c r="E41" s="23" t="s">
        <v>62</v>
      </c>
      <c r="F41" s="23" t="s">
        <v>27</v>
      </c>
      <c r="G41" s="23" t="s">
        <v>71</v>
      </c>
      <c r="H41" s="23" t="s">
        <v>83</v>
      </c>
      <c r="I41" s="23"/>
      <c r="J41" s="23" t="s">
        <v>91</v>
      </c>
      <c r="K41" s="23" t="s">
        <v>81</v>
      </c>
      <c r="L41" s="23" t="s">
        <v>30</v>
      </c>
      <c r="M41" s="25" t="s">
        <v>31</v>
      </c>
      <c r="N41" s="23" t="s">
        <v>63</v>
      </c>
      <c r="O41" s="23" t="s">
        <v>66</v>
      </c>
    </row>
    <row r="42" spans="1:18" ht="14.4">
      <c r="A42" s="15"/>
      <c r="B42" s="201" t="s">
        <v>92</v>
      </c>
      <c r="C42" s="202"/>
      <c r="D42" s="72" t="s">
        <v>93</v>
      </c>
      <c r="E42" s="204" t="s">
        <v>94</v>
      </c>
      <c r="F42" s="203"/>
      <c r="G42" s="203"/>
      <c r="H42" s="203"/>
      <c r="I42" s="203"/>
      <c r="J42" s="203"/>
      <c r="K42" s="203"/>
      <c r="L42" s="203"/>
      <c r="M42" s="203"/>
      <c r="N42" s="203"/>
      <c r="O42" s="202"/>
    </row>
    <row r="43" spans="1:18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3.8">
      <c r="A44" s="15" t="s">
        <v>53</v>
      </c>
      <c r="B44" s="69">
        <v>1645</v>
      </c>
      <c r="C44" s="69">
        <v>1557</v>
      </c>
      <c r="D44" s="69">
        <v>3774.9261400128453</v>
      </c>
      <c r="E44" s="69">
        <v>2033.086</v>
      </c>
      <c r="F44" s="69">
        <v>5877.56</v>
      </c>
      <c r="G44" s="188">
        <v>104.31366757849419</v>
      </c>
      <c r="H44" s="69">
        <v>8014.9596675784951</v>
      </c>
      <c r="I44" s="69"/>
      <c r="J44" s="69">
        <v>3123.4</v>
      </c>
      <c r="K44" s="69">
        <v>654.23564369999997</v>
      </c>
      <c r="L44" s="188">
        <f>N44-M44-J44-K44</f>
        <v>1301.3553895999735</v>
      </c>
      <c r="M44" s="188">
        <v>1455.3466342785212</v>
      </c>
      <c r="N44" s="69">
        <f>H44-O44</f>
        <v>6534.3376675784948</v>
      </c>
      <c r="O44" s="69">
        <v>1480.6220000000001</v>
      </c>
      <c r="P44" s="106"/>
      <c r="Q44" s="106"/>
    </row>
    <row r="45" spans="1:18" ht="16.2">
      <c r="A45" s="15" t="s">
        <v>162</v>
      </c>
      <c r="B45" s="69">
        <v>1801</v>
      </c>
      <c r="C45" s="69">
        <v>1758</v>
      </c>
      <c r="D45" s="69">
        <f>F45*1000/C45</f>
        <v>3667.8156996587031</v>
      </c>
      <c r="E45" s="69">
        <f>O44</f>
        <v>1480.6220000000001</v>
      </c>
      <c r="F45" s="69">
        <v>6448.02</v>
      </c>
      <c r="G45" s="188">
        <v>105</v>
      </c>
      <c r="H45" s="69">
        <f>SUM(E45:G45)</f>
        <v>8033.6420000000007</v>
      </c>
      <c r="I45" s="69"/>
      <c r="J45" s="69">
        <v>3095</v>
      </c>
      <c r="K45" s="69">
        <v>750</v>
      </c>
      <c r="L45" s="188">
        <v>1319</v>
      </c>
      <c r="M45" s="188">
        <v>1250</v>
      </c>
      <c r="N45" s="69">
        <f>SUM(J45:M45)</f>
        <v>6414</v>
      </c>
      <c r="O45" s="69">
        <f>H45-N45</f>
        <v>1619.6420000000007</v>
      </c>
      <c r="P45" s="106"/>
      <c r="Q45" s="106"/>
    </row>
    <row r="46" spans="1:18" ht="16.2">
      <c r="A46" s="14" t="s">
        <v>163</v>
      </c>
      <c r="B46" s="189">
        <v>1950</v>
      </c>
      <c r="C46" s="189">
        <v>1872</v>
      </c>
      <c r="D46" s="189">
        <v>4000</v>
      </c>
      <c r="E46" s="189">
        <f>O45</f>
        <v>1619.6420000000007</v>
      </c>
      <c r="F46" s="189">
        <v>7490</v>
      </c>
      <c r="G46" s="192">
        <v>105</v>
      </c>
      <c r="H46" s="189">
        <f>SUM(E46:G46)</f>
        <v>9214.6419999999998</v>
      </c>
      <c r="I46" s="189"/>
      <c r="J46" s="189">
        <v>3136.54</v>
      </c>
      <c r="K46" s="189">
        <v>900</v>
      </c>
      <c r="L46" s="192">
        <v>1492.78</v>
      </c>
      <c r="M46" s="192">
        <v>1400</v>
      </c>
      <c r="N46" s="189">
        <f>SUM(J46:M46)</f>
        <v>6929.32</v>
      </c>
      <c r="O46" s="189">
        <f>H46-N46</f>
        <v>2285.3220000000001</v>
      </c>
      <c r="P46" s="106"/>
      <c r="Q46" s="106"/>
    </row>
    <row r="47" spans="1:18" ht="16.2">
      <c r="A47" s="40" t="s">
        <v>85</v>
      </c>
      <c r="B47" s="15"/>
      <c r="C47" s="68"/>
      <c r="D47" s="68"/>
      <c r="E47" s="68"/>
      <c r="F47" s="68"/>
      <c r="G47" s="68"/>
      <c r="H47" s="68"/>
      <c r="I47" s="15"/>
      <c r="J47" s="15"/>
      <c r="K47" s="15"/>
      <c r="L47" s="15"/>
      <c r="M47" s="15"/>
      <c r="N47" s="15"/>
      <c r="O47" s="15"/>
    </row>
    <row r="48" spans="1:18" ht="14.4">
      <c r="A48" s="15" t="s">
        <v>95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3">
        <f>Contents!A18</f>
        <v>45791</v>
      </c>
      <c r="C50" s="15"/>
      <c r="D50" s="15"/>
      <c r="E50" s="15"/>
      <c r="F50" s="15"/>
      <c r="G50" s="15"/>
      <c r="H50" s="15"/>
      <c r="I50" s="15"/>
      <c r="J50" s="116"/>
      <c r="K50" s="15"/>
      <c r="L50" s="15"/>
      <c r="M50" s="15"/>
      <c r="N50" s="15"/>
      <c r="O50" s="15"/>
    </row>
    <row r="51" spans="1:15" ht="18" customHeight="1">
      <c r="A51" s="74"/>
      <c r="B51" s="75"/>
      <c r="C51" s="75"/>
      <c r="D51" s="75"/>
      <c r="E51" s="75"/>
      <c r="F51" s="75"/>
      <c r="G51" s="75"/>
      <c r="H51" s="75"/>
      <c r="I51" s="75"/>
      <c r="J51" s="87"/>
      <c r="K51" s="75"/>
      <c r="L51" s="75"/>
      <c r="M51" s="75"/>
      <c r="N51" s="75"/>
      <c r="O51" s="75"/>
    </row>
    <row r="52" spans="1:15" ht="15.6">
      <c r="G52" s="58"/>
      <c r="H52" s="58"/>
    </row>
    <row r="53" spans="1:15" ht="15.6">
      <c r="G53" s="58"/>
      <c r="H53" s="58"/>
    </row>
    <row r="54" spans="1:15" ht="15.6">
      <c r="G54" s="58"/>
      <c r="H54" s="58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60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7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2" width="18.6640625" bestFit="1" customWidth="1"/>
    <col min="3" max="3" width="22.33203125" bestFit="1" customWidth="1"/>
    <col min="4" max="4" width="23.6640625" customWidth="1"/>
    <col min="5" max="5" width="25.44140625" customWidth="1"/>
    <col min="6" max="6" width="16.5546875" bestFit="1" customWidth="1"/>
    <col min="7" max="7" width="18.664062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96</v>
      </c>
      <c r="B2" s="17" t="s">
        <v>97</v>
      </c>
      <c r="C2" s="17" t="s">
        <v>98</v>
      </c>
      <c r="D2" s="17" t="s">
        <v>99</v>
      </c>
      <c r="E2" s="17" t="s">
        <v>100</v>
      </c>
      <c r="F2" s="17" t="s">
        <v>101</v>
      </c>
      <c r="G2" s="17" t="s">
        <v>102</v>
      </c>
    </row>
    <row r="3" spans="1:10" ht="15.6" customHeight="1">
      <c r="A3" s="14" t="s">
        <v>103</v>
      </c>
      <c r="B3" s="24"/>
      <c r="C3" s="44"/>
      <c r="D3" s="44"/>
      <c r="E3" s="44"/>
      <c r="F3" s="44"/>
      <c r="G3" s="44"/>
    </row>
    <row r="4" spans="1:10" ht="14.4">
      <c r="A4" s="45"/>
      <c r="B4" s="46" t="s">
        <v>104</v>
      </c>
      <c r="C4" s="46" t="s">
        <v>105</v>
      </c>
      <c r="D4" s="46" t="s">
        <v>106</v>
      </c>
      <c r="E4" s="46" t="s">
        <v>106</v>
      </c>
      <c r="F4" s="46" t="s">
        <v>107</v>
      </c>
      <c r="G4" s="46" t="s">
        <v>104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108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59"/>
    </row>
    <row r="7" spans="1:10" ht="13.8">
      <c r="A7" s="15" t="s">
        <v>109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59"/>
    </row>
    <row r="8" spans="1:10" ht="13.8">
      <c r="A8" s="15" t="s">
        <v>110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59"/>
    </row>
    <row r="9" spans="1:10" ht="13.8">
      <c r="A9" s="15" t="s">
        <v>111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59"/>
    </row>
    <row r="10" spans="1:10" ht="13.8">
      <c r="A10" s="15" t="s">
        <v>112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59"/>
    </row>
    <row r="11" spans="1:10" ht="13.8">
      <c r="A11" s="15" t="s">
        <v>113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59"/>
    </row>
    <row r="12" spans="1:10" ht="13.8">
      <c r="A12" s="15" t="s">
        <v>114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59"/>
    </row>
    <row r="13" spans="1:10" ht="13.8">
      <c r="A13" s="15" t="s">
        <v>115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59"/>
    </row>
    <row r="14" spans="1:10" ht="13.8">
      <c r="A14" s="15" t="s">
        <v>116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59"/>
    </row>
    <row r="15" spans="1:10" ht="13.8">
      <c r="A15" s="15" t="s">
        <v>117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59"/>
    </row>
    <row r="16" spans="1:10" ht="13.8">
      <c r="A16" s="15" t="s">
        <v>118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59"/>
    </row>
    <row r="17" spans="1:10" ht="13.8">
      <c r="A17" s="15" t="s">
        <v>119</v>
      </c>
      <c r="B17" s="47">
        <v>13.3</v>
      </c>
      <c r="C17" s="47">
        <v>243</v>
      </c>
      <c r="D17" s="89">
        <v>32.9</v>
      </c>
      <c r="E17" s="47">
        <v>32.9</v>
      </c>
      <c r="F17" s="47">
        <v>24.3</v>
      </c>
      <c r="G17" s="47">
        <v>25.9</v>
      </c>
      <c r="J17" s="59"/>
    </row>
    <row r="18" spans="1:10" ht="13.8">
      <c r="A18" s="15" t="s">
        <v>35</v>
      </c>
      <c r="B18" s="47">
        <v>14.2</v>
      </c>
      <c r="C18" s="89">
        <v>306</v>
      </c>
      <c r="D18" s="47">
        <v>27.8</v>
      </c>
      <c r="E18" s="47">
        <v>29.8</v>
      </c>
      <c r="F18" s="47">
        <v>26.8</v>
      </c>
      <c r="G18" s="89">
        <v>17.5</v>
      </c>
      <c r="H18" s="99"/>
      <c r="J18" s="59"/>
    </row>
    <row r="19" spans="1:10" ht="13.8">
      <c r="A19" s="15" t="s">
        <v>53</v>
      </c>
      <c r="B19" s="47">
        <v>12.4</v>
      </c>
      <c r="C19" s="47">
        <v>223</v>
      </c>
      <c r="D19" s="89">
        <v>21.2</v>
      </c>
      <c r="E19" s="47">
        <v>24.3</v>
      </c>
      <c r="F19" s="47">
        <v>26.9</v>
      </c>
      <c r="G19" s="89">
        <v>12.1</v>
      </c>
      <c r="H19" s="99"/>
      <c r="J19" s="59"/>
    </row>
    <row r="20" spans="1:10" ht="16.2">
      <c r="A20" s="15" t="s">
        <v>120</v>
      </c>
      <c r="B20" s="47">
        <v>9.9499999999999993</v>
      </c>
      <c r="C20" s="47">
        <v>225</v>
      </c>
      <c r="D20" s="89">
        <v>22.1</v>
      </c>
      <c r="E20" s="47">
        <v>19.899999999999999</v>
      </c>
      <c r="F20" s="47">
        <v>25.7</v>
      </c>
      <c r="G20" s="89">
        <v>12.3</v>
      </c>
      <c r="H20" s="99"/>
      <c r="J20" s="59"/>
    </row>
    <row r="21" spans="1:10" ht="16.2">
      <c r="A21" s="15" t="s">
        <v>164</v>
      </c>
      <c r="B21" s="47">
        <v>10.25</v>
      </c>
      <c r="C21" s="47">
        <v>220</v>
      </c>
      <c r="D21" s="89">
        <v>20.75</v>
      </c>
      <c r="E21" s="47">
        <v>19.5</v>
      </c>
      <c r="F21" s="47">
        <v>24.5</v>
      </c>
      <c r="G21" s="89">
        <v>12.25</v>
      </c>
      <c r="H21" s="99"/>
      <c r="J21" s="59"/>
    </row>
    <row r="22" spans="1:10" ht="13.8">
      <c r="A22" s="15"/>
      <c r="B22" s="195"/>
      <c r="C22" s="195"/>
      <c r="D22" s="195"/>
      <c r="E22" s="195"/>
      <c r="F22" s="195"/>
      <c r="G22" s="195"/>
      <c r="H22" s="41"/>
      <c r="J22" s="59"/>
    </row>
    <row r="23" spans="1:10" ht="13.8">
      <c r="A23" s="49" t="s">
        <v>53</v>
      </c>
      <c r="B23" s="47"/>
      <c r="C23" s="47"/>
      <c r="D23" s="47"/>
      <c r="E23" s="118"/>
      <c r="F23" s="47"/>
      <c r="G23" s="118"/>
    </row>
    <row r="24" spans="1:10" ht="13.8">
      <c r="A24" s="15" t="s">
        <v>38</v>
      </c>
      <c r="B24" s="47">
        <v>13.2</v>
      </c>
      <c r="C24" s="47">
        <v>242</v>
      </c>
      <c r="D24" s="47">
        <v>24.2</v>
      </c>
      <c r="E24" s="118">
        <v>25</v>
      </c>
      <c r="F24" s="47">
        <v>26.9</v>
      </c>
      <c r="G24" s="118">
        <v>12</v>
      </c>
    </row>
    <row r="25" spans="1:10" ht="13.8">
      <c r="A25" s="15" t="s">
        <v>39</v>
      </c>
      <c r="B25" s="47">
        <v>12.7</v>
      </c>
      <c r="C25" s="47">
        <v>233</v>
      </c>
      <c r="D25" s="47">
        <v>20</v>
      </c>
      <c r="E25" s="118">
        <v>23.7</v>
      </c>
      <c r="F25" s="47">
        <v>26.7</v>
      </c>
      <c r="G25" s="118">
        <v>13</v>
      </c>
    </row>
    <row r="26" spans="1:10" ht="13.8">
      <c r="A26" s="15" t="s">
        <v>40</v>
      </c>
      <c r="B26" s="47">
        <v>13</v>
      </c>
      <c r="C26" s="47">
        <v>227</v>
      </c>
      <c r="D26" s="47">
        <v>22.6</v>
      </c>
      <c r="E26" s="118">
        <v>25.6</v>
      </c>
      <c r="F26" s="47">
        <v>29.4</v>
      </c>
      <c r="G26" s="118">
        <v>12.2</v>
      </c>
    </row>
    <row r="27" spans="1:10" ht="13.8">
      <c r="A27" s="15" t="s">
        <v>42</v>
      </c>
      <c r="B27" s="47">
        <v>13.1</v>
      </c>
      <c r="C27" s="47">
        <v>209</v>
      </c>
      <c r="D27" s="47">
        <v>24</v>
      </c>
      <c r="E27" s="118">
        <v>23.9</v>
      </c>
      <c r="F27" s="47">
        <v>23.7</v>
      </c>
      <c r="G27" s="118">
        <v>13.4</v>
      </c>
    </row>
    <row r="28" spans="1:10" ht="13.8">
      <c r="A28" s="15" t="s">
        <v>43</v>
      </c>
      <c r="B28" s="47">
        <v>12.8</v>
      </c>
      <c r="C28" s="47">
        <v>174</v>
      </c>
      <c r="D28" s="47">
        <v>21.4</v>
      </c>
      <c r="E28" s="118">
        <v>24.4</v>
      </c>
      <c r="F28" s="47">
        <v>27.1</v>
      </c>
      <c r="G28" s="118">
        <v>12.1</v>
      </c>
    </row>
    <row r="29" spans="1:10" ht="13.8">
      <c r="A29" s="15" t="s">
        <v>44</v>
      </c>
      <c r="B29" s="47">
        <v>11.9</v>
      </c>
      <c r="C29" s="47">
        <v>177</v>
      </c>
      <c r="D29" s="47">
        <v>22.4</v>
      </c>
      <c r="E29" s="118">
        <v>22.8</v>
      </c>
      <c r="F29" s="47">
        <v>26.4</v>
      </c>
      <c r="G29" s="118">
        <v>12.3</v>
      </c>
    </row>
    <row r="30" spans="1:10" ht="13.8">
      <c r="A30" s="15" t="s">
        <v>46</v>
      </c>
      <c r="B30" s="47">
        <v>11.8</v>
      </c>
      <c r="C30" s="47" t="s">
        <v>76</v>
      </c>
      <c r="D30" s="47">
        <v>22.5</v>
      </c>
      <c r="E30" s="118">
        <v>21.6</v>
      </c>
      <c r="F30" s="47">
        <v>27</v>
      </c>
      <c r="G30" s="118">
        <v>11.5</v>
      </c>
    </row>
    <row r="31" spans="1:10" ht="13.8">
      <c r="A31" s="15" t="s">
        <v>47</v>
      </c>
      <c r="B31" s="47">
        <v>11.8</v>
      </c>
      <c r="C31" s="47" t="s">
        <v>76</v>
      </c>
      <c r="D31" s="47">
        <v>20</v>
      </c>
      <c r="E31" s="118">
        <v>21.9</v>
      </c>
      <c r="F31" s="47">
        <v>27.2</v>
      </c>
      <c r="G31" s="118">
        <v>12.1</v>
      </c>
    </row>
    <row r="32" spans="1:10" ht="13.8">
      <c r="A32" s="15" t="s">
        <v>48</v>
      </c>
      <c r="B32" s="47">
        <v>11.9</v>
      </c>
      <c r="C32" s="47" t="s">
        <v>76</v>
      </c>
      <c r="D32" s="47">
        <v>23</v>
      </c>
      <c r="E32" s="118">
        <v>25.1</v>
      </c>
      <c r="F32" s="47">
        <v>26.7</v>
      </c>
      <c r="G32" s="118">
        <v>12.2</v>
      </c>
    </row>
    <row r="33" spans="1:12" ht="13.8">
      <c r="A33" s="119" t="s">
        <v>49</v>
      </c>
      <c r="B33" s="118">
        <v>11.8</v>
      </c>
      <c r="C33" s="118" t="s">
        <v>76</v>
      </c>
      <c r="D33" s="47">
        <v>17</v>
      </c>
      <c r="E33" s="118">
        <v>20.6</v>
      </c>
      <c r="F33" s="118">
        <v>26.2</v>
      </c>
      <c r="G33" s="118">
        <v>12</v>
      </c>
    </row>
    <row r="34" spans="1:12" ht="13.8">
      <c r="A34" s="15" t="s">
        <v>50</v>
      </c>
      <c r="B34" s="47">
        <v>11.3</v>
      </c>
      <c r="C34" s="47" t="s">
        <v>76</v>
      </c>
      <c r="D34" s="47">
        <v>20.9</v>
      </c>
      <c r="E34" s="47">
        <v>20.3</v>
      </c>
      <c r="F34" s="47">
        <v>27.3</v>
      </c>
      <c r="G34" s="47">
        <v>12.2</v>
      </c>
    </row>
    <row r="35" spans="1:12" ht="13.8">
      <c r="A35" s="15" t="s">
        <v>51</v>
      </c>
      <c r="B35" s="47">
        <v>10.3</v>
      </c>
      <c r="C35" s="47">
        <v>226</v>
      </c>
      <c r="D35" s="47">
        <v>18</v>
      </c>
      <c r="E35" s="47">
        <v>20</v>
      </c>
      <c r="F35" s="47">
        <v>26.8</v>
      </c>
      <c r="G35" s="47">
        <v>12</v>
      </c>
    </row>
    <row r="36" spans="1:12" ht="13.8">
      <c r="A36" s="15"/>
      <c r="B36" s="47"/>
      <c r="C36" s="47"/>
      <c r="D36" s="47"/>
      <c r="E36" s="118"/>
      <c r="F36" s="47"/>
      <c r="G36" s="118"/>
    </row>
    <row r="37" spans="1:12" ht="13.8">
      <c r="A37" s="49" t="s">
        <v>154</v>
      </c>
      <c r="B37" s="47"/>
      <c r="C37" s="47"/>
      <c r="D37" s="47"/>
      <c r="E37" s="118"/>
      <c r="F37" s="47"/>
      <c r="G37" s="118"/>
    </row>
    <row r="38" spans="1:12" ht="13.8">
      <c r="A38" s="15" t="s">
        <v>38</v>
      </c>
      <c r="B38" s="47">
        <v>10.199999999999999</v>
      </c>
      <c r="C38" s="47">
        <v>229</v>
      </c>
      <c r="D38" s="47">
        <v>18.2</v>
      </c>
      <c r="E38" s="47">
        <v>19</v>
      </c>
      <c r="F38" s="47">
        <v>26.7</v>
      </c>
      <c r="G38" s="47">
        <v>12</v>
      </c>
      <c r="L38" s="59"/>
    </row>
    <row r="39" spans="1:12" ht="13.8">
      <c r="A39" s="15" t="s">
        <v>39</v>
      </c>
      <c r="B39" s="47">
        <v>9.91</v>
      </c>
      <c r="C39" s="47">
        <v>223</v>
      </c>
      <c r="D39" s="47">
        <v>21</v>
      </c>
      <c r="E39" s="47">
        <v>20.3</v>
      </c>
      <c r="F39" s="47">
        <v>26</v>
      </c>
      <c r="G39" s="47">
        <v>11.9</v>
      </c>
      <c r="L39" s="59"/>
    </row>
    <row r="40" spans="1:12" ht="13.8">
      <c r="A40" s="15" t="s">
        <v>40</v>
      </c>
      <c r="B40" s="47">
        <v>9.84</v>
      </c>
      <c r="C40" s="47">
        <v>221</v>
      </c>
      <c r="D40" s="47">
        <v>18.5</v>
      </c>
      <c r="E40" s="47">
        <v>19.7</v>
      </c>
      <c r="F40" s="47">
        <v>25.2</v>
      </c>
      <c r="G40" s="47">
        <v>11.7</v>
      </c>
      <c r="H40" s="47"/>
      <c r="L40" s="59"/>
    </row>
    <row r="41" spans="1:12" ht="13.8">
      <c r="A41" s="15" t="s">
        <v>42</v>
      </c>
      <c r="B41" s="47">
        <v>9.7899999999999991</v>
      </c>
      <c r="C41" s="47">
        <v>224</v>
      </c>
      <c r="D41" s="47">
        <v>21.5</v>
      </c>
      <c r="E41" s="47">
        <v>19.3</v>
      </c>
      <c r="F41" s="47">
        <v>23.9</v>
      </c>
      <c r="G41" s="47">
        <v>12.3</v>
      </c>
      <c r="L41" s="59"/>
    </row>
    <row r="42" spans="1:12" ht="13.8">
      <c r="A42" s="15" t="s">
        <v>43</v>
      </c>
      <c r="B42" s="47">
        <v>10</v>
      </c>
      <c r="C42" s="47">
        <v>217</v>
      </c>
      <c r="D42" s="47">
        <v>23.1</v>
      </c>
      <c r="E42" s="47">
        <v>20.100000000000001</v>
      </c>
      <c r="F42" s="47">
        <v>25.9</v>
      </c>
      <c r="G42" s="47">
        <v>12.8</v>
      </c>
      <c r="L42" s="59"/>
    </row>
    <row r="43" spans="1:12" s="127" customFormat="1" ht="13.8">
      <c r="A43" s="119" t="s">
        <v>44</v>
      </c>
      <c r="B43" s="118">
        <v>10.199999999999999</v>
      </c>
      <c r="C43" s="118">
        <v>250</v>
      </c>
      <c r="D43" s="118">
        <v>25.2</v>
      </c>
      <c r="E43" s="118">
        <v>20.9</v>
      </c>
      <c r="F43" s="118">
        <v>25.3</v>
      </c>
      <c r="G43" s="118">
        <v>12.5</v>
      </c>
      <c r="L43" s="160"/>
    </row>
    <row r="44" spans="1:12" ht="13.8">
      <c r="A44" s="15" t="s">
        <v>46</v>
      </c>
      <c r="B44" s="47">
        <v>10.199999999999999</v>
      </c>
      <c r="C44" s="47" t="s">
        <v>76</v>
      </c>
      <c r="D44" s="47">
        <v>26.5</v>
      </c>
      <c r="E44" s="47">
        <v>20</v>
      </c>
      <c r="F44" s="47">
        <v>26.4</v>
      </c>
      <c r="G44" s="47">
        <v>13</v>
      </c>
      <c r="L44" s="59"/>
    </row>
    <row r="45" spans="1:12" ht="16.2">
      <c r="A45" s="67" t="s">
        <v>121</v>
      </c>
      <c r="B45" s="67"/>
      <c r="C45" s="67"/>
      <c r="D45" s="67"/>
      <c r="E45" s="67"/>
      <c r="F45" s="67"/>
      <c r="G45" s="67"/>
      <c r="H45" s="90"/>
    </row>
    <row r="46" spans="1:12" ht="14.4">
      <c r="A46" s="15" t="s">
        <v>122</v>
      </c>
      <c r="B46" s="15"/>
      <c r="C46" s="15"/>
      <c r="D46" s="15"/>
      <c r="E46" s="15"/>
      <c r="F46" s="15"/>
      <c r="G46" s="15"/>
    </row>
    <row r="47" spans="1:12" ht="13.8">
      <c r="A47" s="20" t="s">
        <v>57</v>
      </c>
      <c r="B47" s="36">
        <f>Contents!A18</f>
        <v>45791</v>
      </c>
      <c r="C47" s="15"/>
      <c r="D47" s="15"/>
      <c r="E47" s="15"/>
      <c r="F47" s="15"/>
      <c r="G47" s="15"/>
    </row>
  </sheetData>
  <phoneticPr fontId="60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8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2" width="11.5546875" customWidth="1"/>
    <col min="3" max="3" width="12.33203125" bestFit="1" customWidth="1"/>
    <col min="4" max="4" width="13.5546875" customWidth="1"/>
    <col min="5" max="5" width="11.5546875" customWidth="1"/>
    <col min="6" max="7" width="13.3320312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0" t="s">
        <v>96</v>
      </c>
      <c r="B2" s="17" t="s">
        <v>123</v>
      </c>
      <c r="C2" s="17" t="s">
        <v>124</v>
      </c>
      <c r="D2" s="17" t="s">
        <v>125</v>
      </c>
      <c r="E2" s="51" t="s">
        <v>126</v>
      </c>
      <c r="F2" s="51" t="s">
        <v>127</v>
      </c>
      <c r="G2" s="17" t="s">
        <v>128</v>
      </c>
      <c r="H2" s="17" t="s">
        <v>129</v>
      </c>
      <c r="I2" s="52" t="s">
        <v>130</v>
      </c>
      <c r="K2" s="17"/>
      <c r="L2" s="17"/>
    </row>
    <row r="3" spans="1:13" ht="15.6" customHeight="1">
      <c r="A3" s="53" t="s">
        <v>103</v>
      </c>
      <c r="B3" s="23" t="s">
        <v>131</v>
      </c>
      <c r="C3" s="23" t="s">
        <v>132</v>
      </c>
      <c r="D3" s="23" t="s">
        <v>133</v>
      </c>
      <c r="E3" s="23" t="s">
        <v>133</v>
      </c>
      <c r="F3" s="23" t="s">
        <v>134</v>
      </c>
      <c r="G3" s="23" t="s">
        <v>135</v>
      </c>
      <c r="H3" s="23"/>
      <c r="I3" s="23" t="s">
        <v>136</v>
      </c>
    </row>
    <row r="4" spans="1:13" ht="14.4">
      <c r="A4" s="54" t="s">
        <v>137</v>
      </c>
      <c r="C4" s="55"/>
      <c r="D4" s="55"/>
      <c r="E4" s="55"/>
      <c r="F4" s="55"/>
      <c r="G4" s="55"/>
      <c r="H4" s="55"/>
      <c r="I4" s="55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  <c r="K5" s="59"/>
    </row>
    <row r="6" spans="1:13" ht="13.8">
      <c r="A6" s="15" t="s">
        <v>108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  <c r="K6" s="146"/>
      <c r="L6" s="59"/>
      <c r="M6" s="59"/>
    </row>
    <row r="7" spans="1:13" ht="13.8">
      <c r="A7" s="15" t="s">
        <v>109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  <c r="K7" s="146"/>
      <c r="L7" s="59"/>
      <c r="M7" s="59"/>
    </row>
    <row r="8" spans="1:13" ht="13.8">
      <c r="A8" s="15" t="s">
        <v>110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  <c r="K8" s="146"/>
      <c r="L8" s="59"/>
      <c r="M8" s="59"/>
    </row>
    <row r="9" spans="1:13" ht="13.8">
      <c r="A9" s="15" t="s">
        <v>111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  <c r="K9" s="146"/>
      <c r="L9" s="59"/>
      <c r="M9" s="59"/>
    </row>
    <row r="10" spans="1:13" ht="13.8">
      <c r="A10" s="15" t="s">
        <v>112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  <c r="K10" s="146"/>
      <c r="L10" s="59"/>
      <c r="M10" s="59"/>
    </row>
    <row r="11" spans="1:13" ht="13.8">
      <c r="A11" s="15" t="s">
        <v>113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  <c r="K11" s="146"/>
      <c r="L11" s="59"/>
      <c r="M11" s="59"/>
    </row>
    <row r="12" spans="1:13" ht="13.8">
      <c r="A12" s="15" t="s">
        <v>114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  <c r="K12" s="146"/>
      <c r="L12" s="59"/>
      <c r="M12" s="59"/>
    </row>
    <row r="13" spans="1:13" ht="13.8">
      <c r="A13" s="15" t="s">
        <v>115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  <c r="K13" s="146"/>
      <c r="L13" s="59"/>
      <c r="M13" s="59"/>
    </row>
    <row r="14" spans="1:13" ht="13.8">
      <c r="A14" s="15" t="s">
        <v>116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  <c r="K14" s="146"/>
      <c r="L14" s="59"/>
      <c r="M14" s="59"/>
    </row>
    <row r="15" spans="1:13" ht="13.8">
      <c r="A15" s="15" t="s">
        <v>117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65.599999999999994</v>
      </c>
      <c r="G15" s="47">
        <v>39.47</v>
      </c>
      <c r="H15" s="47">
        <v>35.75</v>
      </c>
      <c r="I15" s="47">
        <v>38.369999999999997</v>
      </c>
      <c r="K15" s="146"/>
      <c r="L15" s="125"/>
      <c r="M15" s="59"/>
    </row>
    <row r="16" spans="1:13" ht="13.8">
      <c r="A16" s="15" t="s">
        <v>118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99.4</v>
      </c>
      <c r="G16" s="47">
        <v>53.88</v>
      </c>
      <c r="H16" s="47">
        <v>55.89</v>
      </c>
      <c r="I16" s="47">
        <v>54.98</v>
      </c>
      <c r="K16" s="146"/>
      <c r="L16" s="125"/>
      <c r="M16" s="59"/>
    </row>
    <row r="17" spans="1:13" ht="13.8">
      <c r="A17" s="15" t="s">
        <v>119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106.8</v>
      </c>
      <c r="G17" s="47">
        <v>64.28</v>
      </c>
      <c r="H17" s="47">
        <v>82</v>
      </c>
      <c r="I17" s="47">
        <v>81.84</v>
      </c>
      <c r="K17" s="146"/>
      <c r="L17" s="125"/>
      <c r="M17" s="59"/>
    </row>
    <row r="18" spans="1:13" ht="13.8">
      <c r="A18" s="15" t="s">
        <v>35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96.5</v>
      </c>
      <c r="G18" s="47">
        <v>61.62</v>
      </c>
      <c r="H18" s="47">
        <v>84.25</v>
      </c>
      <c r="I18" s="47">
        <v>76.95</v>
      </c>
      <c r="K18" s="146"/>
      <c r="L18" s="125"/>
      <c r="M18" s="59"/>
    </row>
    <row r="19" spans="1:13" ht="13.8">
      <c r="A19" s="15" t="s">
        <v>53</v>
      </c>
      <c r="B19" s="47">
        <v>47.28</v>
      </c>
      <c r="C19" s="47">
        <v>78.94</v>
      </c>
      <c r="D19" s="47">
        <v>58.65</v>
      </c>
      <c r="E19" s="47">
        <v>55.48</v>
      </c>
      <c r="F19" s="89">
        <v>80.099999999999994</v>
      </c>
      <c r="G19" s="47" t="s">
        <v>76</v>
      </c>
      <c r="H19" s="47">
        <v>55.041249999999998</v>
      </c>
      <c r="I19" s="47">
        <v>53.968000000000004</v>
      </c>
      <c r="K19" s="146"/>
      <c r="L19" s="125"/>
      <c r="M19" s="59"/>
    </row>
    <row r="20" spans="1:13" ht="16.2">
      <c r="A20" s="15" t="s">
        <v>138</v>
      </c>
      <c r="B20" s="47">
        <v>45</v>
      </c>
      <c r="C20" s="47">
        <v>77</v>
      </c>
      <c r="D20" s="47">
        <v>61</v>
      </c>
      <c r="E20" s="47">
        <v>51</v>
      </c>
      <c r="F20" s="89">
        <v>80</v>
      </c>
      <c r="G20" s="89" t="s">
        <v>76</v>
      </c>
      <c r="H20" s="89">
        <v>51</v>
      </c>
      <c r="I20" s="89">
        <v>51</v>
      </c>
      <c r="K20" s="62"/>
      <c r="L20" s="59"/>
      <c r="M20" s="59"/>
    </row>
    <row r="21" spans="1:13" ht="16.2">
      <c r="A21" s="15" t="s">
        <v>165</v>
      </c>
      <c r="B21" s="47">
        <v>46</v>
      </c>
      <c r="C21" s="47">
        <v>76</v>
      </c>
      <c r="D21" s="47">
        <v>61</v>
      </c>
      <c r="E21" s="47">
        <v>52</v>
      </c>
      <c r="F21" s="89">
        <v>81</v>
      </c>
      <c r="G21" s="89" t="s">
        <v>76</v>
      </c>
      <c r="H21" s="89">
        <v>51</v>
      </c>
      <c r="I21" s="89">
        <v>51</v>
      </c>
      <c r="K21" s="62"/>
      <c r="L21" s="59"/>
      <c r="M21" s="59"/>
    </row>
    <row r="22" spans="1:13" ht="13.8">
      <c r="A22" s="135"/>
      <c r="B22" s="134"/>
      <c r="C22" s="134"/>
      <c r="D22" s="134"/>
      <c r="E22" s="134"/>
      <c r="F22" s="134"/>
      <c r="G22" s="134"/>
      <c r="H22" s="134"/>
      <c r="I22" s="134"/>
    </row>
    <row r="23" spans="1:13" ht="13.8">
      <c r="A23" s="30" t="s">
        <v>53</v>
      </c>
      <c r="B23" s="47"/>
      <c r="C23" s="47"/>
      <c r="D23" s="47"/>
      <c r="E23" s="47"/>
      <c r="F23" s="47"/>
      <c r="G23" s="47"/>
      <c r="H23" s="47"/>
      <c r="I23" s="47"/>
    </row>
    <row r="24" spans="1:13" ht="13.8">
      <c r="A24" s="15" t="s">
        <v>39</v>
      </c>
      <c r="B24" s="47">
        <v>56.599999999999994</v>
      </c>
      <c r="C24" s="47">
        <v>92</v>
      </c>
      <c r="D24" s="47">
        <v>64.75</v>
      </c>
      <c r="E24" s="47">
        <v>65.1875</v>
      </c>
      <c r="F24" s="47">
        <v>83.25</v>
      </c>
      <c r="G24" s="47" t="s">
        <v>76</v>
      </c>
      <c r="H24" s="89">
        <v>90</v>
      </c>
      <c r="I24" s="47">
        <v>65.17</v>
      </c>
      <c r="K24" s="59"/>
      <c r="M24" s="59"/>
    </row>
    <row r="25" spans="1:13" ht="13.8">
      <c r="A25" s="15" t="s">
        <v>40</v>
      </c>
      <c r="B25" s="47">
        <v>53.39</v>
      </c>
      <c r="C25" s="47">
        <v>86.38</v>
      </c>
      <c r="D25" s="47">
        <v>62.25</v>
      </c>
      <c r="E25" s="47">
        <v>61.63</v>
      </c>
      <c r="F25" s="47">
        <v>81.5</v>
      </c>
      <c r="G25" s="47" t="s">
        <v>76</v>
      </c>
      <c r="H25" s="89" t="s">
        <v>76</v>
      </c>
      <c r="I25" s="47">
        <v>57.024999999999999</v>
      </c>
      <c r="K25" s="59"/>
      <c r="M25" s="59"/>
    </row>
    <row r="26" spans="1:13" ht="13.8">
      <c r="A26" s="15" t="s">
        <v>42</v>
      </c>
      <c r="B26" s="47">
        <v>52.33</v>
      </c>
      <c r="C26" s="47">
        <v>83.1</v>
      </c>
      <c r="D26" s="47">
        <v>58.6</v>
      </c>
      <c r="E26" s="47">
        <v>59.45</v>
      </c>
      <c r="F26" s="47">
        <v>77.8</v>
      </c>
      <c r="G26" s="47" t="s">
        <v>76</v>
      </c>
      <c r="H26" s="89">
        <v>65</v>
      </c>
      <c r="I26" s="47">
        <v>50.67</v>
      </c>
      <c r="K26" s="59"/>
      <c r="M26" s="59"/>
    </row>
    <row r="27" spans="1:13" ht="13.8">
      <c r="A27" s="15" t="s">
        <v>43</v>
      </c>
      <c r="B27" s="47">
        <v>49.1</v>
      </c>
      <c r="C27" s="47">
        <v>79.5</v>
      </c>
      <c r="D27" s="47">
        <v>58.13</v>
      </c>
      <c r="E27" s="47">
        <v>57.25</v>
      </c>
      <c r="F27" s="47">
        <v>76.5</v>
      </c>
      <c r="G27" s="47" t="s">
        <v>76</v>
      </c>
      <c r="H27" s="89" t="s">
        <v>76</v>
      </c>
      <c r="I27" s="47" t="s">
        <v>76</v>
      </c>
      <c r="K27" s="59"/>
      <c r="M27" s="59"/>
    </row>
    <row r="28" spans="1:13" ht="13.8">
      <c r="A28" s="15" t="s">
        <v>44</v>
      </c>
      <c r="B28" s="47">
        <v>47.33</v>
      </c>
      <c r="C28" s="47">
        <v>76.5</v>
      </c>
      <c r="D28" s="47">
        <v>57.38</v>
      </c>
      <c r="E28" s="47">
        <v>53.06</v>
      </c>
      <c r="F28" s="47">
        <v>76.75</v>
      </c>
      <c r="G28" s="47" t="s">
        <v>76</v>
      </c>
      <c r="H28" s="89">
        <v>45.33</v>
      </c>
      <c r="I28" s="47">
        <v>52.5</v>
      </c>
      <c r="K28" s="59"/>
      <c r="M28" s="59"/>
    </row>
    <row r="29" spans="1:13" ht="13.8">
      <c r="A29" s="15" t="s">
        <v>46</v>
      </c>
      <c r="B29" s="47">
        <v>46.57</v>
      </c>
      <c r="C29" s="47">
        <v>79.95</v>
      </c>
      <c r="D29" s="47">
        <v>57.45</v>
      </c>
      <c r="E29" s="47">
        <v>55.55</v>
      </c>
      <c r="F29" s="47">
        <v>76</v>
      </c>
      <c r="G29" s="47" t="s">
        <v>76</v>
      </c>
      <c r="H29" s="89" t="s">
        <v>76</v>
      </c>
      <c r="I29" s="47">
        <v>52</v>
      </c>
      <c r="K29" s="59"/>
      <c r="M29" s="59"/>
    </row>
    <row r="30" spans="1:13" ht="13.8">
      <c r="A30" s="15" t="s">
        <v>47</v>
      </c>
      <c r="B30" s="47">
        <v>45.1325</v>
      </c>
      <c r="C30" s="47">
        <v>77.25</v>
      </c>
      <c r="D30" s="47">
        <v>56.06</v>
      </c>
      <c r="E30" s="47">
        <v>54.38</v>
      </c>
      <c r="F30" s="47">
        <v>75.13</v>
      </c>
      <c r="G30" s="47" t="s">
        <v>76</v>
      </c>
      <c r="H30" s="89">
        <v>41</v>
      </c>
      <c r="I30" s="47">
        <v>52.17</v>
      </c>
      <c r="K30" s="59"/>
      <c r="M30" s="59"/>
    </row>
    <row r="31" spans="1:13" ht="13.8">
      <c r="A31" s="15" t="s">
        <v>48</v>
      </c>
      <c r="B31" s="47">
        <v>43.302</v>
      </c>
      <c r="C31" s="47">
        <v>74.55</v>
      </c>
      <c r="D31" s="47">
        <v>54.6</v>
      </c>
      <c r="E31" s="47">
        <v>52.75</v>
      </c>
      <c r="F31" s="47">
        <v>73.8</v>
      </c>
      <c r="G31" s="47" t="s">
        <v>76</v>
      </c>
      <c r="H31" s="89">
        <v>42</v>
      </c>
      <c r="I31" s="47">
        <v>48.875</v>
      </c>
      <c r="K31" s="59"/>
      <c r="M31" s="59"/>
    </row>
    <row r="32" spans="1:13" ht="13.8">
      <c r="A32" s="15" t="s">
        <v>49</v>
      </c>
      <c r="B32" s="47">
        <v>42.51</v>
      </c>
      <c r="C32" s="47">
        <v>74.38</v>
      </c>
      <c r="D32" s="47">
        <v>58.88</v>
      </c>
      <c r="E32" s="47">
        <v>51.31</v>
      </c>
      <c r="F32" s="47">
        <v>77.5</v>
      </c>
      <c r="G32" s="47" t="s">
        <v>76</v>
      </c>
      <c r="H32" s="89">
        <v>46</v>
      </c>
      <c r="I32" s="47">
        <v>54.1</v>
      </c>
      <c r="K32" s="59"/>
      <c r="M32" s="59"/>
    </row>
    <row r="33" spans="1:13" ht="13.8">
      <c r="A33" s="15" t="s">
        <v>50</v>
      </c>
      <c r="B33" s="47">
        <v>45.57</v>
      </c>
      <c r="C33" s="47">
        <v>77.94</v>
      </c>
      <c r="D33" s="47">
        <v>59.69</v>
      </c>
      <c r="E33" s="47">
        <v>54.75</v>
      </c>
      <c r="F33" s="47">
        <v>79</v>
      </c>
      <c r="G33" s="47" t="s">
        <v>76</v>
      </c>
      <c r="H33" s="89">
        <v>55</v>
      </c>
      <c r="I33" s="89">
        <v>54.5</v>
      </c>
      <c r="K33" s="59"/>
      <c r="M33" s="59"/>
    </row>
    <row r="34" spans="1:13" ht="13.8">
      <c r="A34" s="15" t="s">
        <v>51</v>
      </c>
      <c r="B34" s="47">
        <v>42.51</v>
      </c>
      <c r="C34" s="47">
        <v>72.95</v>
      </c>
      <c r="D34" s="47">
        <v>58.1</v>
      </c>
      <c r="E34" s="47">
        <v>51.05</v>
      </c>
      <c r="F34" s="47">
        <v>78.8</v>
      </c>
      <c r="G34" s="47" t="s">
        <v>76</v>
      </c>
      <c r="H34" s="89">
        <v>56</v>
      </c>
      <c r="I34" s="89">
        <v>52.67</v>
      </c>
      <c r="K34" s="59"/>
      <c r="M34" s="59"/>
    </row>
    <row r="35" spans="1:13" ht="13.8">
      <c r="A35" s="15" t="s">
        <v>38</v>
      </c>
      <c r="B35" s="47">
        <v>43.04</v>
      </c>
      <c r="C35" s="47">
        <v>72.75</v>
      </c>
      <c r="D35" s="47">
        <v>57.9375</v>
      </c>
      <c r="E35" s="47">
        <v>49.4375</v>
      </c>
      <c r="F35" s="47">
        <v>79.25</v>
      </c>
      <c r="G35" s="47" t="s">
        <v>76</v>
      </c>
      <c r="H35" s="89" t="s">
        <v>76</v>
      </c>
      <c r="I35" s="89" t="s">
        <v>76</v>
      </c>
      <c r="K35" s="59"/>
      <c r="M35" s="59"/>
    </row>
    <row r="36" spans="1:13" ht="13.8">
      <c r="A36" s="15"/>
      <c r="B36" s="47"/>
      <c r="C36" s="47"/>
      <c r="D36" s="47"/>
      <c r="E36" s="47"/>
      <c r="F36" s="47"/>
      <c r="G36" s="47"/>
      <c r="H36" s="47"/>
      <c r="I36" s="47"/>
      <c r="K36" s="59"/>
      <c r="M36" s="59"/>
    </row>
    <row r="37" spans="1:13" ht="13.8">
      <c r="A37" s="30" t="s">
        <v>154</v>
      </c>
      <c r="B37" s="47"/>
      <c r="C37" s="47"/>
      <c r="D37" s="47"/>
      <c r="E37" s="47"/>
      <c r="F37" s="47"/>
      <c r="G37" s="47"/>
      <c r="H37" s="47"/>
      <c r="I37" s="47"/>
      <c r="J37" s="99"/>
      <c r="K37" s="59"/>
      <c r="M37" s="59"/>
    </row>
    <row r="38" spans="1:13" ht="13.8">
      <c r="A38" s="15" t="s">
        <v>39</v>
      </c>
      <c r="B38" s="47">
        <v>44.3</v>
      </c>
      <c r="C38" s="47">
        <v>75.06</v>
      </c>
      <c r="D38" s="47">
        <v>59.5</v>
      </c>
      <c r="E38" s="47">
        <v>50.69</v>
      </c>
      <c r="F38" s="47">
        <v>79.13</v>
      </c>
      <c r="G38" s="47" t="s">
        <v>76</v>
      </c>
      <c r="H38" s="89" t="s">
        <v>76</v>
      </c>
      <c r="I38" s="47">
        <v>49.625</v>
      </c>
      <c r="J38" s="125"/>
      <c r="K38" s="59"/>
      <c r="M38" s="59"/>
    </row>
    <row r="39" spans="1:13" ht="13.8">
      <c r="A39" s="15" t="s">
        <v>40</v>
      </c>
      <c r="B39" s="47">
        <v>45.604999999999997</v>
      </c>
      <c r="C39" s="47">
        <v>76.349999999999994</v>
      </c>
      <c r="D39" s="47">
        <v>59.7</v>
      </c>
      <c r="E39" s="47">
        <v>51.45</v>
      </c>
      <c r="F39" s="47">
        <v>78.2</v>
      </c>
      <c r="G39" s="47" t="s">
        <v>76</v>
      </c>
      <c r="H39" s="89" t="s">
        <v>76</v>
      </c>
      <c r="I39" s="47" t="s">
        <v>76</v>
      </c>
      <c r="J39" s="125"/>
      <c r="K39" s="59"/>
      <c r="M39" s="59"/>
    </row>
    <row r="40" spans="1:13" ht="13.8">
      <c r="A40" s="15" t="s">
        <v>42</v>
      </c>
      <c r="B40" s="47">
        <v>42.48</v>
      </c>
      <c r="C40" s="47">
        <v>71.56</v>
      </c>
      <c r="D40" s="47">
        <v>58.13</v>
      </c>
      <c r="E40" s="47">
        <v>46.94</v>
      </c>
      <c r="F40" s="47">
        <v>78.25</v>
      </c>
      <c r="G40" s="47" t="s">
        <v>76</v>
      </c>
      <c r="H40" s="89">
        <v>55</v>
      </c>
      <c r="I40" s="47" t="s">
        <v>76</v>
      </c>
      <c r="J40" s="125"/>
      <c r="K40" s="59"/>
      <c r="M40" s="59"/>
    </row>
    <row r="41" spans="1:13" ht="13.8">
      <c r="A41" s="15" t="s">
        <v>155</v>
      </c>
      <c r="B41" s="47">
        <v>43.305999999999997</v>
      </c>
      <c r="C41" s="47">
        <v>75.349999999999994</v>
      </c>
      <c r="D41" s="47">
        <v>59.5</v>
      </c>
      <c r="E41" s="47">
        <v>49.8</v>
      </c>
      <c r="F41" s="47">
        <v>79.599999999999994</v>
      </c>
      <c r="G41" s="47" t="s">
        <v>76</v>
      </c>
      <c r="H41" s="89">
        <v>45.5</v>
      </c>
      <c r="I41" s="47" t="s">
        <v>76</v>
      </c>
      <c r="J41" s="125"/>
      <c r="K41" s="59"/>
      <c r="M41" s="59"/>
    </row>
    <row r="42" spans="1:13" ht="13.8">
      <c r="A42" s="15" t="s">
        <v>44</v>
      </c>
      <c r="B42" s="47">
        <v>44.497500000000002</v>
      </c>
      <c r="C42" s="47">
        <v>77.19</v>
      </c>
      <c r="D42" s="47">
        <v>60.88</v>
      </c>
      <c r="E42" s="47">
        <v>50.81</v>
      </c>
      <c r="F42" s="47">
        <v>80.25</v>
      </c>
      <c r="G42" s="47" t="s">
        <v>76</v>
      </c>
      <c r="H42" s="89" t="s">
        <v>76</v>
      </c>
      <c r="I42" s="47">
        <v>57</v>
      </c>
      <c r="J42" s="125"/>
      <c r="K42" s="59"/>
      <c r="M42" s="59"/>
    </row>
    <row r="43" spans="1:13" ht="13.8">
      <c r="A43" s="15" t="s">
        <v>46</v>
      </c>
      <c r="B43" s="47">
        <v>41.994999999999997</v>
      </c>
      <c r="C43" s="47">
        <v>74.13</v>
      </c>
      <c r="D43" s="47">
        <v>60.3125</v>
      </c>
      <c r="E43" s="47">
        <v>47.88</v>
      </c>
      <c r="F43" s="47">
        <v>78.88</v>
      </c>
      <c r="G43" s="47" t="s">
        <v>76</v>
      </c>
      <c r="H43" s="89" t="s">
        <v>76</v>
      </c>
      <c r="I43" s="47">
        <v>50.33</v>
      </c>
      <c r="J43" s="125"/>
      <c r="K43" s="59"/>
      <c r="M43" s="59"/>
    </row>
    <row r="44" spans="1:13" ht="13.8">
      <c r="A44" s="15" t="s">
        <v>47</v>
      </c>
      <c r="B44" s="47">
        <v>47.142499999999998</v>
      </c>
      <c r="C44" s="47">
        <v>80</v>
      </c>
      <c r="D44" s="47">
        <v>61.75</v>
      </c>
      <c r="E44" s="47">
        <v>54.2</v>
      </c>
      <c r="F44" s="47">
        <v>80.099999999999994</v>
      </c>
      <c r="G44" s="47" t="s">
        <v>76</v>
      </c>
      <c r="H44" s="89" t="s">
        <v>76</v>
      </c>
      <c r="I44" s="47">
        <v>58</v>
      </c>
      <c r="J44" s="125"/>
      <c r="K44" s="59"/>
      <c r="M44" s="59"/>
    </row>
    <row r="45" spans="1:13" ht="16.2">
      <c r="A45" s="77" t="s">
        <v>139</v>
      </c>
      <c r="B45" s="107"/>
      <c r="C45" s="107"/>
      <c r="D45" s="107"/>
      <c r="E45" s="107"/>
      <c r="F45" s="107"/>
      <c r="G45" s="107"/>
      <c r="H45" s="107"/>
      <c r="I45" s="108"/>
    </row>
    <row r="46" spans="1:13" ht="16.2">
      <c r="A46" s="15" t="s">
        <v>140</v>
      </c>
      <c r="B46" s="57"/>
      <c r="C46" s="57"/>
      <c r="D46" s="57"/>
      <c r="E46" s="57"/>
      <c r="F46" s="57"/>
      <c r="G46" s="57"/>
      <c r="H46" s="57"/>
      <c r="I46" s="57"/>
    </row>
    <row r="47" spans="1:13" ht="14.4">
      <c r="A47" s="15" t="s">
        <v>141</v>
      </c>
      <c r="B47" s="15"/>
      <c r="C47" s="15"/>
      <c r="D47" s="15"/>
      <c r="E47" s="15"/>
      <c r="F47" s="57"/>
      <c r="G47" s="15"/>
      <c r="H47" s="15"/>
      <c r="I47" s="15"/>
    </row>
    <row r="48" spans="1:13" ht="13.8">
      <c r="A48" s="20" t="s">
        <v>57</v>
      </c>
      <c r="B48" s="36">
        <f>Contents!A18</f>
        <v>45791</v>
      </c>
      <c r="C48" s="15"/>
      <c r="D48" s="15"/>
      <c r="E48" s="15"/>
      <c r="F48" s="15"/>
      <c r="G48" s="15"/>
      <c r="H48" s="15"/>
      <c r="I48" s="15"/>
    </row>
    <row r="49" spans="2:9" ht="15.6">
      <c r="C49" s="58"/>
      <c r="G49" s="58"/>
      <c r="H49" s="58"/>
      <c r="I49" s="58"/>
    </row>
    <row r="50" spans="2:9">
      <c r="B50" s="90"/>
      <c r="C50" s="90"/>
      <c r="D50" s="90"/>
      <c r="E50" s="90"/>
      <c r="F50" s="90"/>
      <c r="G50" s="90"/>
      <c r="H50" s="90"/>
      <c r="I50" s="90"/>
    </row>
    <row r="51" spans="2:9" ht="15.6">
      <c r="B51" s="83"/>
      <c r="C51" s="83"/>
      <c r="D51" s="83"/>
      <c r="E51" s="83"/>
      <c r="F51" s="83"/>
      <c r="G51" s="83"/>
      <c r="H51" s="58"/>
      <c r="I51" s="58"/>
    </row>
    <row r="52" spans="2:9" ht="15.6">
      <c r="B52" s="90"/>
      <c r="C52" s="58"/>
      <c r="G52" s="58"/>
      <c r="H52" s="58"/>
      <c r="I52" s="58"/>
    </row>
    <row r="53" spans="2:9" ht="15.6">
      <c r="C53" s="58"/>
      <c r="G53" s="58"/>
      <c r="H53" s="58"/>
      <c r="I53" s="58"/>
    </row>
    <row r="54" spans="2:9" ht="15.6">
      <c r="C54" s="58"/>
      <c r="G54" s="58"/>
      <c r="H54" s="58"/>
      <c r="I54" s="58"/>
    </row>
    <row r="55" spans="2:9" ht="15.6">
      <c r="C55" s="58"/>
      <c r="G55" s="58"/>
      <c r="H55" s="58"/>
      <c r="I55" s="58"/>
    </row>
    <row r="56" spans="2:9" ht="15.6">
      <c r="C56" s="58"/>
      <c r="G56" s="58"/>
      <c r="H56" s="58"/>
      <c r="I56" s="58"/>
    </row>
    <row r="57" spans="2:9" ht="15.6">
      <c r="C57" s="58"/>
      <c r="G57" s="58"/>
      <c r="H57" s="58"/>
      <c r="I57" s="58"/>
    </row>
    <row r="58" spans="2:9" ht="15.6">
      <c r="C58" s="58"/>
      <c r="G58" s="58"/>
      <c r="H58" s="58"/>
      <c r="I58" s="58"/>
    </row>
    <row r="59" spans="2:9" ht="15.6">
      <c r="C59" s="58"/>
      <c r="G59" s="58"/>
      <c r="H59" s="58"/>
      <c r="I59" s="58"/>
    </row>
    <row r="60" spans="2:9" ht="15.6">
      <c r="C60" s="58"/>
      <c r="G60" s="58"/>
      <c r="H60" s="58"/>
      <c r="I60" s="58"/>
    </row>
    <row r="61" spans="2:9" ht="15.6">
      <c r="C61" s="58"/>
      <c r="G61" s="58"/>
      <c r="H61" s="58"/>
      <c r="I61" s="58"/>
    </row>
    <row r="62" spans="2:9" ht="15.6">
      <c r="C62" s="58"/>
      <c r="G62" s="58"/>
      <c r="H62" s="58"/>
      <c r="I62" s="58"/>
    </row>
    <row r="63" spans="2:9" ht="15.6">
      <c r="C63" s="58"/>
      <c r="G63" s="58"/>
      <c r="H63" s="58"/>
      <c r="I63" s="58"/>
    </row>
    <row r="64" spans="2:9" ht="15.6">
      <c r="C64" s="58"/>
      <c r="G64" s="58"/>
      <c r="H64" s="58"/>
      <c r="I64" s="58"/>
    </row>
    <row r="65" spans="3:9" ht="15.6">
      <c r="C65" s="58"/>
      <c r="H65" s="58"/>
      <c r="I65" s="58"/>
    </row>
    <row r="66" spans="3:9" ht="15.6">
      <c r="C66" s="58"/>
      <c r="H66" s="58"/>
      <c r="I66" s="58"/>
    </row>
    <row r="67" spans="3:9" ht="15.6">
      <c r="C67" s="58"/>
      <c r="F67" s="59"/>
      <c r="H67" s="58"/>
      <c r="I67" s="58"/>
    </row>
    <row r="68" spans="3:9" ht="15.6">
      <c r="F68" s="59"/>
      <c r="H68" s="58"/>
      <c r="I68" s="58"/>
    </row>
  </sheetData>
  <phoneticPr fontId="60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8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664062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96</v>
      </c>
      <c r="B2" s="17" t="s">
        <v>123</v>
      </c>
      <c r="C2" s="60" t="s">
        <v>124</v>
      </c>
      <c r="D2" s="60" t="s">
        <v>125</v>
      </c>
      <c r="E2" s="60" t="s">
        <v>127</v>
      </c>
      <c r="F2" s="17" t="s">
        <v>142</v>
      </c>
      <c r="G2" s="17" t="s">
        <v>143</v>
      </c>
      <c r="AB2" s="61"/>
    </row>
    <row r="3" spans="1:28" ht="15.6" customHeight="1">
      <c r="A3" s="14" t="s">
        <v>103</v>
      </c>
      <c r="B3" s="23" t="s">
        <v>144</v>
      </c>
      <c r="C3" s="23" t="s">
        <v>145</v>
      </c>
      <c r="D3" s="23" t="s">
        <v>146</v>
      </c>
      <c r="E3" s="23" t="s">
        <v>147</v>
      </c>
      <c r="F3" s="23" t="s">
        <v>148</v>
      </c>
      <c r="G3" s="23" t="s">
        <v>149</v>
      </c>
      <c r="AB3" s="61"/>
    </row>
    <row r="4" spans="1:28" ht="14.4">
      <c r="A4" s="54" t="s">
        <v>150</v>
      </c>
      <c r="C4" s="55"/>
      <c r="D4" s="55"/>
      <c r="E4" s="55"/>
      <c r="F4" s="55"/>
      <c r="G4" s="55"/>
      <c r="AB4" s="61"/>
    </row>
    <row r="5" spans="1:28" ht="13.8">
      <c r="A5" s="15"/>
      <c r="B5" s="15"/>
      <c r="C5" s="15"/>
      <c r="D5" s="15"/>
      <c r="E5" s="15"/>
      <c r="F5" s="15"/>
      <c r="G5" s="15"/>
      <c r="AB5" s="61"/>
    </row>
    <row r="6" spans="1:28" ht="13.8">
      <c r="A6" s="15" t="s">
        <v>108</v>
      </c>
      <c r="B6" s="56">
        <v>345.52</v>
      </c>
      <c r="C6" s="56">
        <v>273.83999999999997</v>
      </c>
      <c r="D6" s="56">
        <v>219.72</v>
      </c>
      <c r="E6" s="48" t="s">
        <v>76</v>
      </c>
      <c r="F6" s="56">
        <v>263.63</v>
      </c>
      <c r="G6" s="56">
        <v>240.65</v>
      </c>
      <c r="H6" s="59"/>
      <c r="I6" s="59"/>
      <c r="J6" s="59"/>
      <c r="AB6" s="61"/>
    </row>
    <row r="7" spans="1:28" ht="13.8">
      <c r="A7" s="15" t="s">
        <v>109</v>
      </c>
      <c r="B7" s="56">
        <v>393.53</v>
      </c>
      <c r="C7" s="56">
        <v>275.13</v>
      </c>
      <c r="D7" s="56">
        <v>246.75</v>
      </c>
      <c r="E7" s="48" t="s">
        <v>76</v>
      </c>
      <c r="F7" s="56">
        <v>307.58999999999997</v>
      </c>
      <c r="G7" s="56">
        <v>265.68</v>
      </c>
      <c r="H7" s="59"/>
      <c r="I7" s="59"/>
      <c r="J7" s="59"/>
      <c r="AB7" s="61"/>
    </row>
    <row r="8" spans="1:28" ht="13.8">
      <c r="A8" s="15" t="s">
        <v>110</v>
      </c>
      <c r="B8" s="56">
        <v>468.11</v>
      </c>
      <c r="C8" s="56">
        <v>331.52</v>
      </c>
      <c r="D8" s="56">
        <v>241.57</v>
      </c>
      <c r="E8" s="48" t="s">
        <v>76</v>
      </c>
      <c r="F8" s="56">
        <v>354.22</v>
      </c>
      <c r="G8" s="56">
        <v>329.31</v>
      </c>
      <c r="H8" s="59"/>
      <c r="I8" s="59"/>
      <c r="J8" s="59"/>
      <c r="AB8" s="61"/>
    </row>
    <row r="9" spans="1:28" ht="13.8">
      <c r="A9" s="15" t="s">
        <v>111</v>
      </c>
      <c r="B9" s="56">
        <v>489.94</v>
      </c>
      <c r="C9" s="56">
        <v>377.71</v>
      </c>
      <c r="D9" s="56">
        <v>238.87</v>
      </c>
      <c r="E9" s="48" t="s">
        <v>76</v>
      </c>
      <c r="F9" s="56">
        <v>359.7</v>
      </c>
      <c r="G9" s="56">
        <v>337.23</v>
      </c>
      <c r="H9" s="59"/>
      <c r="I9" s="59"/>
      <c r="J9" s="59"/>
      <c r="AB9" s="61"/>
    </row>
    <row r="10" spans="1:28" ht="13.8">
      <c r="A10" s="15" t="s">
        <v>112</v>
      </c>
      <c r="B10" s="56">
        <v>368.49</v>
      </c>
      <c r="C10" s="56">
        <v>304.27</v>
      </c>
      <c r="D10" s="56">
        <v>209.97</v>
      </c>
      <c r="E10" s="48" t="s">
        <v>76</v>
      </c>
      <c r="F10" s="56">
        <v>301.2</v>
      </c>
      <c r="G10" s="56">
        <v>256.58</v>
      </c>
      <c r="H10" s="59"/>
      <c r="I10" s="59"/>
      <c r="J10" s="59"/>
      <c r="AB10" s="61"/>
    </row>
    <row r="11" spans="1:28" ht="13.8">
      <c r="A11" s="15" t="s">
        <v>113</v>
      </c>
      <c r="B11" s="56">
        <v>324.56</v>
      </c>
      <c r="C11" s="56">
        <v>261.19</v>
      </c>
      <c r="D11" s="56">
        <v>153.16999999999999</v>
      </c>
      <c r="E11" s="48" t="s">
        <v>76</v>
      </c>
      <c r="F11" s="56">
        <v>262.2</v>
      </c>
      <c r="G11" s="56">
        <v>260.23</v>
      </c>
      <c r="H11" s="59"/>
      <c r="I11" s="59"/>
      <c r="J11" s="59"/>
      <c r="AB11" s="61"/>
    </row>
    <row r="12" spans="1:28" ht="13.8">
      <c r="A12" s="15" t="s">
        <v>114</v>
      </c>
      <c r="B12" s="56">
        <v>316.88</v>
      </c>
      <c r="C12" s="56">
        <v>208.61</v>
      </c>
      <c r="D12" s="56">
        <v>145.1</v>
      </c>
      <c r="E12" s="48" t="s">
        <v>76</v>
      </c>
      <c r="F12" s="56">
        <v>267.94</v>
      </c>
      <c r="G12" s="56">
        <v>282.49</v>
      </c>
      <c r="H12" s="59"/>
      <c r="I12" s="59"/>
      <c r="J12" s="59"/>
      <c r="AB12" s="61"/>
    </row>
    <row r="13" spans="1:28" ht="13.8">
      <c r="A13" s="15" t="s">
        <v>115</v>
      </c>
      <c r="B13" s="56">
        <v>345.02</v>
      </c>
      <c r="C13" s="56">
        <v>260.88</v>
      </c>
      <c r="D13" s="56">
        <v>173.53</v>
      </c>
      <c r="E13" s="48" t="s">
        <v>76</v>
      </c>
      <c r="F13" s="56">
        <v>291.14999999999998</v>
      </c>
      <c r="G13" s="56">
        <v>239.15</v>
      </c>
      <c r="H13" s="59"/>
      <c r="I13" s="59"/>
      <c r="J13" s="59"/>
    </row>
    <row r="14" spans="1:28" ht="13.8">
      <c r="A14" s="15" t="s">
        <v>116</v>
      </c>
      <c r="B14" s="56">
        <v>308.27999999999997</v>
      </c>
      <c r="C14" s="56">
        <v>228.64</v>
      </c>
      <c r="D14" s="56">
        <v>164.16</v>
      </c>
      <c r="E14" s="48" t="s">
        <v>76</v>
      </c>
      <c r="F14" s="56">
        <v>272.38</v>
      </c>
      <c r="G14" s="56">
        <v>225.77</v>
      </c>
      <c r="H14" s="59"/>
      <c r="I14" s="59"/>
      <c r="J14" s="59"/>
    </row>
    <row r="15" spans="1:28" ht="13.8">
      <c r="A15" s="15" t="s">
        <v>117</v>
      </c>
      <c r="B15" s="56">
        <v>299.5</v>
      </c>
      <c r="C15" s="56">
        <v>247.04</v>
      </c>
      <c r="D15" s="56">
        <v>187.7</v>
      </c>
      <c r="E15" s="48" t="s">
        <v>76</v>
      </c>
      <c r="F15" s="56">
        <v>273.99</v>
      </c>
      <c r="G15" s="56">
        <v>245.88</v>
      </c>
      <c r="H15" s="59"/>
      <c r="I15" s="59"/>
      <c r="J15" s="59"/>
    </row>
    <row r="16" spans="1:28" ht="13.8">
      <c r="A16" s="15" t="s">
        <v>118</v>
      </c>
      <c r="B16" s="56">
        <v>392.31</v>
      </c>
      <c r="C16" s="56">
        <v>375.51</v>
      </c>
      <c r="D16" s="86">
        <v>246.22</v>
      </c>
      <c r="E16" s="48" t="s">
        <v>76</v>
      </c>
      <c r="F16" s="56">
        <v>351.87</v>
      </c>
      <c r="G16" s="56">
        <v>288.12</v>
      </c>
      <c r="H16" s="59"/>
      <c r="I16" s="59"/>
      <c r="J16" s="59"/>
    </row>
    <row r="17" spans="1:13" ht="13.8">
      <c r="A17" s="15" t="s">
        <v>119</v>
      </c>
      <c r="B17" s="56">
        <v>439.81</v>
      </c>
      <c r="C17" s="56">
        <v>355.33</v>
      </c>
      <c r="D17" s="56">
        <v>279.98</v>
      </c>
      <c r="E17" s="48" t="s">
        <v>76</v>
      </c>
      <c r="F17" s="56">
        <v>439.1</v>
      </c>
      <c r="G17" s="56">
        <v>332.21</v>
      </c>
      <c r="H17" s="59"/>
      <c r="I17" s="59"/>
      <c r="J17" s="59"/>
    </row>
    <row r="18" spans="1:13" ht="13.8">
      <c r="A18" s="15" t="s">
        <v>35</v>
      </c>
      <c r="B18" s="56">
        <v>451.91</v>
      </c>
      <c r="C18" s="56">
        <v>379.13</v>
      </c>
      <c r="D18" s="56">
        <v>244.34</v>
      </c>
      <c r="E18" s="48" t="s">
        <v>76</v>
      </c>
      <c r="F18" s="56">
        <v>431.34</v>
      </c>
      <c r="G18" s="86">
        <v>359.06</v>
      </c>
      <c r="H18" s="59"/>
      <c r="I18" s="59"/>
      <c r="J18" s="59"/>
    </row>
    <row r="19" spans="1:13" ht="13.8">
      <c r="A19" s="15" t="s">
        <v>53</v>
      </c>
      <c r="B19" s="56">
        <v>384.11</v>
      </c>
      <c r="C19" s="56">
        <v>343.08</v>
      </c>
      <c r="D19" s="56">
        <v>194.19</v>
      </c>
      <c r="E19" s="48" t="s">
        <v>76</v>
      </c>
      <c r="F19" s="56">
        <v>378.28</v>
      </c>
      <c r="G19" s="86">
        <v>297.39368181818185</v>
      </c>
      <c r="H19" s="59"/>
      <c r="I19" s="59"/>
      <c r="J19" s="59"/>
    </row>
    <row r="20" spans="1:13" ht="16.2">
      <c r="A20" s="15" t="s">
        <v>138</v>
      </c>
      <c r="B20" s="56">
        <v>300</v>
      </c>
      <c r="C20" s="56">
        <v>290</v>
      </c>
      <c r="D20" s="56">
        <v>170</v>
      </c>
      <c r="E20" s="48" t="s">
        <v>76</v>
      </c>
      <c r="F20" s="56">
        <v>275</v>
      </c>
      <c r="G20" s="86">
        <v>200</v>
      </c>
      <c r="H20" s="59"/>
      <c r="I20" s="59"/>
      <c r="J20" s="59"/>
    </row>
    <row r="21" spans="1:13" ht="16.2">
      <c r="A21" s="15" t="s">
        <v>165</v>
      </c>
      <c r="B21" s="56">
        <v>310</v>
      </c>
      <c r="C21" s="56">
        <v>285</v>
      </c>
      <c r="D21" s="56">
        <v>180</v>
      </c>
      <c r="E21" s="48" t="s">
        <v>76</v>
      </c>
      <c r="F21" s="56">
        <v>285</v>
      </c>
      <c r="G21" s="86">
        <v>210</v>
      </c>
      <c r="H21" s="59"/>
      <c r="I21" s="59"/>
      <c r="J21" s="59"/>
    </row>
    <row r="22" spans="1:13" ht="13.8">
      <c r="A22" s="135"/>
      <c r="B22" s="134"/>
      <c r="C22" s="134"/>
      <c r="D22" s="134"/>
      <c r="E22" s="134"/>
      <c r="F22" s="134"/>
      <c r="G22" s="134"/>
      <c r="H22" s="134"/>
      <c r="I22" s="134"/>
      <c r="J22" s="63"/>
      <c r="K22" s="63"/>
      <c r="L22" s="63"/>
      <c r="M22" s="63"/>
    </row>
    <row r="23" spans="1:13" ht="13.8">
      <c r="A23" s="30" t="s">
        <v>53</v>
      </c>
      <c r="B23" s="86"/>
      <c r="C23" s="56"/>
      <c r="D23" s="56"/>
      <c r="E23" s="48"/>
      <c r="F23" s="56"/>
      <c r="G23" s="56"/>
      <c r="H23" s="47"/>
      <c r="I23" s="59"/>
    </row>
    <row r="24" spans="1:13" ht="13.8">
      <c r="A24" s="15" t="s">
        <v>39</v>
      </c>
      <c r="B24" s="86">
        <v>416.16</v>
      </c>
      <c r="C24" s="56">
        <v>348.75</v>
      </c>
      <c r="D24" s="56">
        <v>229.16500000000002</v>
      </c>
      <c r="E24" s="48" t="s">
        <v>76</v>
      </c>
      <c r="F24" s="56">
        <v>407.1</v>
      </c>
      <c r="G24" s="56">
        <v>325</v>
      </c>
      <c r="H24" s="47"/>
      <c r="I24" s="59"/>
    </row>
    <row r="25" spans="1:13" ht="13.8">
      <c r="A25" s="15" t="s">
        <v>40</v>
      </c>
      <c r="B25" s="86">
        <v>464.27</v>
      </c>
      <c r="C25" s="56">
        <v>350</v>
      </c>
      <c r="D25" s="56">
        <v>266.67</v>
      </c>
      <c r="E25" s="48" t="s">
        <v>76</v>
      </c>
      <c r="F25" s="56">
        <v>441.77</v>
      </c>
      <c r="G25" s="86">
        <v>348.33</v>
      </c>
      <c r="H25" s="47"/>
      <c r="I25" s="59"/>
    </row>
    <row r="26" spans="1:13" ht="13.8">
      <c r="A26" s="15" t="s">
        <v>42</v>
      </c>
      <c r="B26" s="86">
        <v>440.6</v>
      </c>
      <c r="C26" s="56">
        <v>358.75</v>
      </c>
      <c r="D26" s="56">
        <v>270</v>
      </c>
      <c r="E26" s="48" t="s">
        <v>76</v>
      </c>
      <c r="F26" s="56">
        <v>395.04999999999995</v>
      </c>
      <c r="G26" s="86">
        <v>365</v>
      </c>
      <c r="H26" s="47"/>
      <c r="I26" s="59"/>
    </row>
    <row r="27" spans="1:13" ht="13.8">
      <c r="A27" s="15" t="s">
        <v>43</v>
      </c>
      <c r="B27" s="86">
        <v>378.4</v>
      </c>
      <c r="C27" s="56">
        <v>352.5</v>
      </c>
      <c r="D27" s="56">
        <v>270</v>
      </c>
      <c r="E27" s="48" t="s">
        <v>76</v>
      </c>
      <c r="F27" s="56">
        <v>349.3</v>
      </c>
      <c r="G27" s="86">
        <v>365</v>
      </c>
      <c r="H27" s="47"/>
      <c r="I27" s="59"/>
    </row>
    <row r="28" spans="1:13" ht="13.8">
      <c r="A28" s="15" t="s">
        <v>44</v>
      </c>
      <c r="B28" s="86">
        <v>363.625</v>
      </c>
      <c r="C28" s="56">
        <v>355</v>
      </c>
      <c r="D28" s="56">
        <v>210</v>
      </c>
      <c r="E28" s="48" t="s">
        <v>76</v>
      </c>
      <c r="F28" s="56">
        <v>357.75</v>
      </c>
      <c r="G28" s="86" t="s">
        <v>76</v>
      </c>
      <c r="H28" s="47"/>
      <c r="I28" s="59"/>
    </row>
    <row r="29" spans="1:13" ht="13.8">
      <c r="A29" s="15" t="s">
        <v>46</v>
      </c>
      <c r="B29" s="86">
        <v>361.75</v>
      </c>
      <c r="C29" s="56">
        <v>343.33</v>
      </c>
      <c r="D29" s="56">
        <v>140</v>
      </c>
      <c r="E29" s="48" t="s">
        <v>76</v>
      </c>
      <c r="F29" s="56">
        <v>348.34</v>
      </c>
      <c r="G29" s="86">
        <v>331</v>
      </c>
      <c r="H29" s="47"/>
      <c r="I29" s="59"/>
    </row>
    <row r="30" spans="1:13" ht="13.8">
      <c r="A30" s="15" t="s">
        <v>47</v>
      </c>
      <c r="B30" s="86">
        <v>357.67500000000001</v>
      </c>
      <c r="C30" s="56">
        <v>333.75</v>
      </c>
      <c r="D30" s="56">
        <v>142.5</v>
      </c>
      <c r="E30" s="48" t="s">
        <v>76</v>
      </c>
      <c r="F30" s="56">
        <v>357.17500000000001</v>
      </c>
      <c r="G30" s="86">
        <v>292.5</v>
      </c>
      <c r="H30" s="47"/>
      <c r="I30" s="59"/>
    </row>
    <row r="31" spans="1:13" ht="13.8">
      <c r="A31" s="15" t="s">
        <v>48</v>
      </c>
      <c r="B31" s="86">
        <v>388.65</v>
      </c>
      <c r="C31" s="56">
        <v>330</v>
      </c>
      <c r="D31" s="56">
        <v>170</v>
      </c>
      <c r="E31" s="48" t="s">
        <v>76</v>
      </c>
      <c r="F31" s="56">
        <v>411.82</v>
      </c>
      <c r="G31" s="86">
        <v>259</v>
      </c>
      <c r="H31" s="47"/>
      <c r="I31" s="59"/>
    </row>
    <row r="32" spans="1:13" ht="13.8">
      <c r="A32" s="15" t="s">
        <v>49</v>
      </c>
      <c r="B32" s="86">
        <v>384.1</v>
      </c>
      <c r="C32" s="56" t="s">
        <v>76</v>
      </c>
      <c r="D32" s="56">
        <v>166.25</v>
      </c>
      <c r="E32" s="48" t="s">
        <v>76</v>
      </c>
      <c r="F32" s="56">
        <v>416.6</v>
      </c>
      <c r="G32" s="86">
        <v>253.54249999999999</v>
      </c>
      <c r="H32" s="47"/>
      <c r="I32" s="59"/>
    </row>
    <row r="33" spans="1:10" ht="13.8">
      <c r="A33" s="15" t="s">
        <v>50</v>
      </c>
      <c r="B33" s="86">
        <v>364.3</v>
      </c>
      <c r="C33" s="56">
        <v>335</v>
      </c>
      <c r="D33" s="56">
        <v>155</v>
      </c>
      <c r="E33" s="48" t="s">
        <v>76</v>
      </c>
      <c r="F33" s="56">
        <v>387.87</v>
      </c>
      <c r="G33" s="86">
        <v>250.833</v>
      </c>
      <c r="H33" s="47"/>
      <c r="I33" s="59"/>
    </row>
    <row r="34" spans="1:10" ht="13.8">
      <c r="A34" s="15" t="s">
        <v>51</v>
      </c>
      <c r="B34" s="86">
        <v>343.4</v>
      </c>
      <c r="C34" s="56" t="s">
        <v>76</v>
      </c>
      <c r="D34" s="56">
        <v>154.5</v>
      </c>
      <c r="E34" s="48" t="s">
        <v>76</v>
      </c>
      <c r="F34" s="56">
        <v>341.42500000000001</v>
      </c>
      <c r="G34" s="86">
        <v>244.5</v>
      </c>
      <c r="H34" s="47"/>
      <c r="I34" s="59"/>
    </row>
    <row r="35" spans="1:10" ht="13.8">
      <c r="A35" s="15" t="s">
        <v>38</v>
      </c>
      <c r="B35" s="86">
        <v>346.33749999999998</v>
      </c>
      <c r="C35" s="56">
        <v>323.75</v>
      </c>
      <c r="D35" s="56">
        <v>156.25</v>
      </c>
      <c r="E35" s="48" t="s">
        <v>76</v>
      </c>
      <c r="F35" s="56">
        <v>325.10000000000002</v>
      </c>
      <c r="G35" s="86">
        <v>236.625</v>
      </c>
      <c r="H35" s="47"/>
      <c r="I35" s="59"/>
    </row>
    <row r="36" spans="1:10" ht="13.8">
      <c r="A36" s="15"/>
      <c r="B36" s="86"/>
      <c r="C36" s="56"/>
      <c r="D36" s="56"/>
      <c r="E36" s="48"/>
      <c r="F36" s="56"/>
      <c r="G36" s="56"/>
      <c r="H36" s="47"/>
      <c r="I36" s="59"/>
    </row>
    <row r="37" spans="1:10" ht="13.8">
      <c r="A37" s="30" t="s">
        <v>154</v>
      </c>
      <c r="B37" s="86"/>
      <c r="C37" s="56"/>
      <c r="D37" s="56"/>
      <c r="E37" s="48"/>
      <c r="F37" s="56"/>
      <c r="G37" s="56"/>
      <c r="H37" s="47"/>
      <c r="I37" s="59"/>
    </row>
    <row r="38" spans="1:10" ht="13.8">
      <c r="A38" s="15" t="s">
        <v>39</v>
      </c>
      <c r="B38" s="86">
        <v>342.85</v>
      </c>
      <c r="C38" s="56">
        <v>322.5</v>
      </c>
      <c r="D38" s="56">
        <v>173.75</v>
      </c>
      <c r="E38" s="48" t="s">
        <v>76</v>
      </c>
      <c r="F38" s="56">
        <v>314.27499999999998</v>
      </c>
      <c r="G38" s="56">
        <v>240</v>
      </c>
      <c r="H38" s="47"/>
      <c r="I38" s="59"/>
    </row>
    <row r="39" spans="1:10" ht="13.8">
      <c r="A39" s="15" t="s">
        <v>40</v>
      </c>
      <c r="B39" s="86">
        <v>316.17500000000001</v>
      </c>
      <c r="C39" s="56">
        <v>315</v>
      </c>
      <c r="D39" s="56">
        <v>177.5</v>
      </c>
      <c r="E39" s="48" t="s">
        <v>76</v>
      </c>
      <c r="F39" s="56">
        <v>283.17500000000001</v>
      </c>
      <c r="G39" s="56">
        <v>225</v>
      </c>
      <c r="H39" s="47"/>
      <c r="I39" s="59"/>
    </row>
    <row r="40" spans="1:10" ht="13.8">
      <c r="A40" s="15" t="s">
        <v>42</v>
      </c>
      <c r="B40" s="86">
        <v>303.63299999999998</v>
      </c>
      <c r="C40" s="56">
        <v>301.25</v>
      </c>
      <c r="D40" s="56">
        <v>175</v>
      </c>
      <c r="E40" s="48" t="s">
        <v>76</v>
      </c>
      <c r="F40" s="56">
        <v>275.89999999999998</v>
      </c>
      <c r="G40" s="56">
        <v>268.33</v>
      </c>
      <c r="H40" s="47"/>
      <c r="I40" s="59"/>
    </row>
    <row r="41" spans="1:10" ht="13.8">
      <c r="A41" s="15" t="s">
        <v>43</v>
      </c>
      <c r="B41" s="86">
        <v>316.97000000000003</v>
      </c>
      <c r="C41" s="56">
        <v>272.5</v>
      </c>
      <c r="D41" s="56">
        <v>173</v>
      </c>
      <c r="E41" s="48" t="s">
        <v>76</v>
      </c>
      <c r="F41" s="56">
        <v>288.92</v>
      </c>
      <c r="G41" s="56">
        <v>266.5</v>
      </c>
      <c r="H41" s="47"/>
      <c r="I41" s="59"/>
    </row>
    <row r="42" spans="1:10" ht="13.8">
      <c r="A42" s="15" t="s">
        <v>44</v>
      </c>
      <c r="B42" s="86">
        <v>304.77499999999998</v>
      </c>
      <c r="C42" s="56">
        <v>265</v>
      </c>
      <c r="D42" s="56">
        <v>182.5</v>
      </c>
      <c r="E42" s="48" t="s">
        <v>76</v>
      </c>
      <c r="F42" s="56">
        <v>288.52499999999998</v>
      </c>
      <c r="G42" s="56">
        <v>255.625</v>
      </c>
      <c r="H42" s="47"/>
      <c r="I42" s="59"/>
    </row>
    <row r="43" spans="1:10" ht="13.8">
      <c r="A43" s="15" t="s">
        <v>46</v>
      </c>
      <c r="B43" s="86">
        <v>303.8</v>
      </c>
      <c r="C43" s="56">
        <v>265</v>
      </c>
      <c r="D43" s="56">
        <v>156.25</v>
      </c>
      <c r="E43" s="48" t="s">
        <v>76</v>
      </c>
      <c r="F43" s="56">
        <v>304.39999999999998</v>
      </c>
      <c r="G43" s="56">
        <v>250.625</v>
      </c>
      <c r="H43" s="47"/>
      <c r="I43" s="59"/>
    </row>
    <row r="44" spans="1:10" ht="13.8">
      <c r="A44" s="15" t="s">
        <v>47</v>
      </c>
      <c r="B44" s="86">
        <v>295.02500000000003</v>
      </c>
      <c r="C44" s="56" t="s">
        <v>76</v>
      </c>
      <c r="D44" s="56">
        <v>143.125</v>
      </c>
      <c r="E44" s="48" t="s">
        <v>76</v>
      </c>
      <c r="F44" s="56" t="s">
        <v>76</v>
      </c>
      <c r="G44" s="56">
        <v>232.5</v>
      </c>
      <c r="H44" s="47"/>
      <c r="I44" s="59"/>
    </row>
    <row r="45" spans="1:10" ht="16.2">
      <c r="A45" s="77" t="s">
        <v>151</v>
      </c>
      <c r="B45" s="109"/>
      <c r="C45" s="109"/>
      <c r="D45" s="109"/>
      <c r="E45" s="109"/>
      <c r="F45" s="109"/>
      <c r="G45" s="109"/>
      <c r="I45" s="62"/>
    </row>
    <row r="46" spans="1:10" ht="16.2">
      <c r="A46" s="40" t="s">
        <v>152</v>
      </c>
      <c r="B46" s="64"/>
      <c r="C46" s="64"/>
      <c r="D46" s="64"/>
      <c r="E46" s="64"/>
      <c r="F46" s="64"/>
      <c r="G46" s="64"/>
      <c r="I46" s="62"/>
      <c r="J46" s="62"/>
    </row>
    <row r="47" spans="1:10" ht="14.4">
      <c r="A47" s="15" t="s">
        <v>153</v>
      </c>
      <c r="B47" s="15"/>
      <c r="C47" s="15"/>
      <c r="D47" s="15"/>
      <c r="E47" s="15"/>
      <c r="F47" s="64"/>
      <c r="G47" s="64"/>
      <c r="I47" s="62"/>
      <c r="J47" s="62"/>
    </row>
    <row r="48" spans="1:10" ht="13.8">
      <c r="A48" s="20" t="s">
        <v>57</v>
      </c>
      <c r="B48" s="36">
        <f>Contents!A18</f>
        <v>45791</v>
      </c>
      <c r="C48" s="15"/>
      <c r="D48" s="15"/>
      <c r="E48" s="15"/>
      <c r="F48" s="64"/>
      <c r="G48" s="64"/>
      <c r="I48" s="65"/>
      <c r="J48" s="65"/>
    </row>
    <row r="49" spans="2:10" ht="13.8">
      <c r="F49" s="64"/>
      <c r="G49" s="64"/>
      <c r="I49" s="65"/>
      <c r="J49" s="65"/>
    </row>
    <row r="50" spans="2:10" ht="13.8">
      <c r="B50" s="137"/>
      <c r="F50" s="64"/>
      <c r="G50" s="64"/>
      <c r="I50" s="62"/>
      <c r="J50" s="62"/>
    </row>
    <row r="51" spans="2:10">
      <c r="B51" s="88"/>
      <c r="C51" s="90"/>
      <c r="D51" s="90"/>
      <c r="E51" s="90"/>
      <c r="F51" s="90"/>
      <c r="G51" s="90"/>
      <c r="I51" s="62"/>
      <c r="J51" s="62"/>
    </row>
    <row r="52" spans="2:10">
      <c r="I52" s="62"/>
      <c r="J52" s="62"/>
    </row>
    <row r="53" spans="2:10">
      <c r="B53" s="88"/>
      <c r="I53" s="62"/>
      <c r="J53" s="62"/>
    </row>
    <row r="54" spans="2:10">
      <c r="I54" s="62"/>
      <c r="J54" s="62"/>
    </row>
    <row r="55" spans="2:10">
      <c r="I55" s="62"/>
      <c r="J55" s="62"/>
    </row>
    <row r="57" spans="2:10">
      <c r="I57" s="66"/>
      <c r="J57" s="66"/>
    </row>
    <row r="58" spans="2:10">
      <c r="I58" s="66"/>
      <c r="J58" s="66"/>
    </row>
  </sheetData>
  <phoneticPr fontId="60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0D6A-42FC-4E70-8BD8-6F1A5080A971}">
  <dimension ref="A1:C10"/>
  <sheetViews>
    <sheetView workbookViewId="0"/>
  </sheetViews>
  <sheetFormatPr defaultRowHeight="13.2"/>
  <sheetData>
    <row r="1" spans="1:3">
      <c r="B1" s="196" t="s">
        <v>31</v>
      </c>
      <c r="C1" s="196" t="s">
        <v>22</v>
      </c>
    </row>
    <row r="2" spans="1:3">
      <c r="A2" t="s">
        <v>115</v>
      </c>
      <c r="B2" s="136">
        <v>2133.7308779136683</v>
      </c>
      <c r="C2" s="136">
        <v>2054.9319999999998</v>
      </c>
    </row>
    <row r="3" spans="1:3">
      <c r="A3" t="s">
        <v>116</v>
      </c>
      <c r="B3" s="136">
        <v>1753.4299779624448</v>
      </c>
      <c r="C3" s="136">
        <v>2091.9902999999999</v>
      </c>
    </row>
    <row r="4" spans="1:3">
      <c r="A4" t="s">
        <v>117</v>
      </c>
      <c r="B4" s="136">
        <v>1682.8750323994002</v>
      </c>
      <c r="C4" s="136">
        <v>2164.5542</v>
      </c>
    </row>
    <row r="5" spans="1:3">
      <c r="A5" t="s">
        <v>118</v>
      </c>
      <c r="B5" s="136">
        <v>2265.7617178866712</v>
      </c>
      <c r="C5" s="136">
        <v>2140.5846999999999</v>
      </c>
    </row>
    <row r="6" spans="1:3">
      <c r="A6" t="s">
        <v>119</v>
      </c>
      <c r="B6" s="136">
        <v>2152.0905451916174</v>
      </c>
      <c r="C6" s="136">
        <v>2203.8721999999998</v>
      </c>
    </row>
    <row r="7" spans="1:3">
      <c r="A7" t="s">
        <v>35</v>
      </c>
      <c r="B7" s="136">
        <v>1979.5441354396919</v>
      </c>
      <c r="C7" s="136">
        <v>2211.9378000000002</v>
      </c>
    </row>
    <row r="8" spans="1:3">
      <c r="A8" t="s">
        <v>53</v>
      </c>
      <c r="B8" s="136">
        <v>1694.9317093273664</v>
      </c>
      <c r="C8" s="136">
        <v>2285.3031999999998</v>
      </c>
    </row>
    <row r="9" spans="1:3">
      <c r="A9" t="s">
        <v>169</v>
      </c>
      <c r="B9" s="136">
        <v>1850</v>
      </c>
      <c r="C9" s="136">
        <v>2420</v>
      </c>
    </row>
    <row r="10" spans="1:3">
      <c r="A10" t="s">
        <v>156</v>
      </c>
      <c r="B10" s="136">
        <v>1815</v>
      </c>
      <c r="C10" s="136">
        <v>2490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418D-EB86-4162-A9F1-6786B675D318}">
  <dimension ref="A1:D10"/>
  <sheetViews>
    <sheetView workbookViewId="0">
      <selection activeCell="P19" sqref="P19"/>
    </sheetView>
  </sheetViews>
  <sheetFormatPr defaultRowHeight="13.2"/>
  <cols>
    <col min="1" max="1" width="17.21875" customWidth="1"/>
    <col min="2" max="3" width="12.6640625" customWidth="1"/>
    <col min="4" max="4" width="14.77734375" customWidth="1"/>
  </cols>
  <sheetData>
    <row r="1" spans="1:4">
      <c r="A1" s="205" t="s">
        <v>159</v>
      </c>
      <c r="B1" s="206" t="s">
        <v>170</v>
      </c>
      <c r="C1" s="206" t="s">
        <v>171</v>
      </c>
      <c r="D1" s="206" t="s">
        <v>172</v>
      </c>
    </row>
    <row r="2" spans="1:4">
      <c r="A2" t="s">
        <v>115</v>
      </c>
      <c r="B2" s="168">
        <v>7.33371</v>
      </c>
      <c r="C2" s="168">
        <v>1.3843699999999999</v>
      </c>
      <c r="D2" s="168">
        <v>2.3361190000000001</v>
      </c>
    </row>
    <row r="3" spans="1:4">
      <c r="A3" t="s">
        <v>116</v>
      </c>
      <c r="B3" s="168">
        <v>8.6632999999999996</v>
      </c>
      <c r="C3" s="168">
        <v>1.1000000000000001</v>
      </c>
      <c r="D3" s="168">
        <v>2.8254999999999999</v>
      </c>
    </row>
    <row r="4" spans="1:4">
      <c r="A4" t="s">
        <v>117</v>
      </c>
      <c r="B4" s="168">
        <v>8.6578199999999992</v>
      </c>
      <c r="C4" s="168">
        <v>1.3175999999999999</v>
      </c>
      <c r="D4" s="168">
        <v>2.2966030000000002</v>
      </c>
    </row>
    <row r="5" spans="1:4">
      <c r="A5" t="s">
        <v>118</v>
      </c>
      <c r="B5" s="168">
        <v>8.92</v>
      </c>
      <c r="C5" s="168">
        <v>1.1499999999999999</v>
      </c>
      <c r="D5" s="168">
        <v>2.4861309999999999</v>
      </c>
    </row>
    <row r="6" spans="1:4">
      <c r="A6" t="s">
        <v>119</v>
      </c>
      <c r="B6" s="168">
        <v>10.37875</v>
      </c>
      <c r="C6" s="168">
        <v>1.335</v>
      </c>
      <c r="D6" s="168">
        <v>3.4057064429999957</v>
      </c>
    </row>
    <row r="7" spans="1:4">
      <c r="A7" t="s">
        <v>35</v>
      </c>
      <c r="B7" s="168">
        <v>12.51033</v>
      </c>
      <c r="C7" s="168">
        <v>2.9143020000000002</v>
      </c>
      <c r="D7" s="168">
        <v>3.8938603241012983</v>
      </c>
    </row>
    <row r="8" spans="1:4">
      <c r="A8" t="s">
        <v>53</v>
      </c>
      <c r="B8" s="168">
        <v>12.989042100000001</v>
      </c>
      <c r="C8" s="168">
        <v>4.3368987146988012</v>
      </c>
      <c r="D8" s="168">
        <v>4.2112297811424977</v>
      </c>
    </row>
    <row r="9" spans="1:4">
      <c r="A9" t="s">
        <v>169</v>
      </c>
      <c r="B9" s="168">
        <v>13.1</v>
      </c>
      <c r="C9" s="168">
        <v>3.9</v>
      </c>
      <c r="D9" s="168">
        <v>4.5</v>
      </c>
    </row>
    <row r="10" spans="1:4">
      <c r="A10" t="s">
        <v>156</v>
      </c>
      <c r="B10" s="168">
        <v>13.9</v>
      </c>
      <c r="C10" s="168">
        <v>4.3</v>
      </c>
      <c r="D10" s="168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3742-AA23-40E3-87DD-7185873CA9D0}">
  <sheetPr codeName="Sheet13"/>
  <dimension ref="A1:H14"/>
  <sheetViews>
    <sheetView workbookViewId="0">
      <selection activeCell="F25" sqref="F25"/>
    </sheetView>
  </sheetViews>
  <sheetFormatPr defaultRowHeight="13.2"/>
  <cols>
    <col min="1" max="1" width="14.5546875" customWidth="1"/>
    <col min="2" max="7" width="13.77734375" customWidth="1"/>
  </cols>
  <sheetData>
    <row r="1" spans="1:8">
      <c r="A1" s="161"/>
      <c r="B1" s="162" t="s">
        <v>27</v>
      </c>
      <c r="C1" s="162"/>
      <c r="D1" s="162"/>
      <c r="E1" s="162"/>
      <c r="F1" s="162"/>
      <c r="G1" s="162"/>
      <c r="H1" s="141"/>
    </row>
    <row r="2" spans="1:8" ht="26.4">
      <c r="A2" s="163" t="s">
        <v>166</v>
      </c>
      <c r="B2" s="163" t="s">
        <v>124</v>
      </c>
      <c r="C2" s="163" t="s">
        <v>158</v>
      </c>
      <c r="D2" s="163" t="s">
        <v>161</v>
      </c>
      <c r="E2" s="163" t="s">
        <v>160</v>
      </c>
      <c r="F2" s="163" t="s">
        <v>157</v>
      </c>
      <c r="G2" s="163" t="s">
        <v>167</v>
      </c>
      <c r="H2" s="197" t="s">
        <v>168</v>
      </c>
    </row>
    <row r="3" spans="1:8">
      <c r="A3" s="164" t="s">
        <v>113</v>
      </c>
      <c r="B3" s="169">
        <v>36.165999999999997</v>
      </c>
      <c r="C3" s="169">
        <v>41.261000000000003</v>
      </c>
      <c r="D3" s="169">
        <v>68.671999999999997</v>
      </c>
      <c r="E3" s="169">
        <v>316.072</v>
      </c>
      <c r="F3" s="169">
        <v>40.700000000000003</v>
      </c>
      <c r="G3" s="169">
        <v>21.07</v>
      </c>
      <c r="H3" s="169">
        <v>445.57799999999997</v>
      </c>
    </row>
    <row r="4" spans="1:8">
      <c r="A4" s="164" t="s">
        <v>114</v>
      </c>
      <c r="B4" s="169">
        <v>38.798000000000002</v>
      </c>
      <c r="C4" s="169">
        <v>45.878</v>
      </c>
      <c r="D4" s="169">
        <v>70.311000000000007</v>
      </c>
      <c r="E4" s="169">
        <v>350.80500000000001</v>
      </c>
      <c r="F4" s="169">
        <v>48.345999999999997</v>
      </c>
      <c r="G4" s="169">
        <v>22.85</v>
      </c>
      <c r="H4" s="169">
        <v>468.49299999999999</v>
      </c>
    </row>
    <row r="5" spans="1:8">
      <c r="A5" s="164" t="s">
        <v>115</v>
      </c>
      <c r="B5" s="169">
        <v>42.853000000000002</v>
      </c>
      <c r="C5" s="169">
        <v>46.927</v>
      </c>
      <c r="D5" s="169">
        <v>75.804000000000002</v>
      </c>
      <c r="E5" s="169">
        <v>343.63200000000001</v>
      </c>
      <c r="F5" s="169">
        <v>47.918999999999997</v>
      </c>
      <c r="G5" s="169">
        <v>24.658999999999999</v>
      </c>
      <c r="H5" s="169">
        <v>482.19900000000001</v>
      </c>
    </row>
    <row r="6" spans="1:8">
      <c r="A6" s="164" t="s">
        <v>116</v>
      </c>
      <c r="B6" s="169">
        <v>40.031999999999996</v>
      </c>
      <c r="C6" s="169">
        <v>46.676000000000002</v>
      </c>
      <c r="D6" s="169">
        <v>73.69</v>
      </c>
      <c r="E6" s="169">
        <v>363.45100000000002</v>
      </c>
      <c r="F6" s="169">
        <v>50.326999999999998</v>
      </c>
      <c r="G6" s="169">
        <v>25.541999999999998</v>
      </c>
      <c r="H6" s="169">
        <v>487.33699999999999</v>
      </c>
    </row>
    <row r="7" spans="1:8">
      <c r="A7" s="164" t="s">
        <v>117</v>
      </c>
      <c r="B7" s="169">
        <v>41.594999999999999</v>
      </c>
      <c r="C7" s="169">
        <v>47.703000000000003</v>
      </c>
      <c r="D7" s="169">
        <v>70.941000000000003</v>
      </c>
      <c r="E7" s="169">
        <v>341.72800000000001</v>
      </c>
      <c r="F7" s="169">
        <v>53.908999999999999</v>
      </c>
      <c r="G7" s="169">
        <v>25.260999999999999</v>
      </c>
      <c r="H7" s="169">
        <v>506.649</v>
      </c>
    </row>
    <row r="8" spans="1:8">
      <c r="A8" s="164" t="s">
        <v>118</v>
      </c>
      <c r="B8" s="169">
        <v>39.942999999999998</v>
      </c>
      <c r="C8" s="169">
        <v>50.688000000000002</v>
      </c>
      <c r="D8" s="169">
        <v>75.438999999999993</v>
      </c>
      <c r="E8" s="169">
        <v>369.62599999999998</v>
      </c>
      <c r="F8" s="169">
        <v>48.871000000000002</v>
      </c>
      <c r="G8" s="169">
        <v>24.856999999999999</v>
      </c>
      <c r="H8" s="169">
        <v>509.82400000000001</v>
      </c>
    </row>
    <row r="9" spans="1:8">
      <c r="A9" s="164" t="s">
        <v>119</v>
      </c>
      <c r="B9" s="169">
        <v>39.534999999999997</v>
      </c>
      <c r="C9" s="169">
        <v>52.122999999999998</v>
      </c>
      <c r="D9" s="169">
        <v>76.647999999999996</v>
      </c>
      <c r="E9" s="169">
        <v>360.53100000000001</v>
      </c>
      <c r="F9" s="169">
        <v>56.857999999999997</v>
      </c>
      <c r="G9" s="169">
        <v>24.907</v>
      </c>
      <c r="H9" s="169">
        <v>509.79399999999998</v>
      </c>
    </row>
    <row r="10" spans="1:8">
      <c r="A10" s="164" t="s">
        <v>35</v>
      </c>
      <c r="B10" s="169">
        <v>40.502000000000002</v>
      </c>
      <c r="C10" s="169">
        <v>49.804000000000002</v>
      </c>
      <c r="D10" s="169">
        <v>89.858000000000004</v>
      </c>
      <c r="E10" s="169">
        <v>378.35</v>
      </c>
      <c r="F10" s="169">
        <v>52.776000000000003</v>
      </c>
      <c r="G10" s="169">
        <v>25.751999999999999</v>
      </c>
      <c r="H10" s="169">
        <v>524.08000000000004</v>
      </c>
    </row>
    <row r="11" spans="1:8">
      <c r="A11" s="164" t="s">
        <v>53</v>
      </c>
      <c r="B11" s="169">
        <v>39.692</v>
      </c>
      <c r="C11" s="169">
        <v>49.759</v>
      </c>
      <c r="D11" s="169">
        <v>89.9</v>
      </c>
      <c r="E11" s="169">
        <v>396.93</v>
      </c>
      <c r="F11" s="169">
        <v>56.003999999999998</v>
      </c>
      <c r="G11" s="169">
        <v>25.796999999999997</v>
      </c>
      <c r="H11" s="169">
        <v>543.52800000000002</v>
      </c>
    </row>
    <row r="12" spans="1:8">
      <c r="A12" s="164" t="s">
        <v>169</v>
      </c>
      <c r="B12" s="169">
        <v>41.884999999999998</v>
      </c>
      <c r="C12" s="169">
        <v>51.274999999999999</v>
      </c>
      <c r="D12" s="169">
        <v>85.099000000000004</v>
      </c>
      <c r="E12" s="169">
        <v>420.87</v>
      </c>
      <c r="F12" s="169">
        <v>51.906999999999996</v>
      </c>
      <c r="G12" s="169">
        <v>26.124000000000002</v>
      </c>
      <c r="H12" s="169">
        <v>562.06600000000003</v>
      </c>
    </row>
    <row r="13" spans="1:8">
      <c r="A13" s="164" t="s">
        <v>156</v>
      </c>
      <c r="B13" s="147">
        <v>41.073</v>
      </c>
      <c r="C13" s="147">
        <v>51.777000000000001</v>
      </c>
      <c r="D13" s="59">
        <v>89.558000000000007</v>
      </c>
      <c r="E13" s="147">
        <v>426.81700000000001</v>
      </c>
      <c r="F13" s="147">
        <v>56.22</v>
      </c>
      <c r="G13" s="169">
        <v>26.658000000000001</v>
      </c>
      <c r="H13" s="147">
        <v>580.48800000000006</v>
      </c>
    </row>
    <row r="14" spans="1:8">
      <c r="B14" s="176"/>
      <c r="C14" s="176"/>
      <c r="D14" s="176"/>
      <c r="E14" s="176"/>
      <c r="F14" s="176"/>
      <c r="G14" s="11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E29D-84E5-44B7-A33E-F0127E57D989}">
  <dimension ref="A1:F22"/>
  <sheetViews>
    <sheetView tabSelected="1" workbookViewId="0"/>
  </sheetViews>
  <sheetFormatPr defaultRowHeight="13.2"/>
  <cols>
    <col min="1" max="1" width="11.6640625" customWidth="1"/>
    <col min="2" max="4" width="15.88671875" customWidth="1"/>
    <col min="5" max="5" width="15.5546875" customWidth="1"/>
  </cols>
  <sheetData>
    <row r="1" spans="1:6" ht="26.4">
      <c r="A1" s="170" t="s">
        <v>159</v>
      </c>
      <c r="B1" s="170" t="s">
        <v>173</v>
      </c>
      <c r="C1" s="170" t="s">
        <v>174</v>
      </c>
      <c r="D1" s="170" t="s">
        <v>170</v>
      </c>
      <c r="E1" s="170" t="s">
        <v>175</v>
      </c>
      <c r="F1" s="170" t="s">
        <v>176</v>
      </c>
    </row>
    <row r="2" spans="1:6">
      <c r="A2" s="171" t="s">
        <v>112</v>
      </c>
      <c r="B2">
        <v>10.84</v>
      </c>
      <c r="C2" s="172">
        <v>6.617</v>
      </c>
      <c r="D2" s="172">
        <v>4.6950000000000003</v>
      </c>
      <c r="E2" s="173">
        <v>2.59</v>
      </c>
      <c r="F2">
        <v>2.145</v>
      </c>
    </row>
    <row r="3" spans="1:6">
      <c r="A3" s="171" t="s">
        <v>113</v>
      </c>
      <c r="B3">
        <v>8.6280000000000001</v>
      </c>
      <c r="C3" s="172">
        <v>5.6449999999999996</v>
      </c>
      <c r="D3" s="172">
        <v>4.1909999999999998</v>
      </c>
      <c r="E3" s="173">
        <v>2.0379999999999998</v>
      </c>
      <c r="F3">
        <v>2.4580000000000002</v>
      </c>
    </row>
    <row r="4" spans="1:6">
      <c r="A4" s="171" t="s">
        <v>114</v>
      </c>
      <c r="B4">
        <v>10.4</v>
      </c>
      <c r="C4" s="172">
        <v>4.1790000000000003</v>
      </c>
      <c r="D4" s="172">
        <v>4.3630000000000004</v>
      </c>
      <c r="E4" s="173">
        <v>2.6160000000000001</v>
      </c>
      <c r="F4">
        <v>2.286</v>
      </c>
    </row>
    <row r="5" spans="1:6">
      <c r="A5" s="171" t="s">
        <v>115</v>
      </c>
      <c r="B5">
        <v>12.987</v>
      </c>
      <c r="C5" s="172">
        <v>3.3220000000000001</v>
      </c>
      <c r="D5" s="172">
        <v>4.516</v>
      </c>
      <c r="E5" s="173">
        <v>2.6059999999999999</v>
      </c>
      <c r="F5">
        <v>3.3479999999999999</v>
      </c>
    </row>
    <row r="6" spans="1:6">
      <c r="A6" s="171" t="s">
        <v>116</v>
      </c>
      <c r="B6">
        <v>14.989000000000001</v>
      </c>
      <c r="C6" s="172">
        <v>2.9020000000000001</v>
      </c>
      <c r="D6" s="172">
        <v>4.8170000000000002</v>
      </c>
      <c r="E6" s="173">
        <v>2.4430000000000001</v>
      </c>
      <c r="F6">
        <v>3.3129999999999997</v>
      </c>
    </row>
    <row r="7" spans="1:6">
      <c r="A7" s="171" t="s">
        <v>117</v>
      </c>
      <c r="B7">
        <v>16.021000000000001</v>
      </c>
      <c r="C7" s="172">
        <v>2.8879999999999999</v>
      </c>
      <c r="D7" s="172">
        <v>5.7089999999999996</v>
      </c>
      <c r="E7" s="173">
        <v>2.9969999999999999</v>
      </c>
      <c r="F7">
        <v>3.2359999999999998</v>
      </c>
    </row>
    <row r="8" spans="1:6">
      <c r="A8" s="171" t="s">
        <v>118</v>
      </c>
      <c r="B8">
        <v>15.195</v>
      </c>
      <c r="C8" s="173">
        <v>3.6419999999999999</v>
      </c>
      <c r="D8" s="173">
        <v>5.9729999999999999</v>
      </c>
      <c r="E8" s="173">
        <v>2.1120000000000001</v>
      </c>
      <c r="F8">
        <v>2.8780000000000001</v>
      </c>
    </row>
    <row r="9" spans="1:6">
      <c r="A9" s="171" t="s">
        <v>119</v>
      </c>
      <c r="B9">
        <v>16.559999999999999</v>
      </c>
      <c r="C9" s="173">
        <v>2.52</v>
      </c>
      <c r="D9" s="173">
        <v>5.3259999999999996</v>
      </c>
      <c r="E9" s="173">
        <v>2.7650000000000001</v>
      </c>
      <c r="F9">
        <v>3.1019999999999999</v>
      </c>
    </row>
    <row r="10" spans="1:6">
      <c r="A10" s="171" t="s">
        <v>35</v>
      </c>
      <c r="B10">
        <v>16.914999999999999</v>
      </c>
      <c r="C10" s="173">
        <v>3.5539999999999998</v>
      </c>
      <c r="D10" s="174">
        <v>5.875</v>
      </c>
      <c r="E10" s="174">
        <v>3.2210000000000001</v>
      </c>
      <c r="F10">
        <v>2.915</v>
      </c>
    </row>
    <row r="11" spans="1:6">
      <c r="A11" s="171" t="s">
        <v>53</v>
      </c>
      <c r="B11">
        <v>15.82</v>
      </c>
      <c r="C11" s="173">
        <v>3.6120000000000001</v>
      </c>
      <c r="D11" s="174">
        <v>5.7039999999999997</v>
      </c>
      <c r="E11" s="174">
        <v>2.9119999999999999</v>
      </c>
      <c r="F11">
        <v>2.78</v>
      </c>
    </row>
    <row r="12" spans="1:6">
      <c r="A12" s="171" t="s">
        <v>169</v>
      </c>
      <c r="B12">
        <v>14.609</v>
      </c>
      <c r="C12" s="173">
        <v>2.8479999999999999</v>
      </c>
      <c r="D12" s="174">
        <v>6.0570000000000004</v>
      </c>
      <c r="E12" s="174">
        <v>2.472</v>
      </c>
      <c r="F12">
        <v>3.1469999999999949</v>
      </c>
    </row>
    <row r="13" spans="1:6">
      <c r="A13" s="171" t="s">
        <v>156</v>
      </c>
      <c r="B13">
        <v>14.462999999999999</v>
      </c>
      <c r="C13">
        <v>2.74</v>
      </c>
      <c r="D13">
        <v>6.4489999999999998</v>
      </c>
      <c r="E13">
        <v>2.4409999999999998</v>
      </c>
      <c r="F13">
        <v>3.0459999999999994</v>
      </c>
    </row>
    <row r="20" spans="1:5">
      <c r="A20" s="177"/>
      <c r="B20" s="177"/>
      <c r="C20" s="177"/>
      <c r="D20" s="177"/>
      <c r="E20" s="177"/>
    </row>
    <row r="21" spans="1:5">
      <c r="A21" s="66"/>
      <c r="B21" s="66"/>
      <c r="C21" s="66"/>
      <c r="D21" s="66"/>
      <c r="E21" s="66"/>
    </row>
    <row r="22" spans="1:5">
      <c r="A22" s="66"/>
      <c r="D22" s="66"/>
      <c r="E22" s="6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7818c5c2-d41f-4dce-801c-4e3595afcb3f"/>
    <ds:schemaRef ds:uri="http://schemas.openxmlformats.org/package/2006/metadata/core-properties"/>
    <ds:schemaRef ds:uri="http://schemas.microsoft.com/office/infopath/2007/PartnerControls"/>
    <ds:schemaRef ds:uri="c49de858-f9fd-4eb6-bcba-5039664671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soybeans, canola, sunflowerseed, biofuel, prices</cp:keywords>
  <dc:description/>
  <cp:lastModifiedBy>Bukowski, Maria - REE-ERS</cp:lastModifiedBy>
  <cp:revision/>
  <dcterms:created xsi:type="dcterms:W3CDTF">2001-11-13T16:22:15Z</dcterms:created>
  <dcterms:modified xsi:type="dcterms:W3CDTF">2025-05-14T13:58:49Z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