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DC9A3D6F-C52B-40F0-83E9-E2745828A435}" xr6:coauthVersionLast="47" xr6:coauthVersionMax="47" xr10:uidLastSave="{00000000-0000-0000-0000-000000000000}"/>
  <bookViews>
    <workbookView xWindow="-108" yWindow="-108" windowWidth="23256" windowHeight="12456" tabRatio="855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227" r:id="rId9"/>
    <sheet name="Figure 2" sheetId="225" r:id="rId10"/>
    <sheet name="Figure 3" sheetId="226" r:id="rId11"/>
    <sheet name="Figure 4" sheetId="231" r:id="rId12"/>
  </sheets>
  <definedNames>
    <definedName name="_xlnm.Print_Area" localSheetId="1">'Table 1'!$A$1:$N$39</definedName>
    <definedName name="_xlnm.Print_Area" localSheetId="7">'Table 10'!$A$1:$G$44</definedName>
    <definedName name="_xlnm.Print_Area" localSheetId="2">'Table 2'!$A$1:$J$32</definedName>
    <definedName name="_xlnm.Print_Area" localSheetId="3">'Table 3'!$A$1:$L$45</definedName>
    <definedName name="_xlnm.Print_Area" localSheetId="5">'Table 8'!$A$1:$G$43</definedName>
    <definedName name="_xlnm.Print_Area" localSheetId="6">'Table 9'!$A$1:$I$45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E4" i="226"/>
  <c r="D30" i="2"/>
  <c r="I2" i="231" l="1"/>
  <c r="I3" i="231"/>
  <c r="I4" i="231"/>
  <c r="I5" i="231"/>
  <c r="I6" i="231"/>
  <c r="I7" i="231"/>
  <c r="I8" i="231"/>
  <c r="I9" i="231"/>
  <c r="I10" i="231"/>
  <c r="I11" i="231"/>
  <c r="J30" i="9"/>
  <c r="D30" i="9"/>
  <c r="L36" i="1"/>
  <c r="G36" i="1"/>
  <c r="C6" i="226" l="1"/>
  <c r="D6" i="226"/>
  <c r="B6" i="226"/>
  <c r="E3" i="226"/>
  <c r="E5" i="226"/>
  <c r="E2" i="226"/>
  <c r="B30" i="2"/>
  <c r="J37" i="1"/>
  <c r="J36" i="1"/>
  <c r="E6" i="226" l="1"/>
  <c r="C8" i="225"/>
  <c r="B8" i="225"/>
  <c r="D7" i="225"/>
  <c r="D6" i="225"/>
  <c r="D5" i="225"/>
  <c r="D4" i="225"/>
  <c r="D3" i="225"/>
  <c r="D2" i="225"/>
  <c r="D8" i="225" s="1"/>
  <c r="E30" i="9" l="1"/>
  <c r="K30" i="9" s="1"/>
  <c r="G30" i="9" s="1"/>
  <c r="B30" i="9"/>
  <c r="E30" i="2"/>
  <c r="I30" i="2" s="1"/>
  <c r="G30" i="2" s="1"/>
  <c r="M18" i="1"/>
  <c r="G37" i="1"/>
  <c r="H37" i="1" s="1"/>
  <c r="M37" i="1" s="1"/>
  <c r="L37" i="1"/>
  <c r="I37" i="1"/>
  <c r="E37" i="1"/>
  <c r="J25" i="1"/>
  <c r="J24" i="1"/>
  <c r="J23" i="1"/>
  <c r="J21" i="1"/>
  <c r="J20" i="1"/>
  <c r="J19" i="1"/>
  <c r="J17" i="1"/>
  <c r="J16" i="1"/>
  <c r="J15" i="1"/>
  <c r="J13" i="1"/>
  <c r="J12" i="1"/>
  <c r="J11" i="1"/>
  <c r="K37" i="1" l="1"/>
  <c r="H29" i="2"/>
  <c r="J29" i="9"/>
  <c r="D29" i="9"/>
  <c r="D29" i="2"/>
  <c r="L35" i="1" l="1"/>
  <c r="G35" i="1"/>
  <c r="L32" i="1" l="1"/>
  <c r="B29" i="9" l="1"/>
  <c r="E29" i="9" s="1"/>
  <c r="K29" i="9" s="1"/>
  <c r="G29" i="9" s="1"/>
  <c r="I29" i="9" s="1"/>
  <c r="B29" i="2"/>
  <c r="E29" i="2" s="1"/>
  <c r="J35" i="1"/>
  <c r="B13" i="9"/>
  <c r="B14" i="9"/>
  <c r="B15" i="9"/>
  <c r="B16" i="9"/>
  <c r="B17" i="9"/>
  <c r="B18" i="9"/>
  <c r="B19" i="9"/>
  <c r="B20" i="9"/>
  <c r="B21" i="9"/>
  <c r="B12" i="9"/>
  <c r="I29" i="2" l="1"/>
  <c r="G29" i="2" s="1"/>
  <c r="J34" i="1"/>
  <c r="J32" i="1"/>
  <c r="J31" i="1"/>
  <c r="J30" i="1"/>
  <c r="G34" i="1" l="1"/>
  <c r="G30" i="1"/>
  <c r="D28" i="2" l="1"/>
  <c r="B28" i="9"/>
  <c r="E28" i="9" s="1"/>
  <c r="K28" i="9" s="1"/>
  <c r="G28" i="9" s="1"/>
  <c r="I28" i="9" s="1"/>
  <c r="D28" i="9"/>
  <c r="J28" i="9"/>
  <c r="H28" i="2"/>
  <c r="L34" i="1"/>
  <c r="B28" i="2" l="1"/>
  <c r="E28" i="2" s="1"/>
  <c r="I28" i="2" s="1"/>
  <c r="G28" i="2" s="1"/>
  <c r="B7" i="2" l="1"/>
  <c r="B26" i="2"/>
  <c r="J27" i="9" l="1"/>
  <c r="D27" i="9"/>
  <c r="H27" i="2" l="1"/>
  <c r="D27" i="2"/>
  <c r="G32" i="1" l="1"/>
  <c r="E33" i="1" l="1"/>
  <c r="B27" i="2"/>
  <c r="E27" i="2" s="1"/>
  <c r="I27" i="2" s="1"/>
  <c r="G27" i="2" s="1"/>
  <c r="B27" i="9"/>
  <c r="E27" i="9" s="1"/>
  <c r="K27" i="9" s="1"/>
  <c r="G27" i="9" s="1"/>
  <c r="I27" i="9" s="1"/>
  <c r="H26" i="2" l="1"/>
  <c r="D26" i="2"/>
  <c r="D26" i="9" l="1"/>
  <c r="G31" i="1"/>
  <c r="J26" i="9"/>
  <c r="L31" i="1"/>
  <c r="J22" i="9" l="1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E26" i="2" l="1"/>
  <c r="I26" i="2" s="1"/>
  <c r="G26" i="2" s="1"/>
  <c r="B26" i="9"/>
  <c r="E26" i="9" s="1"/>
  <c r="K26" i="9" s="1"/>
  <c r="G26" i="9" s="1"/>
  <c r="I26" i="9" s="1"/>
  <c r="H23" i="9"/>
  <c r="J23" i="9" l="1"/>
  <c r="D23" i="9"/>
  <c r="C23" i="9"/>
  <c r="E22" i="9"/>
  <c r="K22" i="9" s="1"/>
  <c r="G22" i="9" s="1"/>
  <c r="I22" i="9" s="1"/>
  <c r="E21" i="9"/>
  <c r="E20" i="9"/>
  <c r="E19" i="9"/>
  <c r="E18" i="9"/>
  <c r="E17" i="9"/>
  <c r="E16" i="9"/>
  <c r="E15" i="9"/>
  <c r="E14" i="9"/>
  <c r="E13" i="9"/>
  <c r="E12" i="9"/>
  <c r="E11" i="9"/>
  <c r="K11" i="9" s="1"/>
  <c r="G11" i="9" s="1"/>
  <c r="I11" i="9" s="1"/>
  <c r="L7" i="9"/>
  <c r="B11" i="2"/>
  <c r="J7" i="2"/>
  <c r="B8" i="2" s="1"/>
  <c r="H23" i="2"/>
  <c r="D23" i="2"/>
  <c r="D7" i="2" s="1"/>
  <c r="C23" i="2"/>
  <c r="C7" i="2" s="1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E16" i="2" s="1"/>
  <c r="I16" i="2" s="1"/>
  <c r="G16" i="2" s="1"/>
  <c r="H15" i="2"/>
  <c r="D15" i="2"/>
  <c r="B15" i="2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K20" i="9" l="1"/>
  <c r="K14" i="9"/>
  <c r="K15" i="9"/>
  <c r="K16" i="9"/>
  <c r="K17" i="9"/>
  <c r="K18" i="9"/>
  <c r="K19" i="9"/>
  <c r="K21" i="9"/>
  <c r="K13" i="9"/>
  <c r="K12" i="9"/>
  <c r="E14" i="2"/>
  <c r="I14" i="2" s="1"/>
  <c r="G14" i="2" s="1"/>
  <c r="E23" i="9"/>
  <c r="J7" i="9"/>
  <c r="C7" i="9"/>
  <c r="D7" i="9"/>
  <c r="E23" i="2"/>
  <c r="E18" i="2"/>
  <c r="I18" i="2" s="1"/>
  <c r="G18" i="2" s="1"/>
  <c r="E13" i="2"/>
  <c r="I13" i="2" s="1"/>
  <c r="G13" i="2" s="1"/>
  <c r="E17" i="2"/>
  <c r="I17" i="2" s="1"/>
  <c r="G17" i="2" s="1"/>
  <c r="E21" i="2"/>
  <c r="I21" i="2" s="1"/>
  <c r="G21" i="2" s="1"/>
  <c r="E7" i="2"/>
  <c r="G7" i="2" s="1"/>
  <c r="E22" i="2"/>
  <c r="I22" i="2" s="1"/>
  <c r="G22" i="2" s="1"/>
  <c r="E15" i="2"/>
  <c r="I15" i="2" s="1"/>
  <c r="G15" i="2" s="1"/>
  <c r="E19" i="2"/>
  <c r="I19" i="2" s="1"/>
  <c r="G19" i="2" s="1"/>
  <c r="E8" i="2"/>
  <c r="E6" i="9"/>
  <c r="E14" i="1"/>
  <c r="E18" i="1"/>
  <c r="I31" i="3"/>
  <c r="I32" i="3"/>
  <c r="L6" i="1"/>
  <c r="G6" i="1"/>
  <c r="J6" i="1"/>
  <c r="G19" i="9" l="1"/>
  <c r="G20" i="9"/>
  <c r="G18" i="9"/>
  <c r="G17" i="9"/>
  <c r="G16" i="9"/>
  <c r="G13" i="9"/>
  <c r="G15" i="9"/>
  <c r="G21" i="9"/>
  <c r="G14" i="9"/>
  <c r="G12" i="9"/>
  <c r="K23" i="9"/>
  <c r="G23" i="9" s="1"/>
  <c r="I23" i="9" s="1"/>
  <c r="I7" i="2"/>
  <c r="E11" i="2"/>
  <c r="I11" i="2" s="1"/>
  <c r="I23" i="2" s="1"/>
  <c r="L30" i="1"/>
  <c r="L33" i="1" s="1"/>
  <c r="J33" i="1"/>
  <c r="I14" i="9" l="1"/>
  <c r="I13" i="9"/>
  <c r="I16" i="9"/>
  <c r="I17" i="9"/>
  <c r="I18" i="9"/>
  <c r="I21" i="9"/>
  <c r="I20" i="9"/>
  <c r="I15" i="9"/>
  <c r="I19" i="9"/>
  <c r="I12" i="9"/>
  <c r="G11" i="2"/>
  <c r="G23" i="2" s="1"/>
  <c r="G27" i="1"/>
  <c r="G7" i="1" s="1"/>
  <c r="G33" i="1"/>
  <c r="H33" i="1" s="1"/>
  <c r="M33" i="1" s="1"/>
  <c r="K33" i="1" s="1"/>
  <c r="N7" i="1" l="1"/>
  <c r="L27" i="1"/>
  <c r="L7" i="1" s="1"/>
  <c r="E26" i="1"/>
  <c r="L25" i="1"/>
  <c r="G25" i="1"/>
  <c r="L24" i="1"/>
  <c r="G24" i="1"/>
  <c r="L23" i="1"/>
  <c r="G23" i="1"/>
  <c r="E22" i="1"/>
  <c r="L21" i="1"/>
  <c r="G21" i="1"/>
  <c r="L20" i="1"/>
  <c r="G20" i="1"/>
  <c r="L19" i="1"/>
  <c r="G19" i="1"/>
  <c r="L17" i="1"/>
  <c r="G17" i="1"/>
  <c r="L16" i="1"/>
  <c r="G16" i="1"/>
  <c r="L15" i="1"/>
  <c r="G15" i="1"/>
  <c r="L13" i="1"/>
  <c r="G13" i="1"/>
  <c r="L12" i="1"/>
  <c r="G12" i="1"/>
  <c r="L11" i="1"/>
  <c r="G11" i="1"/>
  <c r="E7" i="1"/>
  <c r="G26" i="1" l="1"/>
  <c r="H26" i="1" s="1"/>
  <c r="M26" i="1" s="1"/>
  <c r="L18" i="1"/>
  <c r="J14" i="1"/>
  <c r="J22" i="1"/>
  <c r="G14" i="1"/>
  <c r="G18" i="1"/>
  <c r="H18" i="1" s="1"/>
  <c r="L14" i="1"/>
  <c r="J18" i="1"/>
  <c r="H14" i="1"/>
  <c r="G22" i="1"/>
  <c r="H22" i="1" s="1"/>
  <c r="M22" i="1" s="1"/>
  <c r="J26" i="1"/>
  <c r="E8" i="1"/>
  <c r="L26" i="1"/>
  <c r="L22" i="1"/>
  <c r="J27" i="1" l="1"/>
  <c r="J7" i="1" s="1"/>
  <c r="M14" i="1"/>
  <c r="K14" i="1" s="1"/>
  <c r="K26" i="1"/>
  <c r="K18" i="1"/>
  <c r="K22" i="1"/>
  <c r="D46" i="3" l="1"/>
  <c r="O45" i="3"/>
  <c r="D8" i="1" l="1"/>
  <c r="D7" i="1" l="1"/>
  <c r="D6" i="1"/>
  <c r="B7" i="9"/>
  <c r="E7" i="9" s="1"/>
  <c r="K7" i="9" s="1"/>
  <c r="G7" i="9" s="1"/>
  <c r="H44" i="3"/>
  <c r="N44" i="3" s="1"/>
  <c r="L44" i="3" s="1"/>
  <c r="D45" i="3"/>
  <c r="D44" i="3"/>
  <c r="E31" i="3"/>
  <c r="B20" i="3"/>
  <c r="E20" i="3" s="1"/>
  <c r="G20" i="3" s="1"/>
  <c r="I20" i="3" s="1"/>
  <c r="E19" i="3"/>
  <c r="G19" i="3" s="1"/>
  <c r="I19" i="3" s="1"/>
  <c r="J7" i="3"/>
  <c r="B7" i="3"/>
  <c r="E7" i="3" s="1"/>
  <c r="E6" i="3"/>
  <c r="J6" i="3" s="1"/>
  <c r="I6" i="3" s="1"/>
  <c r="K7" i="3" l="1"/>
  <c r="I33" i="3" l="1"/>
  <c r="I8" i="2" l="1"/>
  <c r="J8" i="3"/>
  <c r="K8" i="9" l="1"/>
  <c r="B8" i="9" l="1"/>
  <c r="K6" i="9" l="1"/>
  <c r="G6" i="9" s="1"/>
  <c r="I6" i="9" s="1"/>
  <c r="E6" i="2"/>
  <c r="I6" i="2" s="1"/>
  <c r="B40" i="1"/>
  <c r="N46" i="3"/>
  <c r="G6" i="2" l="1"/>
  <c r="H6" i="1" l="1"/>
  <c r="M6" i="1" s="1"/>
  <c r="K6" i="1" l="1"/>
  <c r="M8" i="1" l="1"/>
  <c r="I21" i="3" l="1"/>
  <c r="B46" i="6" l="1"/>
  <c r="B46" i="5"/>
  <c r="B45" i="4"/>
  <c r="B50" i="3"/>
  <c r="B33" i="9"/>
  <c r="B33" i="2"/>
  <c r="H7" i="1" l="1"/>
  <c r="E45" i="3"/>
  <c r="H45" i="3" s="1"/>
  <c r="N45" i="3" s="1"/>
  <c r="M7" i="1" l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E46" i="3" l="1"/>
  <c r="H46" i="3" s="1"/>
  <c r="O46" i="3" s="1"/>
  <c r="L45" i="3"/>
  <c r="K7" i="1" l="1"/>
  <c r="J8" i="2" l="1"/>
  <c r="I7" i="9" l="1"/>
  <c r="B32" i="3" l="1"/>
  <c r="E32" i="3" s="1"/>
  <c r="J31" i="3"/>
</calcChain>
</file>

<file path=xl/sharedStrings.xml><?xml version="1.0" encoding="utf-8"?>
<sst xmlns="http://schemas.openxmlformats.org/spreadsheetml/2006/main" count="543" uniqueCount="186">
  <si>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</si>
  <si>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</si>
  <si>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</si>
  <si>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</si>
  <si>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</si>
  <si>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</si>
  <si>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</si>
  <si>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</si>
  <si>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</si>
  <si>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</si>
  <si>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</si>
  <si>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</si>
  <si>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</si>
  <si>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</si>
  <si>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</si>
  <si>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</si>
  <si>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</si>
  <si>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</si>
  <si>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</si>
  <si>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</si>
  <si>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</si>
  <si>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</si>
  <si>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</si>
  <si>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</si>
  <si>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</si>
  <si>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</si>
  <si>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</si>
  <si>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</si>
  <si>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</si>
  <si>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</si>
  <si>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</si>
  <si>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</si>
  <si>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</si>
  <si>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</si>
  <si>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</si>
  <si>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2022/23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</si>
  <si>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</si>
  <si>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</si>
  <si>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</si>
  <si>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</si>
  <si>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</si>
  <si>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</si>
  <si>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</si>
  <si>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</si>
  <si>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</si>
  <si>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</si>
  <si>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</si>
  <si>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</si>
  <si>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</si>
  <si>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>June</t>
  </si>
  <si>
    <t>July</t>
  </si>
  <si>
    <t>August</t>
  </si>
  <si>
    <t xml:space="preserve">  June–August</t>
  </si>
  <si>
    <t>2023/24</t>
  </si>
  <si>
    <t xml:space="preserve"> March-May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</si>
  <si>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</si>
  <si>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</si>
  <si>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</si>
  <si>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</si>
  <si>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</si>
  <si>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</si>
  <si>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</si>
  <si>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</si>
  <si>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</si>
  <si>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</si>
  <si>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</si>
  <si>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</si>
  <si>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</si>
  <si>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</si>
  <si>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</si>
  <si>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</si>
  <si>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</si>
  <si>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</si>
  <si>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</si>
  <si>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</si>
  <si>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</si>
  <si>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</si>
  <si>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</si>
  <si>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</si>
  <si>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</si>
  <si>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</si>
  <si>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</si>
  <si>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</si>
  <si>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</si>
  <si>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</si>
  <si>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</si>
  <si>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</si>
  <si>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</si>
  <si>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</si>
  <si>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</si>
  <si>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</si>
  <si>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</si>
  <si>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</si>
  <si>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</si>
  <si>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</si>
  <si>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</si>
  <si>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</si>
  <si>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</si>
  <si>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</si>
  <si>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</si>
  <si>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</si>
  <si>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</si>
  <si>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</si>
  <si>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</si>
  <si>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</si>
  <si>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</si>
  <si>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</si>
  <si>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</si>
  <si>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</si>
  <si>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</si>
  <si>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</si>
  <si>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</si>
  <si>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</si>
  <si>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</si>
  <si>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</si>
  <si>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</si>
  <si>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</si>
  <si>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</si>
  <si>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</si>
  <si>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</si>
  <si>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</si>
  <si>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</si>
  <si>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>2023/24</t>
    </r>
    <r>
      <rPr>
        <vertAlign val="superscript"/>
        <sz val="11"/>
        <rFont val="Arial"/>
        <family val="2"/>
      </rPr>
      <t>4</t>
    </r>
  </si>
  <si>
    <r>
      <t>2024/25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</si>
  <si>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</si>
  <si>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</si>
  <si>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</si>
  <si>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</si>
  <si>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</si>
  <si>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</si>
  <si>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</si>
  <si>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</si>
  <si>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</si>
  <si>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</si>
  <si>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</si>
  <si>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</si>
  <si>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</si>
  <si>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</si>
  <si>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</si>
  <si>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</si>
  <si>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</si>
  <si>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</si>
  <si>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t>2024/25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</si>
  <si>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</si>
  <si>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</si>
  <si>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</si>
  <si>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</si>
  <si>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</si>
  <si>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</si>
  <si>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</si>
  <si>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</si>
  <si>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</si>
  <si>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</si>
  <si>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</si>
  <si>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</si>
  <si>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</si>
  <si>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</si>
  <si>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</si>
  <si>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2024/25</t>
  </si>
  <si>
    <t xml:space="preserve">January </t>
  </si>
  <si>
    <t>Region</t>
  </si>
  <si>
    <t>Difference</t>
  </si>
  <si>
    <t>Eastern Corn Belt</t>
  </si>
  <si>
    <t>Western Corn Belt</t>
  </si>
  <si>
    <t>Northern Plains</t>
  </si>
  <si>
    <t>Central Plains</t>
  </si>
  <si>
    <t>Delta</t>
  </si>
  <si>
    <t>Other States</t>
  </si>
  <si>
    <t>2025/26*</t>
  </si>
  <si>
    <t>U.S. total</t>
  </si>
  <si>
    <t>Sunflowerseed</t>
  </si>
  <si>
    <t>Flax</t>
  </si>
  <si>
    <t>Peanut</t>
  </si>
  <si>
    <t>Month</t>
  </si>
  <si>
    <t>Biofuel use</t>
  </si>
  <si>
    <t>Food and other use</t>
  </si>
  <si>
    <t>Marketing year</t>
  </si>
  <si>
    <t>Other seeds</t>
  </si>
  <si>
    <t>2024/25 March*</t>
  </si>
  <si>
    <t>2024/25 April*</t>
  </si>
  <si>
    <t>Commodity</t>
  </si>
  <si>
    <t>Soybean</t>
  </si>
  <si>
    <t>Rapeseed</t>
  </si>
  <si>
    <t>Palm Kernel</t>
  </si>
  <si>
    <t>Copra</t>
  </si>
  <si>
    <t>Total domestic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</si>
</sst>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0.000"/>
    <numFmt numFmtId="178" formatCode="#,##0.000"/>
    <numFmt numFmtId="179" formatCode="#,##0___)"/>
    <numFmt numFmtId="180" formatCode="#,##0.000000000000"/>
  </numFmts>
  <fonts count="1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Helvetica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</borders>
  <cellStyleXfs count="541">
    <xf numFmtId="0" fontId="0" fillId="0" borderId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56" fillId="0" borderId="0"/>
    <xf numFmtId="0" fontId="56" fillId="0" borderId="0"/>
    <xf numFmtId="0" fontId="56" fillId="0" borderId="0"/>
    <xf numFmtId="0" fontId="67" fillId="0" borderId="0"/>
    <xf numFmtId="9" fontId="5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0" fontId="69" fillId="0" borderId="0"/>
    <xf numFmtId="0" fontId="54" fillId="0" borderId="0"/>
    <xf numFmtId="0" fontId="53" fillId="0" borderId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43" fontId="51" fillId="0" borderId="0" applyFon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0" fontId="49" fillId="0" borderId="0"/>
    <xf numFmtId="0" fontId="48" fillId="0" borderId="0"/>
    <xf numFmtId="43" fontId="48" fillId="0" borderId="0" applyFont="0" applyFill="0" applyBorder="0" applyAlignment="0" applyProtection="0"/>
    <xf numFmtId="0" fontId="47" fillId="0" borderId="0"/>
    <xf numFmtId="44" fontId="55" fillId="0" borderId="0" applyFont="0" applyFill="0" applyBorder="0" applyAlignment="0" applyProtection="0"/>
    <xf numFmtId="0" fontId="46" fillId="0" borderId="0"/>
    <xf numFmtId="0" fontId="45" fillId="0" borderId="0"/>
    <xf numFmtId="0" fontId="44" fillId="0" borderId="0"/>
    <xf numFmtId="0" fontId="43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43" fontId="21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76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77" fillId="0" borderId="8" applyNumberFormat="0" applyFont="0" applyProtection="0">
      <alignment wrapText="1"/>
    </xf>
    <xf numFmtId="43" fontId="14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77" fillId="0" borderId="0" applyNumberFormat="0" applyProtection="0">
      <alignment vertical="top" wrapText="1"/>
    </xf>
    <xf numFmtId="0" fontId="77" fillId="0" borderId="9" applyNumberFormat="0" applyProtection="0">
      <alignment vertical="top" wrapText="1"/>
    </xf>
    <xf numFmtId="0" fontId="79" fillId="0" borderId="7" applyNumberFormat="0" applyProtection="0">
      <alignment wrapText="1"/>
    </xf>
    <xf numFmtId="0" fontId="79" fillId="0" borderId="10" applyNumberFormat="0" applyProtection="0">
      <alignment horizontal="left" wrapText="1"/>
    </xf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11" applyNumberFormat="0" applyProtection="0">
      <alignment wrapText="1"/>
    </xf>
    <xf numFmtId="0" fontId="77" fillId="0" borderId="12" applyNumberFormat="0" applyFont="0" applyFill="0" applyProtection="0">
      <alignment wrapText="1"/>
    </xf>
    <xf numFmtId="0" fontId="79" fillId="0" borderId="13" applyNumberFormat="0" applyFill="0" applyProtection="0">
      <alignment wrapText="1"/>
    </xf>
    <xf numFmtId="0" fontId="81" fillId="0" borderId="0" applyNumberFormat="0" applyProtection="0">
      <alignment horizontal="left"/>
    </xf>
    <xf numFmtId="0" fontId="82" fillId="0" borderId="0" applyNumberFormat="0" applyFill="0" applyBorder="0" applyAlignment="0" applyProtection="0"/>
    <xf numFmtId="0" fontId="83" fillId="0" borderId="7" applyNumberFormat="0" applyFill="0" applyAlignment="0" applyProtection="0"/>
    <xf numFmtId="0" fontId="84" fillId="0" borderId="14" applyNumberFormat="0" applyFill="0" applyAlignment="0" applyProtection="0"/>
    <xf numFmtId="0" fontId="85" fillId="0" borderId="15" applyNumberFormat="0" applyFill="0" applyAlignment="0" applyProtection="0"/>
    <xf numFmtId="0" fontId="85" fillId="0" borderId="0" applyNumberFormat="0" applyFill="0" applyBorder="0" applyAlignment="0" applyProtection="0"/>
    <xf numFmtId="0" fontId="86" fillId="3" borderId="0" applyNumberFormat="0" applyBorder="0" applyAlignment="0" applyProtection="0"/>
    <xf numFmtId="0" fontId="87" fillId="4" borderId="0" applyNumberFormat="0" applyBorder="0" applyAlignment="0" applyProtection="0"/>
    <xf numFmtId="0" fontId="88" fillId="5" borderId="0" applyNumberFormat="0" applyBorder="0" applyAlignment="0" applyProtection="0"/>
    <xf numFmtId="0" fontId="89" fillId="6" borderId="16" applyNumberFormat="0" applyAlignment="0" applyProtection="0"/>
    <xf numFmtId="0" fontId="90" fillId="7" borderId="17" applyNumberFormat="0" applyAlignment="0" applyProtection="0"/>
    <xf numFmtId="0" fontId="91" fillId="7" borderId="16" applyNumberFormat="0" applyAlignment="0" applyProtection="0"/>
    <xf numFmtId="0" fontId="92" fillId="0" borderId="18" applyNumberFormat="0" applyFill="0" applyAlignment="0" applyProtection="0"/>
    <xf numFmtId="0" fontId="93" fillId="8" borderId="19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21" applyNumberFormat="0" applyFill="0" applyAlignment="0" applyProtection="0"/>
    <xf numFmtId="0" fontId="97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97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97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97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97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97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5" fillId="55" borderId="32" applyNumberFormat="0" applyFont="0" applyAlignment="0" applyProtection="0"/>
    <xf numFmtId="0" fontId="55" fillId="55" borderId="40" applyNumberFormat="0" applyFont="0" applyAlignment="0" applyProtection="0"/>
    <xf numFmtId="0" fontId="107" fillId="52" borderId="39" applyNumberFormat="0" applyAlignment="0" applyProtection="0"/>
    <xf numFmtId="0" fontId="13" fillId="9" borderId="20" applyNumberFormat="0" applyFont="0" applyAlignment="0" applyProtection="0"/>
    <xf numFmtId="0" fontId="107" fillId="52" borderId="31" applyNumberFormat="0" applyAlignment="0" applyProtection="0"/>
    <xf numFmtId="0" fontId="98" fillId="0" borderId="0"/>
    <xf numFmtId="0" fontId="13" fillId="23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97" fillId="33" borderId="0" applyNumberFormat="0" applyBorder="0" applyAlignment="0" applyProtection="0"/>
    <xf numFmtId="43" fontId="100" fillId="0" borderId="0" applyFont="0" applyFill="0" applyBorder="0" applyAlignment="0" applyProtection="0"/>
    <xf numFmtId="0" fontId="97" fillId="29" borderId="0" applyNumberFormat="0" applyBorder="0" applyAlignment="0" applyProtection="0"/>
    <xf numFmtId="43" fontId="13" fillId="0" borderId="0" applyFont="0" applyFill="0" applyBorder="0" applyAlignment="0" applyProtection="0"/>
    <xf numFmtId="0" fontId="97" fillId="25" borderId="0" applyNumberFormat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97" fillId="21" borderId="0" applyNumberFormat="0" applyBorder="0" applyAlignment="0" applyProtection="0"/>
    <xf numFmtId="43" fontId="100" fillId="0" borderId="0" applyFont="0" applyFill="0" applyBorder="0" applyAlignment="0" applyProtection="0"/>
    <xf numFmtId="0" fontId="97" fillId="17" borderId="0" applyNumberFormat="0" applyBorder="0" applyAlignment="0" applyProtection="0"/>
    <xf numFmtId="43" fontId="100" fillId="0" borderId="0" applyFont="0" applyFill="0" applyBorder="0" applyAlignment="0" applyProtection="0"/>
    <xf numFmtId="0" fontId="97" fillId="13" borderId="0" applyNumberFormat="0" applyBorder="0" applyAlignment="0" applyProtection="0"/>
    <xf numFmtId="43" fontId="100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101" fillId="5" borderId="0" applyNumberFormat="0" applyBorder="0" applyAlignment="0" applyProtection="0"/>
    <xf numFmtId="0" fontId="98" fillId="0" borderId="0"/>
    <xf numFmtId="0" fontId="98" fillId="0" borderId="0"/>
    <xf numFmtId="0" fontId="55" fillId="0" borderId="0">
      <alignment vertical="center"/>
    </xf>
    <xf numFmtId="0" fontId="13" fillId="0" borderId="0"/>
    <xf numFmtId="0" fontId="13" fillId="9" borderId="20" applyNumberFormat="0" applyFont="0" applyAlignment="0" applyProtection="0"/>
    <xf numFmtId="0" fontId="102" fillId="0" borderId="0" applyNumberFormat="0" applyFill="0" applyBorder="0" applyAlignment="0" applyProtection="0"/>
    <xf numFmtId="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103" fillId="0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97" fillId="21" borderId="0" applyNumberFormat="0" applyBorder="0" applyAlignment="0" applyProtection="0"/>
    <xf numFmtId="0" fontId="97" fillId="25" borderId="0" applyNumberFormat="0" applyBorder="0" applyAlignment="0" applyProtection="0"/>
    <xf numFmtId="0" fontId="97" fillId="33" borderId="0" applyNumberFormat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3" fillId="0" borderId="0"/>
    <xf numFmtId="0" fontId="98" fillId="0" borderId="0"/>
    <xf numFmtId="0" fontId="103" fillId="0" borderId="0"/>
    <xf numFmtId="0" fontId="13" fillId="0" borderId="0"/>
    <xf numFmtId="0" fontId="13" fillId="9" borderId="20" applyNumberFormat="0" applyFont="0" applyAlignment="0" applyProtection="0"/>
    <xf numFmtId="0" fontId="13" fillId="9" borderId="20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97" fillId="21" borderId="0" applyNumberFormat="0" applyBorder="0" applyAlignment="0" applyProtection="0"/>
    <xf numFmtId="0" fontId="97" fillId="25" borderId="0" applyNumberFormat="0" applyBorder="0" applyAlignment="0" applyProtection="0"/>
    <xf numFmtId="0" fontId="97" fillId="33" borderId="0" applyNumberFormat="0" applyBorder="0" applyAlignment="0" applyProtection="0"/>
    <xf numFmtId="0" fontId="13" fillId="0" borderId="0"/>
    <xf numFmtId="0" fontId="13" fillId="9" borderId="20" applyNumberFormat="0" applyFont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43" fontId="13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9" borderId="20" applyNumberFormat="0" applyFont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2" borderId="0" applyNumberFormat="0" applyBorder="0" applyAlignment="0" applyProtection="0"/>
    <xf numFmtId="0" fontId="100" fillId="37" borderId="0" applyNumberFormat="0" applyBorder="0" applyAlignment="0" applyProtection="0"/>
    <xf numFmtId="0" fontId="100" fillId="40" borderId="0" applyNumberFormat="0" applyBorder="0" applyAlignment="0" applyProtection="0"/>
    <xf numFmtId="0" fontId="100" fillId="43" borderId="0" applyNumberFormat="0" applyBorder="0" applyAlignment="0" applyProtection="0"/>
    <xf numFmtId="0" fontId="105" fillId="44" borderId="0" applyNumberFormat="0" applyBorder="0" applyAlignment="0" applyProtection="0"/>
    <xf numFmtId="0" fontId="105" fillId="41" borderId="0" applyNumberFormat="0" applyBorder="0" applyAlignment="0" applyProtection="0"/>
    <xf numFmtId="0" fontId="105" fillId="42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50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51" borderId="0" applyNumberFormat="0" applyBorder="0" applyAlignment="0" applyProtection="0"/>
    <xf numFmtId="0" fontId="106" fillId="35" borderId="0" applyNumberFormat="0" applyBorder="0" applyAlignment="0" applyProtection="0"/>
    <xf numFmtId="0" fontId="107" fillId="52" borderId="22" applyNumberFormat="0" applyAlignment="0" applyProtection="0"/>
    <xf numFmtId="0" fontId="108" fillId="53" borderId="23" applyNumberFormat="0" applyAlignment="0" applyProtection="0"/>
    <xf numFmtId="43" fontId="55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110" fillId="36" borderId="0" applyNumberFormat="0" applyBorder="0" applyAlignment="0" applyProtection="0"/>
    <xf numFmtId="0" fontId="111" fillId="0" borderId="24" applyNumberFormat="0" applyFill="0" applyAlignment="0" applyProtection="0"/>
    <xf numFmtId="0" fontId="112" fillId="0" borderId="25" applyNumberFormat="0" applyFill="0" applyAlignment="0" applyProtection="0"/>
    <xf numFmtId="0" fontId="113" fillId="0" borderId="26" applyNumberFormat="0" applyFill="0" applyAlignment="0" applyProtection="0"/>
    <xf numFmtId="0" fontId="113" fillId="0" borderId="0" applyNumberFormat="0" applyFill="0" applyBorder="0" applyAlignment="0" applyProtection="0"/>
    <xf numFmtId="0" fontId="114" fillId="39" borderId="22" applyNumberFormat="0" applyAlignment="0" applyProtection="0"/>
    <xf numFmtId="0" fontId="115" fillId="0" borderId="27" applyNumberFormat="0" applyFill="0" applyAlignment="0" applyProtection="0"/>
    <xf numFmtId="0" fontId="116" fillId="54" borderId="0" applyNumberFormat="0" applyBorder="0" applyAlignment="0" applyProtection="0"/>
    <xf numFmtId="0" fontId="55" fillId="0" borderId="0"/>
    <xf numFmtId="0" fontId="55" fillId="55" borderId="28" applyNumberFormat="0" applyFont="0" applyAlignment="0" applyProtection="0"/>
    <xf numFmtId="0" fontId="55" fillId="55" borderId="28" applyNumberFormat="0" applyFont="0" applyAlignment="0" applyProtection="0"/>
    <xf numFmtId="0" fontId="117" fillId="52" borderId="29" applyNumberFormat="0" applyAlignment="0" applyProtection="0"/>
    <xf numFmtId="9" fontId="55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30" applyNumberFormat="0" applyFill="0" applyAlignment="0" applyProtection="0"/>
    <xf numFmtId="0" fontId="120" fillId="0" borderId="0" applyNumberFormat="0" applyFill="0" applyBorder="0" applyAlignment="0" applyProtection="0"/>
    <xf numFmtId="0" fontId="13" fillId="0" borderId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98" fillId="0" borderId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9" borderId="20" applyNumberFormat="0" applyFont="0" applyAlignment="0" applyProtection="0"/>
    <xf numFmtId="0" fontId="102" fillId="0" borderId="0" applyNumberFormat="0" applyFill="0" applyBorder="0" applyAlignment="0" applyProtection="0"/>
    <xf numFmtId="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9" borderId="20" applyNumberFormat="0" applyFont="0" applyAlignment="0" applyProtection="0"/>
    <xf numFmtId="0" fontId="13" fillId="9" borderId="20" applyNumberFormat="0" applyFont="0" applyAlignment="0" applyProtection="0"/>
    <xf numFmtId="0" fontId="13" fillId="0" borderId="0"/>
    <xf numFmtId="0" fontId="13" fillId="9" borderId="20" applyNumberFormat="0" applyFont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9" borderId="20" applyNumberFormat="0" applyFont="0" applyAlignment="0" applyProtection="0"/>
    <xf numFmtId="0" fontId="114" fillId="39" borderId="39" applyNumberFormat="0" applyAlignment="0" applyProtection="0"/>
    <xf numFmtId="0" fontId="55" fillId="55" borderId="36" applyNumberFormat="0" applyFont="0" applyAlignment="0" applyProtection="0"/>
    <xf numFmtId="0" fontId="117" fillId="52" borderId="37" applyNumberFormat="0" applyAlignment="0" applyProtection="0"/>
    <xf numFmtId="0" fontId="117" fillId="52" borderId="41" applyNumberFormat="0" applyAlignment="0" applyProtection="0"/>
    <xf numFmtId="0" fontId="119" fillId="0" borderId="42" applyNumberFormat="0" applyFill="0" applyAlignment="0" applyProtection="0"/>
    <xf numFmtId="0" fontId="119" fillId="0" borderId="34" applyNumberFormat="0" applyFill="0" applyAlignment="0" applyProtection="0"/>
    <xf numFmtId="0" fontId="55" fillId="55" borderId="40" applyNumberFormat="0" applyFont="0" applyAlignment="0" applyProtection="0"/>
    <xf numFmtId="0" fontId="107" fillId="52" borderId="35" applyNumberFormat="0" applyAlignment="0" applyProtection="0"/>
    <xf numFmtId="0" fontId="55" fillId="55" borderId="32" applyNumberFormat="0" applyFont="0" applyAlignment="0" applyProtection="0"/>
    <xf numFmtId="0" fontId="119" fillId="0" borderId="38" applyNumberFormat="0" applyFill="0" applyAlignment="0" applyProtection="0"/>
    <xf numFmtId="0" fontId="114" fillId="39" borderId="31" applyNumberFormat="0" applyAlignment="0" applyProtection="0"/>
    <xf numFmtId="0" fontId="55" fillId="55" borderId="36" applyNumberFormat="0" applyFont="0" applyAlignment="0" applyProtection="0"/>
    <xf numFmtId="0" fontId="117" fillId="52" borderId="33" applyNumberFormat="0" applyAlignment="0" applyProtection="0"/>
    <xf numFmtId="0" fontId="114" fillId="39" borderId="35" applyNumberFormat="0" applyAlignment="0" applyProtection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107" fillId="52" borderId="43" applyNumberFormat="0" applyAlignment="0" applyProtection="0"/>
    <xf numFmtId="0" fontId="114" fillId="39" borderId="43" applyNumberFormat="0" applyAlignment="0" applyProtection="0"/>
    <xf numFmtId="0" fontId="55" fillId="55" borderId="44" applyNumberFormat="0" applyFont="0" applyAlignment="0" applyProtection="0"/>
    <xf numFmtId="0" fontId="55" fillId="55" borderId="44" applyNumberFormat="0" applyFont="0" applyAlignment="0" applyProtection="0"/>
    <xf numFmtId="0" fontId="117" fillId="52" borderId="45" applyNumberFormat="0" applyAlignment="0" applyProtection="0"/>
    <xf numFmtId="0" fontId="119" fillId="0" borderId="46" applyNumberFormat="0" applyFill="0" applyAlignment="0" applyProtection="0"/>
    <xf numFmtId="0" fontId="2" fillId="0" borderId="0"/>
    <xf numFmtId="0" fontId="1" fillId="0" borderId="0"/>
    <xf numFmtId="0" fontId="1" fillId="0" borderId="0"/>
  </cellStyleXfs>
  <cellXfs count="235">
    <xf numFmtId="0" fontId="0" fillId="0" borderId="0" xfId="0"/>
    <xf numFmtId="0" fontId="56" fillId="0" borderId="0" xfId="8"/>
    <xf numFmtId="0" fontId="57" fillId="0" borderId="0" xfId="8" applyFont="1"/>
    <xf numFmtId="0" fontId="62" fillId="0" borderId="0" xfId="8" applyFont="1"/>
    <xf numFmtId="0" fontId="63" fillId="0" borderId="0" xfId="8" applyFont="1"/>
    <xf numFmtId="169" fontId="64" fillId="0" borderId="0" xfId="1" applyNumberFormat="1" applyFont="1" applyFill="1" applyBorder="1" applyAlignment="1">
      <alignment horizontal="center"/>
    </xf>
    <xf numFmtId="169" fontId="64" fillId="0" borderId="0" xfId="1" applyNumberFormat="1" applyFont="1" applyFill="1" applyBorder="1" applyAlignment="1">
      <alignment horizontal="right" indent="1"/>
    </xf>
    <xf numFmtId="0" fontId="70" fillId="0" borderId="0" xfId="7" applyFont="1" applyAlignment="1">
      <alignment horizontal="left"/>
    </xf>
    <xf numFmtId="0" fontId="71" fillId="0" borderId="0" xfId="5" applyFont="1" applyAlignment="1" applyProtection="1"/>
    <xf numFmtId="14" fontId="70" fillId="0" borderId="0" xfId="7" applyNumberFormat="1" applyFont="1" applyAlignment="1">
      <alignment horizontal="left"/>
    </xf>
    <xf numFmtId="0" fontId="71" fillId="0" borderId="0" xfId="4" applyFont="1" applyAlignment="1" applyProtection="1"/>
    <xf numFmtId="0" fontId="64" fillId="0" borderId="0" xfId="7" quotePrefix="1" applyFont="1" applyAlignment="1">
      <alignment horizontal="left"/>
    </xf>
    <xf numFmtId="0" fontId="64" fillId="0" borderId="0" xfId="8" applyFont="1" applyAlignment="1">
      <alignment wrapText="1"/>
    </xf>
    <xf numFmtId="169" fontId="64" fillId="0" borderId="0" xfId="1" applyNumberFormat="1" applyFont="1" applyFill="1" applyBorder="1" applyAlignment="1">
      <alignment horizontal="right"/>
    </xf>
    <xf numFmtId="0" fontId="64" fillId="0" borderId="1" xfId="0" applyFont="1" applyBorder="1"/>
    <xf numFmtId="0" fontId="64" fillId="0" borderId="0" xfId="0" applyFont="1"/>
    <xf numFmtId="0" fontId="64" fillId="0" borderId="2" xfId="0" applyFont="1" applyBorder="1" applyAlignment="1">
      <alignment horizontal="right"/>
    </xf>
    <xf numFmtId="0" fontId="64" fillId="0" borderId="0" xfId="0" applyFont="1" applyAlignment="1">
      <alignment horizontal="center"/>
    </xf>
    <xf numFmtId="0" fontId="0" fillId="0" borderId="2" xfId="0" applyBorder="1"/>
    <xf numFmtId="0" fontId="64" fillId="0" borderId="2" xfId="0" applyFont="1" applyBorder="1" applyAlignment="1">
      <alignment horizontal="left"/>
    </xf>
    <xf numFmtId="0" fontId="64" fillId="0" borderId="0" xfId="0" applyFont="1" applyAlignment="1">
      <alignment horizontal="right"/>
    </xf>
    <xf numFmtId="16" fontId="64" fillId="0" borderId="1" xfId="0" quotePrefix="1" applyNumberFormat="1" applyFont="1" applyBorder="1"/>
    <xf numFmtId="16" fontId="64" fillId="0" borderId="1" xfId="0" applyNumberFormat="1" applyFont="1" applyBorder="1"/>
    <xf numFmtId="0" fontId="64" fillId="0" borderId="1" xfId="0" applyFont="1" applyBorder="1" applyAlignment="1">
      <alignment horizontal="center"/>
    </xf>
    <xf numFmtId="0" fontId="64" fillId="0" borderId="1" xfId="0" applyFont="1" applyBorder="1" applyAlignment="1">
      <alignment horizontal="right"/>
    </xf>
    <xf numFmtId="0" fontId="64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65" fillId="0" borderId="0" xfId="0" quotePrefix="1" applyFont="1" applyAlignment="1">
      <alignment horizontal="right"/>
    </xf>
    <xf numFmtId="164" fontId="64" fillId="0" borderId="0" xfId="1" applyNumberFormat="1" applyFont="1" applyFill="1" applyBorder="1"/>
    <xf numFmtId="164" fontId="64" fillId="0" borderId="0" xfId="1" applyNumberFormat="1" applyFont="1" applyFill="1" applyBorder="1" applyAlignment="1">
      <alignment horizontal="right"/>
    </xf>
    <xf numFmtId="0" fontId="70" fillId="0" borderId="0" xfId="0" applyFont="1"/>
    <xf numFmtId="169" fontId="64" fillId="0" borderId="0" xfId="1" quotePrefix="1" applyNumberFormat="1" applyFont="1" applyFill="1" applyBorder="1" applyAlignment="1">
      <alignment horizontal="right"/>
    </xf>
    <xf numFmtId="164" fontId="64" fillId="0" borderId="0" xfId="1" applyNumberFormat="1" applyFont="1" applyFill="1" applyBorder="1" applyAlignment="1">
      <alignment horizontal="center"/>
    </xf>
    <xf numFmtId="164" fontId="64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64" fillId="0" borderId="0" xfId="1" applyNumberFormat="1" applyFont="1" applyFill="1"/>
    <xf numFmtId="14" fontId="64" fillId="0" borderId="0" xfId="0" applyNumberFormat="1" applyFont="1" applyAlignment="1">
      <alignment horizontal="left"/>
    </xf>
    <xf numFmtId="3" fontId="64" fillId="0" borderId="0" xfId="1" applyNumberFormat="1" applyFont="1" applyFill="1" applyAlignment="1">
      <alignment horizontal="right" indent="1"/>
    </xf>
    <xf numFmtId="3" fontId="64" fillId="0" borderId="0" xfId="1" applyNumberFormat="1" applyFont="1" applyFill="1" applyAlignment="1">
      <alignment horizontal="center"/>
    </xf>
    <xf numFmtId="169" fontId="64" fillId="0" borderId="0" xfId="1" applyNumberFormat="1" applyFont="1" applyFill="1" applyBorder="1" applyAlignment="1">
      <alignment horizontal="right" indent="2"/>
    </xf>
    <xf numFmtId="0" fontId="66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64" fillId="0" borderId="1" xfId="1" applyNumberFormat="1" applyFont="1" applyFill="1" applyBorder="1" applyAlignment="1">
      <alignment horizontal="right"/>
    </xf>
    <xf numFmtId="16" fontId="64" fillId="0" borderId="0" xfId="0" applyNumberFormat="1" applyFont="1"/>
    <xf numFmtId="0" fontId="65" fillId="0" borderId="0" xfId="0" applyFont="1" applyAlignment="1">
      <alignment horizontal="center"/>
    </xf>
    <xf numFmtId="2" fontId="64" fillId="0" borderId="0" xfId="0" applyNumberFormat="1" applyFont="1" applyAlignment="1">
      <alignment horizontal="right" indent="2"/>
    </xf>
    <xf numFmtId="43" fontId="64" fillId="0" borderId="0" xfId="1" quotePrefix="1" applyFont="1" applyFill="1" applyBorder="1" applyAlignment="1">
      <alignment horizontal="center"/>
    </xf>
    <xf numFmtId="166" fontId="64" fillId="0" borderId="0" xfId="1" quotePrefix="1" applyNumberFormat="1" applyFont="1" applyFill="1" applyBorder="1" applyAlignment="1">
      <alignment horizontal="center"/>
    </xf>
    <xf numFmtId="43" fontId="64" fillId="0" borderId="0" xfId="1" applyFont="1" applyFill="1" applyBorder="1" applyAlignment="1">
      <alignment horizontal="center"/>
    </xf>
    <xf numFmtId="0" fontId="70" fillId="0" borderId="0" xfId="0" quotePrefix="1" applyFont="1"/>
    <xf numFmtId="0" fontId="64" fillId="0" borderId="0" xfId="0" applyFont="1" applyAlignment="1">
      <alignment horizontal="left"/>
    </xf>
    <xf numFmtId="0" fontId="64" fillId="0" borderId="0" xfId="0" applyFont="1" applyAlignment="1">
      <alignment horizontal="left" indent="1"/>
    </xf>
    <xf numFmtId="0" fontId="64" fillId="0" borderId="3" xfId="0" applyFont="1" applyBorder="1" applyAlignment="1">
      <alignment horizontal="center"/>
    </xf>
    <xf numFmtId="0" fontId="64" fillId="0" borderId="1" xfId="0" applyFont="1" applyBorder="1" applyAlignment="1">
      <alignment horizontal="left"/>
    </xf>
    <xf numFmtId="0" fontId="65" fillId="0" borderId="3" xfId="0" quotePrefix="1" applyFont="1" applyBorder="1"/>
    <xf numFmtId="0" fontId="65" fillId="0" borderId="3" xfId="0" applyFont="1" applyBorder="1"/>
    <xf numFmtId="2" fontId="64" fillId="0" borderId="0" xfId="0" applyNumberFormat="1" applyFont="1" applyAlignment="1">
      <alignment horizontal="center"/>
    </xf>
    <xf numFmtId="43" fontId="64" fillId="0" borderId="0" xfId="0" applyNumberFormat="1" applyFont="1"/>
    <xf numFmtId="0" fontId="59" fillId="0" borderId="0" xfId="0" applyFont="1"/>
    <xf numFmtId="2" fontId="0" fillId="0" borderId="0" xfId="0" applyNumberFormat="1"/>
    <xf numFmtId="165" fontId="64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68" fillId="0" borderId="0" xfId="0" applyFont="1" applyAlignment="1">
      <alignment vertical="center"/>
    </xf>
    <xf numFmtId="2" fontId="64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64" fillId="0" borderId="3" xfId="0" applyFont="1" applyBorder="1"/>
    <xf numFmtId="165" fontId="64" fillId="0" borderId="0" xfId="1" applyNumberFormat="1" applyFont="1" applyFill="1"/>
    <xf numFmtId="37" fontId="64" fillId="0" borderId="0" xfId="1" applyNumberFormat="1" applyFont="1" applyFill="1" applyBorder="1" applyAlignment="1">
      <alignment horizontal="center"/>
    </xf>
    <xf numFmtId="165" fontId="64" fillId="0" borderId="0" xfId="1" applyNumberFormat="1" applyFont="1" applyFill="1" applyBorder="1"/>
    <xf numFmtId="9" fontId="64" fillId="0" borderId="0" xfId="12" applyFont="1" applyFill="1"/>
    <xf numFmtId="0" fontId="65" fillId="0" borderId="4" xfId="0" applyFont="1" applyBorder="1" applyAlignment="1">
      <alignment horizontal="center"/>
    </xf>
    <xf numFmtId="14" fontId="64" fillId="0" borderId="0" xfId="0" applyNumberFormat="1" applyFont="1" applyAlignment="1">
      <alignment horizontal="right" indent="1"/>
    </xf>
    <xf numFmtId="0" fontId="64" fillId="0" borderId="0" xfId="0" applyFont="1" applyAlignment="1">
      <alignment vertical="center"/>
    </xf>
    <xf numFmtId="0" fontId="64" fillId="0" borderId="0" xfId="0" applyFont="1" applyAlignment="1">
      <alignment vertical="center" wrapText="1"/>
    </xf>
    <xf numFmtId="169" fontId="64" fillId="0" borderId="0" xfId="1" applyNumberFormat="1" applyFont="1" applyFill="1" applyAlignment="1">
      <alignment horizontal="center"/>
    </xf>
    <xf numFmtId="0" fontId="66" fillId="0" borderId="3" xfId="0" applyFont="1" applyBorder="1"/>
    <xf numFmtId="164" fontId="64" fillId="0" borderId="3" xfId="0" applyNumberFormat="1" applyFont="1" applyBorder="1"/>
    <xf numFmtId="171" fontId="0" fillId="0" borderId="0" xfId="1" applyNumberFormat="1" applyFont="1" applyFill="1" applyBorder="1"/>
    <xf numFmtId="0" fontId="55" fillId="0" borderId="0" xfId="8" applyFont="1"/>
    <xf numFmtId="0" fontId="55" fillId="0" borderId="0" xfId="0" applyFont="1"/>
    <xf numFmtId="4" fontId="73" fillId="0" borderId="0" xfId="0" applyNumberFormat="1" applyFont="1"/>
    <xf numFmtId="172" fontId="59" fillId="0" borderId="0" xfId="12" applyNumberFormat="1" applyFont="1" applyFill="1"/>
    <xf numFmtId="4" fontId="0" fillId="0" borderId="0" xfId="0" applyNumberFormat="1"/>
    <xf numFmtId="173" fontId="73" fillId="0" borderId="0" xfId="0" applyNumberFormat="1" applyFont="1"/>
    <xf numFmtId="2" fontId="72" fillId="0" borderId="0" xfId="0" applyNumberFormat="1" applyFont="1" applyAlignment="1">
      <alignment horizontal="center"/>
    </xf>
    <xf numFmtId="37" fontId="64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72" fillId="0" borderId="0" xfId="0" applyNumberFormat="1" applyFont="1" applyAlignment="1">
      <alignment horizontal="right" indent="2"/>
    </xf>
    <xf numFmtId="9" fontId="0" fillId="0" borderId="0" xfId="12" applyFont="1"/>
    <xf numFmtId="3" fontId="72" fillId="0" borderId="0" xfId="1" applyNumberFormat="1" applyFont="1" applyFill="1" applyBorder="1" applyAlignment="1">
      <alignment horizontal="right"/>
    </xf>
    <xf numFmtId="3" fontId="55" fillId="0" borderId="0" xfId="0" applyNumberFormat="1" applyFon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64" fillId="0" borderId="0" xfId="1" applyNumberFormat="1" applyFont="1" applyAlignment="1">
      <alignment horizontal="right" indent="1"/>
    </xf>
    <xf numFmtId="167" fontId="64" fillId="0" borderId="0" xfId="0" applyNumberFormat="1" applyFont="1"/>
    <xf numFmtId="169" fontId="72" fillId="0" borderId="0" xfId="1" applyNumberFormat="1" applyFont="1" applyFill="1" applyBorder="1" applyAlignment="1">
      <alignment horizontal="right" indent="1"/>
    </xf>
    <xf numFmtId="0" fontId="74" fillId="0" borderId="0" xfId="0" applyFont="1"/>
    <xf numFmtId="169" fontId="64" fillId="0" borderId="0" xfId="1" applyNumberFormat="1" applyFont="1" applyFill="1" applyAlignment="1">
      <alignment horizontal="right" indent="1"/>
    </xf>
    <xf numFmtId="164" fontId="72" fillId="0" borderId="0" xfId="1" applyNumberFormat="1" applyFont="1"/>
    <xf numFmtId="169" fontId="64" fillId="2" borderId="0" xfId="1" applyNumberFormat="1" applyFont="1" applyFill="1" applyBorder="1" applyAlignment="1">
      <alignment horizontal="right" indent="2"/>
    </xf>
    <xf numFmtId="169" fontId="64" fillId="2" borderId="0" xfId="1" applyNumberFormat="1" applyFont="1" applyFill="1" applyBorder="1" applyAlignment="1">
      <alignment horizontal="right" indent="1"/>
    </xf>
    <xf numFmtId="169" fontId="75" fillId="0" borderId="0" xfId="1" applyNumberFormat="1" applyFont="1" applyFill="1" applyBorder="1" applyAlignment="1">
      <alignment horizontal="right"/>
    </xf>
    <xf numFmtId="169" fontId="72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64" fillId="0" borderId="3" xfId="0" applyNumberFormat="1" applyFont="1" applyBorder="1"/>
    <xf numFmtId="0" fontId="0" fillId="0" borderId="3" xfId="0" applyBorder="1"/>
    <xf numFmtId="168" fontId="64" fillId="0" borderId="3" xfId="0" applyNumberFormat="1" applyFont="1" applyBorder="1"/>
    <xf numFmtId="0" fontId="65" fillId="0" borderId="3" xfId="0" quotePrefix="1" applyFont="1" applyBorder="1" applyAlignment="1">
      <alignment horizontal="center"/>
    </xf>
    <xf numFmtId="177" fontId="0" fillId="0" borderId="0" xfId="0" applyNumberFormat="1"/>
    <xf numFmtId="178" fontId="0" fillId="0" borderId="0" xfId="0" applyNumberFormat="1"/>
    <xf numFmtId="167" fontId="64" fillId="0" borderId="0" xfId="0" applyNumberFormat="1" applyFont="1" applyAlignment="1">
      <alignment horizontal="center"/>
    </xf>
    <xf numFmtId="165" fontId="64" fillId="0" borderId="0" xfId="1" applyNumberFormat="1" applyFont="1" applyFill="1" applyAlignment="1">
      <alignment horizontal="left"/>
    </xf>
    <xf numFmtId="165" fontId="64" fillId="0" borderId="0" xfId="1" applyNumberFormat="1" applyFont="1" applyFill="1" applyAlignment="1">
      <alignment horizontal="center"/>
    </xf>
    <xf numFmtId="3" fontId="64" fillId="0" borderId="0" xfId="1" applyNumberFormat="1" applyFont="1" applyFill="1" applyBorder="1" applyAlignment="1">
      <alignment horizontal="right" indent="1"/>
    </xf>
    <xf numFmtId="3" fontId="73" fillId="0" borderId="0" xfId="0" applyNumberFormat="1" applyFont="1"/>
    <xf numFmtId="173" fontId="0" fillId="0" borderId="0" xfId="0" applyNumberFormat="1"/>
    <xf numFmtId="3" fontId="72" fillId="0" borderId="0" xfId="1" applyNumberFormat="1" applyFont="1" applyFill="1" applyAlignment="1">
      <alignment horizontal="right" indent="1"/>
    </xf>
    <xf numFmtId="37" fontId="64" fillId="0" borderId="0" xfId="1" applyNumberFormat="1" applyFont="1" applyFill="1" applyBorder="1" applyAlignment="1">
      <alignment horizontal="right" indent="2"/>
    </xf>
    <xf numFmtId="37" fontId="64" fillId="0" borderId="0" xfId="1" applyNumberFormat="1" applyFont="1" applyFill="1" applyBorder="1" applyAlignment="1">
      <alignment horizontal="right" indent="1"/>
    </xf>
    <xf numFmtId="37" fontId="64" fillId="0" borderId="0" xfId="1" applyNumberFormat="1" applyFont="1" applyFill="1" applyAlignment="1">
      <alignment horizontal="center"/>
    </xf>
    <xf numFmtId="37" fontId="64" fillId="0" borderId="0" xfId="0" applyNumberFormat="1" applyFont="1"/>
    <xf numFmtId="1" fontId="64" fillId="0" borderId="0" xfId="0" applyNumberFormat="1" applyFont="1" applyAlignment="1">
      <alignment horizontal="center"/>
    </xf>
    <xf numFmtId="170" fontId="64" fillId="0" borderId="0" xfId="0" applyNumberFormat="1" applyFont="1"/>
    <xf numFmtId="165" fontId="0" fillId="0" borderId="0" xfId="1" applyNumberFormat="1" applyFont="1" applyAlignment="1">
      <alignment horizontal="left" indent="1"/>
    </xf>
    <xf numFmtId="2" fontId="64" fillId="2" borderId="0" xfId="0" applyNumberFormat="1" applyFont="1" applyFill="1" applyAlignment="1">
      <alignment horizontal="right" indent="2"/>
    </xf>
    <xf numFmtId="0" fontId="64" fillId="2" borderId="0" xfId="0" applyFont="1" applyFill="1"/>
    <xf numFmtId="164" fontId="72" fillId="0" borderId="0" xfId="1" applyNumberFormat="1" applyFont="1" applyFill="1"/>
    <xf numFmtId="167" fontId="121" fillId="0" borderId="0" xfId="0" applyNumberFormat="1" applyFont="1"/>
    <xf numFmtId="169" fontId="72" fillId="0" borderId="0" xfId="1" applyNumberFormat="1" applyFont="1" applyFill="1" applyAlignment="1">
      <alignment horizontal="right" indent="1"/>
    </xf>
    <xf numFmtId="0" fontId="64" fillId="0" borderId="2" xfId="0" applyFont="1" applyBorder="1" applyAlignment="1">
      <alignment horizontal="center"/>
    </xf>
    <xf numFmtId="0" fontId="65" fillId="0" borderId="3" xfId="0" applyFont="1" applyBorder="1" applyAlignment="1">
      <alignment horizontal="center"/>
    </xf>
    <xf numFmtId="2" fontId="74" fillId="0" borderId="0" xfId="0" applyNumberFormat="1" applyFont="1"/>
    <xf numFmtId="3" fontId="0" fillId="0" borderId="0" xfId="0" applyNumberFormat="1"/>
    <xf numFmtId="0" fontId="0" fillId="2" borderId="0" xfId="0" applyFill="1"/>
    <xf numFmtId="0" fontId="55" fillId="2" borderId="0" xfId="0" applyFont="1" applyFill="1"/>
    <xf numFmtId="164" fontId="64" fillId="2" borderId="0" xfId="1" applyNumberFormat="1" applyFont="1" applyFill="1" applyBorder="1" applyAlignment="1">
      <alignment horizontal="center"/>
    </xf>
    <xf numFmtId="169" fontId="64" fillId="2" borderId="0" xfId="1" applyNumberFormat="1" applyFont="1" applyFill="1" applyBorder="1" applyAlignment="1">
      <alignment horizontal="right"/>
    </xf>
    <xf numFmtId="169" fontId="64" fillId="2" borderId="0" xfId="1" quotePrefix="1" applyNumberFormat="1" applyFont="1" applyFill="1" applyBorder="1" applyAlignment="1">
      <alignment horizontal="right"/>
    </xf>
    <xf numFmtId="174" fontId="0" fillId="2" borderId="0" xfId="0" applyNumberFormat="1" applyFill="1"/>
    <xf numFmtId="164" fontId="72" fillId="0" borderId="0" xfId="1" applyNumberFormat="1" applyFont="1" applyFill="1" applyAlignment="1">
      <alignment horizontal="right"/>
    </xf>
    <xf numFmtId="3" fontId="64" fillId="0" borderId="0" xfId="1" applyNumberFormat="1" applyFont="1" applyFill="1" applyAlignment="1">
      <alignment horizontal="right"/>
    </xf>
    <xf numFmtId="3" fontId="64" fillId="0" borderId="0" xfId="1" applyNumberFormat="1" applyFont="1" applyFill="1" applyAlignment="1">
      <alignment horizontal="right" indent="2"/>
    </xf>
    <xf numFmtId="2" fontId="122" fillId="0" borderId="0" xfId="12" applyNumberFormat="1" applyFont="1" applyFill="1" applyBorder="1" applyAlignment="1">
      <alignment horizontal="center"/>
    </xf>
    <xf numFmtId="0" fontId="122" fillId="0" borderId="0" xfId="0" applyFont="1"/>
    <xf numFmtId="165" fontId="0" fillId="0" borderId="0" xfId="1" applyNumberFormat="1" applyFont="1"/>
    <xf numFmtId="10" fontId="0" fillId="0" borderId="0" xfId="12" applyNumberFormat="1" applyFont="1"/>
    <xf numFmtId="179" fontId="123" fillId="0" borderId="0" xfId="0" applyNumberFormat="1" applyFont="1"/>
    <xf numFmtId="179" fontId="123" fillId="0" borderId="0" xfId="0" applyNumberFormat="1" applyFont="1" applyAlignment="1">
      <alignment horizontal="right" indent="1"/>
    </xf>
    <xf numFmtId="179" fontId="0" fillId="0" borderId="0" xfId="0" applyNumberFormat="1"/>
    <xf numFmtId="0" fontId="62" fillId="0" borderId="0" xfId="20" applyFont="1"/>
    <xf numFmtId="0" fontId="55" fillId="0" borderId="0" xfId="20"/>
    <xf numFmtId="165" fontId="0" fillId="0" borderId="0" xfId="1" applyNumberFormat="1" applyFont="1" applyFill="1" applyAlignment="1">
      <alignment horizontal="left" indent="1"/>
    </xf>
    <xf numFmtId="180" fontId="0" fillId="0" borderId="0" xfId="0" applyNumberFormat="1"/>
    <xf numFmtId="165" fontId="0" fillId="0" borderId="0" xfId="0" applyNumberFormat="1"/>
    <xf numFmtId="178" fontId="72" fillId="0" borderId="0" xfId="1" applyNumberFormat="1" applyFont="1" applyFill="1" applyAlignment="1">
      <alignment horizontal="right" indent="1"/>
    </xf>
    <xf numFmtId="173" fontId="70" fillId="0" borderId="0" xfId="1" applyNumberFormat="1" applyFont="1" applyFill="1" applyBorder="1" applyAlignment="1">
      <alignment horizontal="right" indent="1"/>
    </xf>
    <xf numFmtId="43" fontId="0" fillId="0" borderId="0" xfId="1" applyFont="1"/>
    <xf numFmtId="0" fontId="70" fillId="0" borderId="47" xfId="20" applyFont="1" applyBorder="1" applyAlignment="1">
      <alignment wrapText="1"/>
    </xf>
    <xf numFmtId="0" fontId="64" fillId="0" borderId="0" xfId="20" applyFont="1"/>
    <xf numFmtId="0" fontId="64" fillId="0" borderId="0" xfId="20" applyFont="1" applyAlignment="1">
      <alignment vertical="center"/>
    </xf>
    <xf numFmtId="2" fontId="64" fillId="0" borderId="0" xfId="20" applyNumberFormat="1" applyFont="1" applyAlignment="1">
      <alignment vertical="center"/>
    </xf>
    <xf numFmtId="2" fontId="64" fillId="0" borderId="0" xfId="20" applyNumberFormat="1" applyFont="1" applyAlignment="1">
      <alignment horizontal="right"/>
    </xf>
    <xf numFmtId="2" fontId="64" fillId="0" borderId="0" xfId="20" applyNumberFormat="1" applyFont="1" applyAlignment="1">
      <alignment horizontal="right" vertical="center"/>
    </xf>
    <xf numFmtId="17" fontId="64" fillId="0" borderId="0" xfId="20" applyNumberFormat="1" applyFont="1" applyAlignment="1">
      <alignment vertical="center"/>
    </xf>
    <xf numFmtId="0" fontId="64" fillId="0" borderId="0" xfId="20" applyFont="1" applyAlignment="1">
      <alignment horizontal="right"/>
    </xf>
    <xf numFmtId="17" fontId="64" fillId="0" borderId="0" xfId="20" applyNumberFormat="1" applyFont="1" applyAlignment="1">
      <alignment horizontal="left"/>
    </xf>
    <xf numFmtId="0" fontId="76" fillId="0" borderId="0" xfId="79"/>
    <xf numFmtId="1" fontId="64" fillId="0" borderId="0" xfId="20" applyNumberFormat="1" applyFont="1"/>
    <xf numFmtId="17" fontId="70" fillId="0" borderId="0" xfId="20" applyNumberFormat="1" applyFont="1" applyAlignment="1">
      <alignment vertical="center"/>
    </xf>
    <xf numFmtId="2" fontId="70" fillId="0" borderId="0" xfId="20" applyNumberFormat="1" applyFont="1" applyAlignment="1">
      <alignment vertical="center"/>
    </xf>
    <xf numFmtId="0" fontId="70" fillId="0" borderId="47" xfId="20" applyFont="1" applyBorder="1" applyAlignment="1">
      <alignment horizontal="center" wrapText="1"/>
    </xf>
    <xf numFmtId="2" fontId="64" fillId="0" borderId="0" xfId="20" applyNumberFormat="1" applyFont="1" applyAlignment="1">
      <alignment horizontal="center" vertical="center"/>
    </xf>
    <xf numFmtId="2" fontId="64" fillId="0" borderId="0" xfId="20" applyNumberFormat="1" applyFont="1" applyAlignment="1">
      <alignment horizontal="center"/>
    </xf>
    <xf numFmtId="2" fontId="70" fillId="0" borderId="0" xfId="20" applyNumberFormat="1" applyFont="1" applyAlignment="1">
      <alignment horizontal="center" vertical="center"/>
    </xf>
    <xf numFmtId="0" fontId="64" fillId="0" borderId="0" xfId="20" applyFont="1" applyAlignment="1">
      <alignment horizontal="center" vertical="center"/>
    </xf>
    <xf numFmtId="0" fontId="64" fillId="0" borderId="0" xfId="20" applyFont="1" applyAlignment="1">
      <alignment horizontal="center"/>
    </xf>
    <xf numFmtId="17" fontId="64" fillId="0" borderId="0" xfId="20" applyNumberFormat="1" applyFont="1" applyAlignment="1">
      <alignment horizontal="center" vertical="center"/>
    </xf>
    <xf numFmtId="17" fontId="64" fillId="0" borderId="0" xfId="20" applyNumberFormat="1" applyFont="1" applyAlignment="1">
      <alignment horizontal="center"/>
    </xf>
    <xf numFmtId="0" fontId="76" fillId="0" borderId="0" xfId="79" applyAlignment="1">
      <alignment horizontal="center"/>
    </xf>
    <xf numFmtId="1" fontId="64" fillId="0" borderId="0" xfId="20" applyNumberFormat="1" applyFont="1" applyAlignment="1">
      <alignment horizontal="center"/>
    </xf>
    <xf numFmtId="14" fontId="0" fillId="0" borderId="0" xfId="0" applyNumberFormat="1"/>
    <xf numFmtId="1" fontId="55" fillId="0" borderId="0" xfId="20" applyNumberFormat="1"/>
    <xf numFmtId="1" fontId="0" fillId="0" borderId="0" xfId="0" applyNumberFormat="1"/>
    <xf numFmtId="14" fontId="62" fillId="0" borderId="0" xfId="0" applyNumberFormat="1" applyFont="1"/>
    <xf numFmtId="0" fontId="62" fillId="0" borderId="0" xfId="0" applyFont="1"/>
    <xf numFmtId="167" fontId="55" fillId="0" borderId="0" xfId="20" applyNumberFormat="1"/>
    <xf numFmtId="169" fontId="64" fillId="2" borderId="0" xfId="1" applyNumberFormat="1" applyFont="1" applyFill="1" applyAlignment="1">
      <alignment horizontal="right" indent="1"/>
    </xf>
    <xf numFmtId="165" fontId="64" fillId="2" borderId="0" xfId="1" applyNumberFormat="1" applyFont="1" applyFill="1" applyBorder="1" applyAlignment="1">
      <alignment horizontal="center"/>
    </xf>
    <xf numFmtId="169" fontId="72" fillId="2" borderId="0" xfId="1" applyNumberFormat="1" applyFont="1" applyFill="1" applyBorder="1" applyAlignment="1">
      <alignment horizontal="right"/>
    </xf>
    <xf numFmtId="169" fontId="0" fillId="2" borderId="0" xfId="0" applyNumberFormat="1" applyFill="1"/>
    <xf numFmtId="172" fontId="0" fillId="2" borderId="0" xfId="12" applyNumberFormat="1" applyFont="1" applyFill="1"/>
    <xf numFmtId="177" fontId="0" fillId="2" borderId="0" xfId="0" applyNumberFormat="1" applyFill="1"/>
    <xf numFmtId="167" fontId="64" fillId="2" borderId="0" xfId="0" applyNumberFormat="1" applyFont="1" applyFill="1" applyAlignment="1">
      <alignment horizontal="center"/>
    </xf>
    <xf numFmtId="165" fontId="64" fillId="2" borderId="0" xfId="1" applyNumberFormat="1" applyFont="1" applyFill="1" applyAlignment="1">
      <alignment horizontal="left"/>
    </xf>
    <xf numFmtId="165" fontId="64" fillId="2" borderId="0" xfId="1" applyNumberFormat="1" applyFont="1" applyFill="1" applyAlignment="1">
      <alignment horizontal="center"/>
    </xf>
    <xf numFmtId="3" fontId="64" fillId="2" borderId="0" xfId="1" applyNumberFormat="1" applyFont="1" applyFill="1" applyBorder="1" applyAlignment="1">
      <alignment horizontal="right" indent="1"/>
    </xf>
    <xf numFmtId="165" fontId="72" fillId="2" borderId="0" xfId="1" applyNumberFormat="1" applyFont="1" applyFill="1" applyAlignment="1">
      <alignment horizontal="center"/>
    </xf>
    <xf numFmtId="165" fontId="0" fillId="2" borderId="0" xfId="0" applyNumberFormat="1" applyFill="1"/>
    <xf numFmtId="4" fontId="73" fillId="2" borderId="0" xfId="0" applyNumberFormat="1" applyFont="1" applyFill="1"/>
    <xf numFmtId="173" fontId="0" fillId="2" borderId="0" xfId="0" applyNumberFormat="1" applyFill="1"/>
    <xf numFmtId="3" fontId="64" fillId="2" borderId="0" xfId="1" applyNumberFormat="1" applyFont="1" applyFill="1" applyAlignment="1">
      <alignment horizontal="right" indent="2"/>
    </xf>
    <xf numFmtId="3" fontId="64" fillId="2" borderId="0" xfId="1" applyNumberFormat="1" applyFont="1" applyFill="1" applyAlignment="1">
      <alignment horizontal="right" indent="1"/>
    </xf>
    <xf numFmtId="3" fontId="72" fillId="2" borderId="0" xfId="1" applyNumberFormat="1" applyFont="1" applyFill="1" applyAlignment="1">
      <alignment horizontal="right" indent="1"/>
    </xf>
    <xf numFmtId="3" fontId="0" fillId="2" borderId="0" xfId="0" applyNumberFormat="1" applyFill="1"/>
    <xf numFmtId="3" fontId="64" fillId="2" borderId="0" xfId="1" applyNumberFormat="1" applyFont="1" applyFill="1" applyAlignment="1">
      <alignment horizontal="center"/>
    </xf>
    <xf numFmtId="3" fontId="64" fillId="2" borderId="0" xfId="1" applyNumberFormat="1" applyFont="1" applyFill="1" applyAlignment="1">
      <alignment horizontal="right"/>
    </xf>
    <xf numFmtId="164" fontId="72" fillId="2" borderId="0" xfId="1" applyNumberFormat="1" applyFont="1" applyFill="1" applyAlignment="1">
      <alignment horizontal="right"/>
    </xf>
    <xf numFmtId="169" fontId="64" fillId="2" borderId="0" xfId="1" applyNumberFormat="1" applyFont="1" applyFill="1" applyBorder="1" applyAlignment="1">
      <alignment horizontal="center"/>
    </xf>
    <xf numFmtId="169" fontId="64" fillId="2" borderId="0" xfId="1" applyNumberFormat="1" applyFont="1" applyFill="1" applyAlignment="1">
      <alignment horizontal="center"/>
    </xf>
    <xf numFmtId="4" fontId="0" fillId="2" borderId="0" xfId="0" applyNumberFormat="1" applyFill="1"/>
    <xf numFmtId="0" fontId="64" fillId="2" borderId="1" xfId="0" applyFont="1" applyFill="1" applyBorder="1"/>
    <xf numFmtId="37" fontId="64" fillId="2" borderId="1" xfId="1" applyNumberFormat="1" applyFont="1" applyFill="1" applyBorder="1" applyAlignment="1">
      <alignment horizontal="center"/>
    </xf>
    <xf numFmtId="37" fontId="64" fillId="2" borderId="1" xfId="1" applyNumberFormat="1" applyFont="1" applyFill="1" applyBorder="1" applyAlignment="1">
      <alignment horizontal="right" indent="2"/>
    </xf>
    <xf numFmtId="165" fontId="64" fillId="2" borderId="1" xfId="1" applyNumberFormat="1" applyFont="1" applyFill="1" applyBorder="1"/>
    <xf numFmtId="37" fontId="64" fillId="2" borderId="1" xfId="1" applyNumberFormat="1" applyFont="1" applyFill="1" applyBorder="1" applyAlignment="1">
      <alignment horizontal="right" indent="1"/>
    </xf>
    <xf numFmtId="1" fontId="64" fillId="2" borderId="1" xfId="0" applyNumberFormat="1" applyFont="1" applyFill="1" applyBorder="1" applyAlignment="1">
      <alignment horizontal="center"/>
    </xf>
    <xf numFmtId="37" fontId="0" fillId="2" borderId="0" xfId="0" applyNumberFormat="1" applyFill="1"/>
    <xf numFmtId="2" fontId="72" fillId="2" borderId="0" xfId="0" applyNumberFormat="1" applyFont="1" applyFill="1" applyAlignment="1">
      <alignment horizontal="right" indent="2"/>
    </xf>
    <xf numFmtId="2" fontId="0" fillId="2" borderId="0" xfId="0" applyNumberFormat="1" applyFill="1"/>
    <xf numFmtId="2" fontId="64" fillId="2" borderId="0" xfId="0" applyNumberFormat="1" applyFont="1" applyFill="1" applyAlignment="1">
      <alignment horizontal="center"/>
    </xf>
    <xf numFmtId="43" fontId="64" fillId="2" borderId="0" xfId="1" applyFont="1" applyFill="1" applyBorder="1" applyAlignment="1">
      <alignment horizontal="center"/>
    </xf>
    <xf numFmtId="2" fontId="72" fillId="2" borderId="0" xfId="0" applyNumberFormat="1" applyFont="1" applyFill="1" applyAlignment="1">
      <alignment horizontal="center"/>
    </xf>
    <xf numFmtId="9" fontId="64" fillId="0" borderId="0" xfId="12" applyFont="1"/>
    <xf numFmtId="0" fontId="64" fillId="0" borderId="2" xfId="0" applyFont="1" applyBorder="1" applyAlignment="1">
      <alignment horizontal="center"/>
    </xf>
    <xf numFmtId="0" fontId="65" fillId="0" borderId="3" xfId="0" applyFont="1" applyBorder="1" applyAlignment="1">
      <alignment horizontal="center"/>
    </xf>
    <xf numFmtId="0" fontId="65" fillId="0" borderId="2" xfId="0" quotePrefix="1" applyFont="1" applyBorder="1" applyAlignment="1">
      <alignment horizontal="center"/>
    </xf>
    <xf numFmtId="0" fontId="65" fillId="0" borderId="5" xfId="0" quotePrefix="1" applyFont="1" applyBorder="1" applyAlignment="1">
      <alignment horizontal="center"/>
    </xf>
    <xf numFmtId="0" fontId="65" fillId="0" borderId="6" xfId="0" applyFont="1" applyBorder="1" applyAlignment="1">
      <alignment horizontal="center"/>
    </xf>
    <xf numFmtId="0" fontId="65" fillId="0" borderId="2" xfId="0" applyFont="1" applyBorder="1" applyAlignment="1">
      <alignment horizontal="center"/>
    </xf>
    <xf numFmtId="0" fontId="65" fillId="0" borderId="5" xfId="0" applyFont="1" applyBorder="1" applyAlignment="1">
      <alignment horizontal="center"/>
    </xf>
  </cellXfs>
  <cellStyles count="541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2 2 2" xfId="490" xr:uid="{05B06E6A-24DF-4E88-8359-FB1A2B20C218}"/>
    <cellStyle name="20% - Accent1 2 2 3" xfId="427" xr:uid="{98B64A09-388E-498E-8547-ED6E911E9008}"/>
    <cellStyle name="20% - Accent1 2 3" xfId="243" xr:uid="{DFAACE0A-DDD2-4424-B740-BFF9BF44F6DE}"/>
    <cellStyle name="20% - Accent1 2 3 2" xfId="356" xr:uid="{89AF0E59-C980-4D73-AD5F-E64685BF5A39}"/>
    <cellStyle name="20% - Accent1 2 3 2 2" xfId="524" xr:uid="{B817B76A-E28D-417D-B5E9-3235B4EEBF45}"/>
    <cellStyle name="20% - Accent1 2 3 3" xfId="461" xr:uid="{36FDAAF6-488B-4CFF-9EF7-D4D588B79B49}"/>
    <cellStyle name="20% - Accent1 2 4" xfId="311" xr:uid="{83F36799-25DE-43C1-8B40-C38E43B06862}"/>
    <cellStyle name="20% - Accent1 2 4 2" xfId="482" xr:uid="{F7F20C40-F23D-4222-96D9-093D64E9179D}"/>
    <cellStyle name="20% - Accent1 2 5" xfId="420" xr:uid="{086CCB9A-F10F-4BD0-AECC-CECF83F47246}"/>
    <cellStyle name="20% - Accent1 3" xfId="176" xr:uid="{32B0355E-6EDE-4BFF-8288-D97DAF58BA3D}"/>
    <cellStyle name="20% - Accent1 3 2" xfId="323" xr:uid="{8B8A3324-DDA2-4DDC-A40B-277C58DF2E59}"/>
    <cellStyle name="20% - Accent1 3 2 2" xfId="491" xr:uid="{889EB50F-F9C4-42E0-BB6A-E236776D753A}"/>
    <cellStyle name="20% - Accent1 3 3" xfId="428" xr:uid="{36BE12E4-AA0F-4205-82D6-9FB17C14369E}"/>
    <cellStyle name="20% - Accent1 4" xfId="252" xr:uid="{7CEC33F6-0A54-4986-816D-B5CD86F3443E}"/>
    <cellStyle name="20% - Accent1 5" xfId="298" xr:uid="{81C6ED3D-ADA8-4DD1-AB90-65CBC92DDD4E}"/>
    <cellStyle name="20% - Accent1 5 2" xfId="470" xr:uid="{4F3D7150-E006-460C-9645-62992F51D10D}"/>
    <cellStyle name="20% - Accent1 6" xfId="401" xr:uid="{9AE55E89-F9DF-4833-9F62-326D28BA61AC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2 2 2" xfId="492" xr:uid="{FD8075D9-B0CB-45B8-90F1-6558E750DC91}"/>
    <cellStyle name="20% - Accent2 2 2 3" xfId="429" xr:uid="{566529F4-1A18-4101-B0F0-37DDEB028598}"/>
    <cellStyle name="20% - Accent2 2 3" xfId="244" xr:uid="{50C5342E-7F4E-4DA0-8BB2-B9DC64C75676}"/>
    <cellStyle name="20% - Accent2 2 3 2" xfId="357" xr:uid="{A9E457CE-E606-46C1-BAD6-9F04036F9737}"/>
    <cellStyle name="20% - Accent2 2 3 2 2" xfId="525" xr:uid="{37A61EF5-9CF6-4CF5-A478-9053958EF6DD}"/>
    <cellStyle name="20% - Accent2 2 3 3" xfId="462" xr:uid="{9C712771-9205-463F-8A2A-699C5A2B56F6}"/>
    <cellStyle name="20% - Accent2 2 4" xfId="312" xr:uid="{A2CC103D-9803-49B7-AFE1-C11F6B1DCEA6}"/>
    <cellStyle name="20% - Accent2 2 4 2" xfId="483" xr:uid="{AF9F4BBE-D758-41BA-9BB3-BD9F7D4CB478}"/>
    <cellStyle name="20% - Accent2 2 5" xfId="422" xr:uid="{848DBB74-DB0A-4D71-9107-A5404B5A64B1}"/>
    <cellStyle name="20% - Accent2 3" xfId="178" xr:uid="{6C171EA5-10E1-4380-B85D-BD9AB947C93B}"/>
    <cellStyle name="20% - Accent2 3 2" xfId="325" xr:uid="{8D668A50-5F39-4645-A90D-54BF2D4958AE}"/>
    <cellStyle name="20% - Accent2 3 2 2" xfId="493" xr:uid="{F89209B8-F09F-4A5F-8810-130D5C2CC010}"/>
    <cellStyle name="20% - Accent2 3 3" xfId="430" xr:uid="{0D7049A8-EE28-4F58-84DB-63A1443CAB48}"/>
    <cellStyle name="20% - Accent2 4" xfId="253" xr:uid="{237A4AE0-05DB-4BBC-9FC6-21F8CB9985F9}"/>
    <cellStyle name="20% - Accent2 5" xfId="300" xr:uid="{C5ABCD5F-0592-416F-9073-4C31AB0B7D76}"/>
    <cellStyle name="20% - Accent2 5 2" xfId="472" xr:uid="{5AF29854-C227-4929-99B2-BE93300556DC}"/>
    <cellStyle name="20% - Accent2 6" xfId="404" xr:uid="{3D0D8644-B29F-4FCE-929C-B25E3956A311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2 2 2" xfId="494" xr:uid="{974536C2-58F3-406D-8748-6FDC6543620C}"/>
    <cellStyle name="20% - Accent3 2 2 3" xfId="431" xr:uid="{255DC329-D995-4A83-8073-1CF63816F071}"/>
    <cellStyle name="20% - Accent3 2 3" xfId="245" xr:uid="{2125FD0B-95F0-4249-A4C0-85785EC5E189}"/>
    <cellStyle name="20% - Accent3 2 3 2" xfId="358" xr:uid="{A7994EDF-6D4F-4DD2-AA80-E7ECD9EC5D2A}"/>
    <cellStyle name="20% - Accent3 2 3 2 2" xfId="526" xr:uid="{0F7AD21D-71FA-4094-835A-B89F5E41ACA8}"/>
    <cellStyle name="20% - Accent3 2 3 3" xfId="463" xr:uid="{7F2ACC1A-47E5-4F38-BD04-F43018463B0E}"/>
    <cellStyle name="20% - Accent3 2 4" xfId="313" xr:uid="{A392E008-3993-4913-9A74-2289F3F558F7}"/>
    <cellStyle name="20% - Accent3 2 4 2" xfId="484" xr:uid="{0F207972-337D-49E2-B0F0-7D42B6694A27}"/>
    <cellStyle name="20% - Accent3 2 5" xfId="421" xr:uid="{5D3063C4-DBB5-4EC4-882C-73CF8DBE8321}"/>
    <cellStyle name="20% - Accent3 3" xfId="180" xr:uid="{AE82C847-78D6-4B97-8441-AA51646614B2}"/>
    <cellStyle name="20% - Accent3 3 2" xfId="327" xr:uid="{E4842C73-CF9A-46A7-A8D4-C720BAFECC2A}"/>
    <cellStyle name="20% - Accent3 3 2 2" xfId="495" xr:uid="{410357B9-A7B2-4AA2-8A86-4A1D809C069C}"/>
    <cellStyle name="20% - Accent3 3 3" xfId="432" xr:uid="{841DAC20-742F-4203-A047-B4AF5C721A19}"/>
    <cellStyle name="20% - Accent3 4" xfId="254" xr:uid="{40569062-D533-4274-94AE-C7B495BBBAF4}"/>
    <cellStyle name="20% - Accent3 5" xfId="302" xr:uid="{75FC9417-6D6F-4BEC-BBB5-1652C952A4F2}"/>
    <cellStyle name="20% - Accent3 5 2" xfId="474" xr:uid="{534E3502-C93C-417F-940C-C2C89106AE30}"/>
    <cellStyle name="20% - Accent3 6" xfId="407" xr:uid="{20C864A9-6ED5-41D6-AFE6-DD1317EFD3AD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2 2 2" xfId="496" xr:uid="{A2E3C7DB-32C1-4F50-9404-3F2890C20254}"/>
    <cellStyle name="20% - Accent4 2 2 3" xfId="433" xr:uid="{663B3809-24D4-4727-B390-B3B671049AAA}"/>
    <cellStyle name="20% - Accent4 2 3" xfId="246" xr:uid="{838D636A-4D49-422F-90B8-C14A3182ECA3}"/>
    <cellStyle name="20% - Accent4 2 3 2" xfId="359" xr:uid="{2D26635D-7002-48A3-80B5-01782ECEA560}"/>
    <cellStyle name="20% - Accent4 2 3 2 2" xfId="527" xr:uid="{675D849B-113D-498E-8A44-84CE6FC31084}"/>
    <cellStyle name="20% - Accent4 2 3 3" xfId="464" xr:uid="{82DCE161-AF0A-4B71-AF06-7F6149BB8AFE}"/>
    <cellStyle name="20% - Accent4 2 4" xfId="314" xr:uid="{413645D3-3617-43F7-8ECE-552A73C745C5}"/>
    <cellStyle name="20% - Accent4 2 4 2" xfId="485" xr:uid="{19EC5665-1856-492B-938C-93B4E17C042C}"/>
    <cellStyle name="20% - Accent4 2 5" xfId="419" xr:uid="{298E3CDE-5ABB-46E6-867C-321CF30960B7}"/>
    <cellStyle name="20% - Accent4 3" xfId="182" xr:uid="{77FDE77B-07DD-4466-9C33-45F5E347F898}"/>
    <cellStyle name="20% - Accent4 3 2" xfId="329" xr:uid="{930BA819-24FD-4A10-BCCB-54EEAB1CF8E2}"/>
    <cellStyle name="20% - Accent4 3 2 2" xfId="497" xr:uid="{EECCE36F-6F8F-49E0-B34E-A2E5C651A49C}"/>
    <cellStyle name="20% - Accent4 3 3" xfId="434" xr:uid="{DD8EE5B2-022E-4B7C-B135-2C09592351A9}"/>
    <cellStyle name="20% - Accent4 4" xfId="255" xr:uid="{334DB917-1D99-4C5B-BA46-F86B4E671325}"/>
    <cellStyle name="20% - Accent4 5" xfId="304" xr:uid="{2A33F46A-D1F4-4B8C-A158-560DBF1B8215}"/>
    <cellStyle name="20% - Accent4 5 2" xfId="476" xr:uid="{ED228748-6482-488F-A1CD-7ADE1584E823}"/>
    <cellStyle name="20% - Accent4 6" xfId="410" xr:uid="{10EED916-9101-4C03-8B9C-7DD699553004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2 2 2" xfId="498" xr:uid="{1D86306B-9BD1-4AD3-A91D-DBCA215FE57E}"/>
    <cellStyle name="20% - Accent5 2 3" xfId="435" xr:uid="{26D81158-61C6-4E17-ABE6-C7E7EE14685D}"/>
    <cellStyle name="20% - Accent5 3" xfId="236" xr:uid="{40BC7363-BC63-477D-A10D-0F2E3F55AA99}"/>
    <cellStyle name="20% - Accent5 3 2" xfId="350" xr:uid="{8732B83C-2480-4354-8CF6-248EE2B9ADCC}"/>
    <cellStyle name="20% - Accent5 3 2 2" xfId="518" xr:uid="{BF1FB6F2-B7AD-4A61-AEBD-F79CDFCADB37}"/>
    <cellStyle name="20% - Accent5 3 3" xfId="455" xr:uid="{D51CB28A-3E2F-4687-AA42-F3F9E73DDA60}"/>
    <cellStyle name="20% - Accent5 4" xfId="256" xr:uid="{51945EF0-DD1C-4DB0-B69C-82333019E54F}"/>
    <cellStyle name="20% - Accent5 5" xfId="306" xr:uid="{546C1E55-CAAA-4E78-BCC7-72F62F6CC03E}"/>
    <cellStyle name="20% - Accent5 5 2" xfId="478" xr:uid="{712CC58B-8028-43EC-A508-FF491449446A}"/>
    <cellStyle name="20% - Accent5 6" xfId="413" xr:uid="{6D79C247-9518-45AF-B8B5-3D8A5CC7A6EA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2 2 2" xfId="499" xr:uid="{B507CBB1-E801-488B-BE6B-3C5CCD6AAAB1}"/>
    <cellStyle name="20% - Accent6 2 3" xfId="436" xr:uid="{8E75EACB-7CF0-4A6C-B29E-2412055A7AA1}"/>
    <cellStyle name="20% - Accent6 3" xfId="238" xr:uid="{7DBFE8B8-91F0-4793-ABE2-D608172D3176}"/>
    <cellStyle name="20% - Accent6 3 2" xfId="352" xr:uid="{A0B804D4-E275-4465-9F36-8E5FDA8D4B68}"/>
    <cellStyle name="20% - Accent6 3 2 2" xfId="520" xr:uid="{27938787-218C-40F0-BFD3-F2CBF3B4AED7}"/>
    <cellStyle name="20% - Accent6 3 3" xfId="457" xr:uid="{DF3B5D8D-1452-44A7-9BAD-C21E4DA6BC0E}"/>
    <cellStyle name="20% - Accent6 4" xfId="257" xr:uid="{B7EE85F8-3FF2-474C-BBAE-44ACD6D57C35}"/>
    <cellStyle name="20% - Accent6 5" xfId="308" xr:uid="{68BBBA63-83F4-44A7-B274-B556A530E939}"/>
    <cellStyle name="20% - Accent6 5 2" xfId="480" xr:uid="{556F5A4F-9322-4F2F-A94B-FFF7A6F4194C}"/>
    <cellStyle name="20% - Accent6 6" xfId="416" xr:uid="{CD78C615-BA09-4262-B0D1-6513B382AEBF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2 2 2" xfId="500" xr:uid="{A2668E37-3A59-4154-8598-FDE09FF46FA7}"/>
    <cellStyle name="40% - Accent1 2 3" xfId="437" xr:uid="{ACA7AA49-3B24-4A63-92BF-BEADF786DA90}"/>
    <cellStyle name="40% - Accent1 3" xfId="233" xr:uid="{8C33CEFE-CC5C-41A1-839B-2AAF91F0C1D8}"/>
    <cellStyle name="40% - Accent1 3 2" xfId="347" xr:uid="{5ED618F1-0BEC-46B3-A47C-4FA55A325B90}"/>
    <cellStyle name="40% - Accent1 3 2 2" xfId="515" xr:uid="{EA31D1C6-B7E1-4546-9187-37ACB8966965}"/>
    <cellStyle name="40% - Accent1 3 3" xfId="452" xr:uid="{C02B00A7-69E6-471A-948C-9631F7A9BABE}"/>
    <cellStyle name="40% - Accent1 4" xfId="258" xr:uid="{8B777513-D1B3-4C8B-8CE8-8107E98F2BC1}"/>
    <cellStyle name="40% - Accent1 5" xfId="299" xr:uid="{7827FBB3-A345-4F9A-88F9-27F0AB5A21E0}"/>
    <cellStyle name="40% - Accent1 5 2" xfId="471" xr:uid="{FA47CBD9-C864-44BE-8539-D2518BD2BE6D}"/>
    <cellStyle name="40% - Accent1 6" xfId="402" xr:uid="{5D5C0E05-40B6-4D0A-96A8-CD63C8EF6882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2 2 2" xfId="501" xr:uid="{134BF49D-03FA-4644-8742-FBC3E919AD11}"/>
    <cellStyle name="40% - Accent2 2 3" xfId="438" xr:uid="{B54C0DF4-ADC1-4C79-A6BC-21809FB91E04}"/>
    <cellStyle name="40% - Accent2 3" xfId="234" xr:uid="{B4CFA444-0118-42F0-9897-949B6223DBF9}"/>
    <cellStyle name="40% - Accent2 3 2" xfId="348" xr:uid="{F3A1CBFD-6F73-46AD-AB1A-D32E4FD21EA8}"/>
    <cellStyle name="40% - Accent2 3 2 2" xfId="516" xr:uid="{34D36D1A-AA18-492E-A9D4-E440FB67166D}"/>
    <cellStyle name="40% - Accent2 3 3" xfId="453" xr:uid="{C75D91F0-4DB5-47EE-BCD1-F36512805169}"/>
    <cellStyle name="40% - Accent2 4" xfId="259" xr:uid="{549F399D-1062-428D-9AC8-FBC8557D9F48}"/>
    <cellStyle name="40% - Accent2 5" xfId="301" xr:uid="{67B23B7D-1D29-42DA-970E-0A43CCBCC567}"/>
    <cellStyle name="40% - Accent2 5 2" xfId="473" xr:uid="{B47B0FFA-E90D-44B0-98FA-00CDA933A612}"/>
    <cellStyle name="40% - Accent2 6" xfId="405" xr:uid="{5D34ACBE-F302-4E08-9D42-4072FA9DFEE4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2 2 2" xfId="502" xr:uid="{D1BB7990-5024-4D6E-B487-7614F6EE4E2D}"/>
    <cellStyle name="40% - Accent3 2 2 3" xfId="439" xr:uid="{22D31CA8-2A99-4D12-9457-12A6399E0841}"/>
    <cellStyle name="40% - Accent3 2 3" xfId="247" xr:uid="{A2DEB99B-97E6-4EF4-9FD3-29FEFC420526}"/>
    <cellStyle name="40% - Accent3 2 3 2" xfId="360" xr:uid="{02EDD4DA-104B-4770-ABD1-B23BB75CFE57}"/>
    <cellStyle name="40% - Accent3 2 3 2 2" xfId="528" xr:uid="{FCDA4FA9-7A03-4527-9B4F-F0BDAB80F56E}"/>
    <cellStyle name="40% - Accent3 2 3 3" xfId="465" xr:uid="{B869BA9D-0467-4142-BA95-C65B205992B0}"/>
    <cellStyle name="40% - Accent3 2 4" xfId="315" xr:uid="{50109117-B1D7-416F-85D2-1905AC7D5D35}"/>
    <cellStyle name="40% - Accent3 2 4 2" xfId="486" xr:uid="{E24974DF-E6E0-4FAD-BE12-F71C6EA39334}"/>
    <cellStyle name="40% - Accent3 2 5" xfId="423" xr:uid="{8C88AD88-EB60-4EBD-BFBA-08EC71A5427B}"/>
    <cellStyle name="40% - Accent3 3" xfId="188" xr:uid="{9C3CF690-7980-4ECA-8F06-921AB199361D}"/>
    <cellStyle name="40% - Accent3 3 2" xfId="335" xr:uid="{CEBB930C-DF9D-4C47-895D-3C9ED9C9EAA8}"/>
    <cellStyle name="40% - Accent3 3 2 2" xfId="503" xr:uid="{723DD0FC-1199-4C0B-A8FD-26AE7C4C2845}"/>
    <cellStyle name="40% - Accent3 3 3" xfId="440" xr:uid="{694DC383-9302-4A9E-A529-E34152CD3D9E}"/>
    <cellStyle name="40% - Accent3 4" xfId="260" xr:uid="{80304610-2D8E-4B30-B34D-D8A71CE05920}"/>
    <cellStyle name="40% - Accent3 5" xfId="303" xr:uid="{199ED734-CD86-4C36-AE44-313B54D2560E}"/>
    <cellStyle name="40% - Accent3 5 2" xfId="475" xr:uid="{A95CEA32-6891-4C0B-8FC9-B8CD34F50A1A}"/>
    <cellStyle name="40% - Accent3 6" xfId="408" xr:uid="{AA9ACA67-A789-4509-86BA-E06168708FD7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2 2 2" xfId="504" xr:uid="{419B4880-AC33-4A18-9D16-C437D9355620}"/>
    <cellStyle name="40% - Accent4 2 3" xfId="441" xr:uid="{734B397A-E07F-4B1E-A87F-6616F55A196C}"/>
    <cellStyle name="40% - Accent4 3" xfId="235" xr:uid="{22417DB5-E2A1-4D00-B201-B53B427D4D20}"/>
    <cellStyle name="40% - Accent4 3 2" xfId="349" xr:uid="{9A1C5949-45A2-4555-9F6D-FB14F3F248CA}"/>
    <cellStyle name="40% - Accent4 3 2 2" xfId="517" xr:uid="{86AD1500-D519-419F-B985-ABF2E2E6CD4A}"/>
    <cellStyle name="40% - Accent4 3 3" xfId="454" xr:uid="{689F55CF-C46E-4450-949C-6B32D1B70890}"/>
    <cellStyle name="40% - Accent4 4" xfId="261" xr:uid="{4C8A0805-8AA3-4DB1-98CB-F31F9359EDB0}"/>
    <cellStyle name="40% - Accent4 5" xfId="305" xr:uid="{4B251191-154A-40E7-A5B0-F5FE257BE24F}"/>
    <cellStyle name="40% - Accent4 5 2" xfId="477" xr:uid="{7E0DE6E3-190C-4D5A-8400-6676FEFD221F}"/>
    <cellStyle name="40% - Accent4 6" xfId="411" xr:uid="{9A5F11E6-C9A7-46F9-875F-BC9D7A769A54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2 2 2" xfId="505" xr:uid="{9AAC9F53-C97D-478F-B7D7-02A5D1E231AC}"/>
    <cellStyle name="40% - Accent5 2 3" xfId="442" xr:uid="{3BE0039B-35BF-4E73-939E-345C6EAD9816}"/>
    <cellStyle name="40% - Accent5 3" xfId="237" xr:uid="{F38E99A5-6F6D-4DC6-BAEE-A13B30749A74}"/>
    <cellStyle name="40% - Accent5 3 2" xfId="351" xr:uid="{48002B42-4D23-4F44-847A-76BC1AF48B43}"/>
    <cellStyle name="40% - Accent5 3 2 2" xfId="519" xr:uid="{4BBD9FB1-52AC-46EB-8C7C-E901BAFBDAE0}"/>
    <cellStyle name="40% - Accent5 3 3" xfId="456" xr:uid="{D48993EB-0E55-4564-9646-4EF5B22237C6}"/>
    <cellStyle name="40% - Accent5 4" xfId="262" xr:uid="{B47CD729-C3F7-4D30-A7E7-18FCFB9384B7}"/>
    <cellStyle name="40% - Accent5 5" xfId="307" xr:uid="{BF2053DF-5B31-4B9D-B385-CCAD6C7690C1}"/>
    <cellStyle name="40% - Accent5 5 2" xfId="479" xr:uid="{12131CFC-75DD-406A-A90C-0AD48ABB8B72}"/>
    <cellStyle name="40% - Accent5 6" xfId="414" xr:uid="{838CB0CC-32D0-461F-9816-82A8EA384AC7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2 2 2" xfId="506" xr:uid="{AEE881A5-7AE9-4997-8146-3A1F10772217}"/>
    <cellStyle name="40% - Accent6 2 3" xfId="443" xr:uid="{B83BC04A-B5C9-4765-A660-781554A145B5}"/>
    <cellStyle name="40% - Accent6 3" xfId="239" xr:uid="{88061550-1FA6-4BD2-B11A-00A693901AF5}"/>
    <cellStyle name="40% - Accent6 3 2" xfId="353" xr:uid="{152B9510-68A0-49D7-8915-5D25E0B9BF37}"/>
    <cellStyle name="40% - Accent6 3 2 2" xfId="521" xr:uid="{461E0B48-C29C-4895-9E49-6F6F1737C64A}"/>
    <cellStyle name="40% - Accent6 3 3" xfId="458" xr:uid="{37D4E867-A15B-4049-84CB-30D6653A51FB}"/>
    <cellStyle name="40% - Accent6 4" xfId="263" xr:uid="{10120615-3E3F-4139-B9C5-3692E7333EF1}"/>
    <cellStyle name="40% - Accent6 5" xfId="309" xr:uid="{85E09836-C196-48D4-9646-6C568398DFDF}"/>
    <cellStyle name="40% - Accent6 5 2" xfId="481" xr:uid="{51932311-F302-4AF0-AFEC-F1C0623F1CDC}"/>
    <cellStyle name="40% - Accent6 6" xfId="417" xr:uid="{CE7C6004-06A6-4B1B-ACF7-816AA42E73FD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1 4" xfId="403" xr:uid="{5DBE0589-4232-49F5-812C-A4F6BCED3BA9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2 4" xfId="406" xr:uid="{F5627EDE-E682-465D-9D1F-D118CD6EDB28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3 6" xfId="409" xr:uid="{46637A8A-4297-41E6-BAF1-E773C745165F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4 6" xfId="412" xr:uid="{BDB8699B-ADBD-4521-8A34-3395B894A8FE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5 4" xfId="415" xr:uid="{97FF358C-2EF0-4DCA-902C-BB48F5929612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60% - Accent6 6" xfId="418" xr:uid="{6C0963F7-3A1A-49F5-82FE-CE0AAB94BDF1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alculation 2 5" xfId="532" xr:uid="{80EA1E4E-0792-49F2-8CDD-9DB3675CA249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2 2" xfId="523" xr:uid="{20382AEF-507A-41FE-9713-7F3F7110F229}"/>
    <cellStyle name="Comma 19 3" xfId="241" xr:uid="{09364125-AA71-40DB-B3C6-6BFD41F7464D}"/>
    <cellStyle name="Comma 19 4" xfId="460" xr:uid="{F477A857-0E92-4671-A252-023A41BF204C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2 2" xfId="507" xr:uid="{7C3DBD12-55CE-40A6-AD91-611EF5C5F577}"/>
    <cellStyle name="Comma 2 2 3" xfId="203" xr:uid="{89AB8884-F733-449C-AE7A-12097AC2A627}"/>
    <cellStyle name="Comma 2 2 4" xfId="444" xr:uid="{19E12DBB-EE46-452D-A498-55B0BA630A9F}"/>
    <cellStyle name="Comma 2 3" xfId="248" xr:uid="{BA8E939A-B93A-4154-91FB-F6AF914A8C02}"/>
    <cellStyle name="Comma 2 3 2" xfId="361" xr:uid="{F1ED8589-0281-46E3-B46B-177F35A05B8D}"/>
    <cellStyle name="Comma 2 3 2 2" xfId="529" xr:uid="{0720A1B0-B8AD-4E61-9CD3-67FA6FCB3A19}"/>
    <cellStyle name="Comma 2 3 3" xfId="466" xr:uid="{D5CA8969-DBCC-4942-9628-E03149169FB4}"/>
    <cellStyle name="Comma 2 4" xfId="279" xr:uid="{3681BAD9-AD19-4234-B953-6B890ACD5432}"/>
    <cellStyle name="Comma 2 5" xfId="316" xr:uid="{0C178AA8-28C5-4254-B134-FAA54793A4FC}"/>
    <cellStyle name="Comma 2 5 2" xfId="487" xr:uid="{B421F866-52F5-4586-B278-AC21FC31A6A7}"/>
    <cellStyle name="Comma 2 6" xfId="154" xr:uid="{F70197A6-DA58-43B6-943A-AD1DCB6219F8}"/>
    <cellStyle name="Comma 2 7" xfId="424" xr:uid="{CA0AA54C-3DF2-4BD1-9698-E680398BF580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24" xfId="396" xr:uid="{26B9BC8F-EA4D-45D6-87B4-E2BC305C933A}"/>
    <cellStyle name="Comma 25" xfId="399" xr:uid="{25E08F24-082F-4A87-82B8-BD9544518156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2 3" xfId="508" xr:uid="{CA4946FD-60E0-4280-840F-EDC47B5BFBC3}"/>
    <cellStyle name="Comma 4 3" xfId="204" xr:uid="{64B597EF-614B-48C9-9308-DFFB65FAF003}"/>
    <cellStyle name="Comma 4 4" xfId="445" xr:uid="{DA87397E-E44E-4267-8654-6BC7340240A9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Input 2 5" xfId="533" xr:uid="{089FDFEE-2E79-4391-A2E9-EFE50EEF453F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 6" xfId="393" xr:uid="{24853276-A8DC-41DC-AE66-C1617FEF48B5}"/>
    <cellStyle name="Normal 11 20" xfId="378" xr:uid="{C0BDACBF-3619-4FBE-8B6C-5F7DC0F97B12}"/>
    <cellStyle name="Normal 11 21" xfId="387" xr:uid="{74D9CBF0-B598-4AD2-B871-13389B41360D}"/>
    <cellStyle name="Normal 11 22" xfId="392" xr:uid="{1F3CAAB4-69E5-46FB-B133-84649FEA4BD8}"/>
    <cellStyle name="Normal 11 23" xfId="538" xr:uid="{758BDC14-02AB-4456-9C5D-DE87D645DC19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2 5" xfId="391" xr:uid="{6A4C59DC-FAE5-430A-928C-82D960659C28}"/>
    <cellStyle name="Normal 11 6 3 3" xfId="385" xr:uid="{22F6C968-E729-4542-A5F8-49C2B25E9079}"/>
    <cellStyle name="Normal 11 6 3 4" xfId="540" xr:uid="{71B0D753-DA45-4763-9654-BF009FB9A7EC}"/>
    <cellStyle name="Normal 11 6 4" xfId="46" xr:uid="{8BEB9B88-2ECA-4F90-BDBA-C56B823B5754}"/>
    <cellStyle name="Normal 11 6 4 2" xfId="382" xr:uid="{E35375AA-E205-4716-B41F-9DAAC86A63D1}"/>
    <cellStyle name="Normal 11 6 4 2 2" xfId="390" xr:uid="{B2EA22BC-704B-49CA-ACF5-33AA469B7774}"/>
    <cellStyle name="Normal 11 6 4 3" xfId="384" xr:uid="{2CD41167-0A76-4530-B037-E4CBB634296A}"/>
    <cellStyle name="Normal 11 6 4 4" xfId="389" xr:uid="{7BB3A74E-95FF-4A27-B824-3C3753CE7DF9}"/>
    <cellStyle name="Normal 11 6 4 5" xfId="539" xr:uid="{AAFF4551-8E6A-430B-A687-9C4F18162987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1 9 2" xfId="394" xr:uid="{07A513BC-77EF-480F-AC79-ABF1EE013C34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8 2 2" xfId="513" xr:uid="{3204510C-1F56-4554-B8F8-4E408B4775BA}"/>
    <cellStyle name="Normal 18 3" xfId="450" xr:uid="{0A31AA5F-164E-4594-AE34-7D996B785216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0 2" xfId="469" xr:uid="{CECAC5B7-563F-4937-99A1-2C86E434C1DA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24" xfId="397" xr:uid="{9E817E53-3D19-43D1-8674-DC0BA6F4F565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2 2 2" xfId="509" xr:uid="{07B0E387-4C54-4313-94CC-7440F183E9FB}"/>
    <cellStyle name="Normal 6 2 3" xfId="446" xr:uid="{1BE2B0A0-C1D6-474D-A6F1-71485FCF5C32}"/>
    <cellStyle name="Normal 6 3" xfId="250" xr:uid="{946EAB2F-3003-438D-AECA-E36A970A2718}"/>
    <cellStyle name="Normal 6 3 2" xfId="362" xr:uid="{12BACF06-EA48-4382-91FB-563037CC3A6F}"/>
    <cellStyle name="Normal 6 3 2 2" xfId="530" xr:uid="{CB892455-AC46-4A8E-9402-A820140506A7}"/>
    <cellStyle name="Normal 6 3 3" xfId="467" xr:uid="{42FEE5EB-A9D9-4285-A8C9-AAED5BBFD307}"/>
    <cellStyle name="Normal 6 4" xfId="289" xr:uid="{0EC8BBF7-2579-442B-B652-39916CBF4B7C}"/>
    <cellStyle name="Normal 6 5" xfId="317" xr:uid="{2E522AAE-3A43-4D85-9BC9-D75DF67CA993}"/>
    <cellStyle name="Normal 6 5 2" xfId="488" xr:uid="{538C26A6-2F02-4606-9B8B-664A1F5ADA0C}"/>
    <cellStyle name="Normal 6 6" xfId="169" xr:uid="{808CEDD4-B41F-4D2C-982F-C9996D1BAA59}"/>
    <cellStyle name="Normal 6 7" xfId="425" xr:uid="{9615BE54-4CBE-4916-AB95-691C065DCB5C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2 3" xfId="510" xr:uid="{32A30A07-1A4B-467F-8E16-4E192EDE4574}"/>
    <cellStyle name="Normal 9 3" xfId="215" xr:uid="{6F223409-C652-4E49-AD52-D3363DDC15E9}"/>
    <cellStyle name="Normal 9 4" xfId="447" xr:uid="{463FAE72-5C43-4756-845D-1BCA8D9EF04E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2 2 2" xfId="511" xr:uid="{7A438C1B-4F76-4A9B-9E10-D8E721394356}"/>
    <cellStyle name="Note 2 2 3" xfId="448" xr:uid="{F0C7965A-A9A6-4729-AE4F-E6B95123599A}"/>
    <cellStyle name="Note 2 3" xfId="251" xr:uid="{FD29B074-0975-4C84-B020-F6AFF1851528}"/>
    <cellStyle name="Note 2 3 2" xfId="363" xr:uid="{50FF0CC4-B61A-4B7C-A7A5-65EFC15AC715}"/>
    <cellStyle name="Note 2 3 2 2" xfId="531" xr:uid="{650DE1C0-D70A-4440-88AC-4EFAD5A2CE21}"/>
    <cellStyle name="Note 2 3 3" xfId="468" xr:uid="{02971889-FFED-466D-99FF-DF1210F3BF73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4 5" xfId="535" xr:uid="{EA6AC9D5-3811-477F-B153-E26EA137DE61}"/>
    <cellStyle name="Note 2 5" xfId="318" xr:uid="{B3F27023-4B65-487D-85FA-119154F7A601}"/>
    <cellStyle name="Note 2 5 2" xfId="489" xr:uid="{BDFF026C-22A7-4B40-B2D0-0A45C4939EFE}"/>
    <cellStyle name="Note 2 6" xfId="426" xr:uid="{57CD975C-CBA2-43FD-8B00-BF6155D01DCB}"/>
    <cellStyle name="Note 3" xfId="217" xr:uid="{A7C0021F-FA46-4B96-89A8-7F34D94EC6D7}"/>
    <cellStyle name="Note 3 2" xfId="344" xr:uid="{C8A3A4EC-5754-4556-B45B-E9F0EB3392A3}"/>
    <cellStyle name="Note 3 2 2" xfId="512" xr:uid="{2AF03C31-DCBA-48A0-8DCC-65215EB5B118}"/>
    <cellStyle name="Note 3 3" xfId="449" xr:uid="{CE7A78AD-10EA-4619-A3B2-CE8D4035EA71}"/>
    <cellStyle name="Note 4" xfId="232" xr:uid="{674244FC-6EC5-411F-89FA-4B0E9038DE2A}"/>
    <cellStyle name="Note 4 2" xfId="346" xr:uid="{476131BE-25DB-416D-A65E-21EF7F48DC69}"/>
    <cellStyle name="Note 4 2 2" xfId="514" xr:uid="{C1EB9865-7604-4A48-BEDC-554B4890F689}"/>
    <cellStyle name="Note 4 3" xfId="451" xr:uid="{1D673770-0746-449A-A0A5-B38D3D2F2DF2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5 5" xfId="534" xr:uid="{4F047C22-9170-4F33-93B2-2242B8DF5BE0}"/>
    <cellStyle name="Note 6" xfId="143" xr:uid="{76A629B7-C611-430C-B43D-08A666E8CF1D}"/>
    <cellStyle name="Note 7" xfId="400" xr:uid="{6D65B6CE-61EF-45DD-BCDA-5D6653CCCB50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Output 2 5" xfId="536" xr:uid="{0E638A27-1413-4B7C-9386-0C099ECE9030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2 2 2" xfId="522" xr:uid="{F6493DB8-E085-49B5-90A8-552B63B8E6B1}"/>
    <cellStyle name="Percent 12 3" xfId="459" xr:uid="{86259A49-0CFD-4911-95F0-A96FA8BD0AD2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17" xfId="395" xr:uid="{DFECE782-C944-4E99-AF4B-F8CE5889D79D}"/>
    <cellStyle name="Percent 18" xfId="398" xr:uid="{5BB29555-DD0A-4490-B063-F3A79C7F0D2B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Total 2 5" xfId="537" xr:uid="{A90B6C78-34DA-4288-9E9C-310C6FDEB6C8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FFF00"/>
      <color rgb="FF0E2841"/>
      <color rgb="FFCAEDFB"/>
      <color rgb="FFB3A2C7"/>
      <color rgb="FFA991D5"/>
      <color rgb="FF9429FF"/>
      <color rgb="FF0000FF"/>
      <color rgb="FF00B050"/>
      <color rgb="FFFFCC66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Domestic use and imports of canola oil</a:t>
            </a:r>
            <a:endParaRPr lang="en-US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170112828198E-3"/>
          <c:y val="1.57238389762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6566466618635018E-2"/>
          <c:y val="0.21187972826926046"/>
          <c:w val="0.90429192326314889"/>
          <c:h val="0.430502311932612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Biofuel use</c:v>
                </c:pt>
              </c:strCache>
            </c:strRef>
          </c:tx>
          <c:spPr>
            <a:effectLst/>
          </c:spPr>
          <c:invertIfNegative val="0"/>
          <c:cat>
            <c:numRef>
              <c:f>'Figure 1'!$A$2:$A$18</c:f>
              <c:numCache>
                <c:formatCode>m/d/yyyy</c:formatCode>
                <c:ptCount val="17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  <c:pt idx="13">
                  <c:v>45597</c:v>
                </c:pt>
                <c:pt idx="14">
                  <c:v>45627</c:v>
                </c:pt>
                <c:pt idx="15">
                  <c:v>45658</c:v>
                </c:pt>
                <c:pt idx="16">
                  <c:v>45689</c:v>
                </c:pt>
              </c:numCache>
            </c:numRef>
          </c:cat>
          <c:val>
            <c:numRef>
              <c:f>'Figure 1'!$B$2:$B$18</c:f>
              <c:numCache>
                <c:formatCode>_(* #,##0_);_(* \(#,##0\);_(* "-"??_);_(@_)</c:formatCode>
                <c:ptCount val="17"/>
                <c:pt idx="0">
                  <c:v>285.58499999999998</c:v>
                </c:pt>
                <c:pt idx="1">
                  <c:v>291.03399999999999</c:v>
                </c:pt>
                <c:pt idx="2">
                  <c:v>343.26499999999999</c:v>
                </c:pt>
                <c:pt idx="3">
                  <c:v>376.209</c:v>
                </c:pt>
                <c:pt idx="4">
                  <c:v>296.27300000000002</c:v>
                </c:pt>
                <c:pt idx="5">
                  <c:v>325.76883856009903</c:v>
                </c:pt>
                <c:pt idx="6">
                  <c:v>360.59799999999899</c:v>
                </c:pt>
                <c:pt idx="7">
                  <c:v>397.09800000000001</c:v>
                </c:pt>
                <c:pt idx="8">
                  <c:v>386.01971469880004</c:v>
                </c:pt>
                <c:pt idx="9">
                  <c:v>545.69499999999994</c:v>
                </c:pt>
                <c:pt idx="10">
                  <c:v>439.95800000000003</c:v>
                </c:pt>
                <c:pt idx="11">
                  <c:v>289.39400000000001</c:v>
                </c:pt>
                <c:pt idx="12">
                  <c:v>453.93000000000006</c:v>
                </c:pt>
                <c:pt idx="13">
                  <c:v>410.09699999999998</c:v>
                </c:pt>
                <c:pt idx="14">
                  <c:v>524.08900000000006</c:v>
                </c:pt>
                <c:pt idx="15">
                  <c:v>192.60624313210002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D4-41BC-9AE9-F90F271C7912}"/>
            </c:ext>
          </c:extLst>
        </c:ser>
        <c:ser>
          <c:idx val="1"/>
          <c:order val="2"/>
          <c:tx>
            <c:strRef>
              <c:f>'Figure 1'!$C$1</c:f>
              <c:strCache>
                <c:ptCount val="1"/>
                <c:pt idx="0">
                  <c:v>Food and other use</c:v>
                </c:pt>
              </c:strCache>
            </c:strRef>
          </c:tx>
          <c:invertIfNegative val="0"/>
          <c:val>
            <c:numRef>
              <c:f>'Figure 1'!$C$2:$C$17</c:f>
              <c:numCache>
                <c:formatCode>_(* #,##0_);_(* \(#,##0\);_(* "-"??_);_(@_)</c:formatCode>
                <c:ptCount val="16"/>
                <c:pt idx="0">
                  <c:v>479.607389475194</c:v>
                </c:pt>
                <c:pt idx="1">
                  <c:v>393.27605421242981</c:v>
                </c:pt>
                <c:pt idx="2">
                  <c:v>387.38659135639398</c:v>
                </c:pt>
                <c:pt idx="3">
                  <c:v>325.24523106996008</c:v>
                </c:pt>
                <c:pt idx="4">
                  <c:v>458.43690162562791</c:v>
                </c:pt>
                <c:pt idx="5">
                  <c:v>575.04492797388889</c:v>
                </c:pt>
                <c:pt idx="6">
                  <c:v>466.00356670448497</c:v>
                </c:pt>
                <c:pt idx="7">
                  <c:v>359.08798756029802</c:v>
                </c:pt>
                <c:pt idx="8">
                  <c:v>262.75035128619993</c:v>
                </c:pt>
                <c:pt idx="9">
                  <c:v>334.63198508274172</c:v>
                </c:pt>
                <c:pt idx="10">
                  <c:v>300.25477443764993</c:v>
                </c:pt>
                <c:pt idx="11">
                  <c:v>380.41985573253783</c:v>
                </c:pt>
                <c:pt idx="12">
                  <c:v>391.91786503621393</c:v>
                </c:pt>
                <c:pt idx="13">
                  <c:v>391.95051090735001</c:v>
                </c:pt>
                <c:pt idx="14">
                  <c:v>369.12389903693384</c:v>
                </c:pt>
                <c:pt idx="15">
                  <c:v>371.83156888487196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D4-41BC-9AE9-F90F271C7912}"/>
            </c:ext>
          </c:extLst>
        </c:ser>
        <c:ser>
          <c:idx val="2"/>
          <c:order val="3"/>
          <c:tx>
            <c:strRef>
              <c:f>'Figure 1'!$E$1</c:f>
              <c:strCache>
                <c:ptCount val="1"/>
                <c:pt idx="0">
                  <c:v>Total domestic use</c:v>
                </c:pt>
              </c:strCache>
            </c:strRef>
          </c:tx>
          <c:invertIfNegative val="0"/>
          <c:val>
            <c:numRef>
              <c:f>'Figure 1'!$E$2:$E$18</c:f>
              <c:numCache>
                <c:formatCode>General</c:formatCode>
                <c:ptCount val="17"/>
                <c:pt idx="16" formatCode="0">
                  <c:v>418.74369343737402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D-4112-B15D-92BABCBB2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455439"/>
        <c:axId val="1284457935"/>
      </c:barChart>
      <c:lineChart>
        <c:grouping val="standard"/>
        <c:varyColors val="0"/>
        <c:ser>
          <c:idx val="3"/>
          <c:order val="1"/>
          <c:tx>
            <c:strRef>
              <c:f>'Figure 1'!$D$1</c:f>
              <c:strCache>
                <c:ptCount val="1"/>
                <c:pt idx="0">
                  <c:v>Imports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marker>
            <c:symbol val="none"/>
          </c:marker>
          <c:cat>
            <c:numRef>
              <c:f>'Figure 1'!$A$2:$A$18</c:f>
              <c:numCache>
                <c:formatCode>m/d/yyyy</c:formatCode>
                <c:ptCount val="17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  <c:pt idx="13">
                  <c:v>45597</c:v>
                </c:pt>
                <c:pt idx="14">
                  <c:v>45627</c:v>
                </c:pt>
                <c:pt idx="15">
                  <c:v>45658</c:v>
                </c:pt>
                <c:pt idx="16">
                  <c:v>45689</c:v>
                </c:pt>
              </c:numCache>
            </c:numRef>
          </c:cat>
          <c:val>
            <c:numRef>
              <c:f>'Figure 1'!$D$2:$D$18</c:f>
              <c:numCache>
                <c:formatCode>0</c:formatCode>
                <c:ptCount val="17"/>
                <c:pt idx="0">
                  <c:v>615.56701177722994</c:v>
                </c:pt>
                <c:pt idx="1">
                  <c:v>541.81378711001196</c:v>
                </c:pt>
                <c:pt idx="2">
                  <c:v>615.06060996141593</c:v>
                </c:pt>
                <c:pt idx="3">
                  <c:v>520.24023199973999</c:v>
                </c:pt>
                <c:pt idx="4">
                  <c:v>602.92283966474395</c:v>
                </c:pt>
                <c:pt idx="5">
                  <c:v>741.71000653707995</c:v>
                </c:pt>
                <c:pt idx="6">
                  <c:v>672.71016870084395</c:v>
                </c:pt>
                <c:pt idx="7">
                  <c:v>653.21160440051597</c:v>
                </c:pt>
                <c:pt idx="8">
                  <c:v>497.20038238490588</c:v>
                </c:pt>
                <c:pt idx="9">
                  <c:v>693.78393586316179</c:v>
                </c:pt>
                <c:pt idx="10">
                  <c:v>578.75841205144798</c:v>
                </c:pt>
                <c:pt idx="11">
                  <c:v>518.48314777159987</c:v>
                </c:pt>
                <c:pt idx="12">
                  <c:v>682.9662935913459</c:v>
                </c:pt>
                <c:pt idx="13">
                  <c:v>653.27046782446996</c:v>
                </c:pt>
                <c:pt idx="14">
                  <c:v>721.0767229742379</c:v>
                </c:pt>
                <c:pt idx="15">
                  <c:v>444.86683016908393</c:v>
                </c:pt>
                <c:pt idx="16">
                  <c:v>313.58552146879993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1BC-9AE9-F90F271C7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455439"/>
        <c:axId val="1284457935"/>
      </c:lineChart>
      <c:date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3669904197262333"/>
              <c:y val="0.78043830267319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.\ 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Offset val="100"/>
        <c:baseTimeUnit val="months"/>
      </c:date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0.14821367917245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976529688662131"/>
          <c:y val="0.1315893095692115"/>
          <c:w val="0.73846395810298182"/>
          <c:h val="5.0948805453883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planted acres by region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138848651500325E-2"/>
          <c:y val="2.39431280026902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63925975186486E-2"/>
          <c:y val="0.2234434535167843"/>
          <c:w val="0.92204893986483927"/>
          <c:h val="0.465072701532179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2'!$B$1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49F-4155-B1CD-9F1530B264E3}"/>
              </c:ext>
            </c:extLst>
          </c:dPt>
          <c:cat>
            <c:strRef>
              <c:f>'Figure 2'!$A$2:$A$7</c:f>
              <c:strCache>
                <c:ptCount val="6"/>
                <c:pt idx="0">
                  <c:v>Eastern Corn Belt</c:v>
                </c:pt>
                <c:pt idx="1">
                  <c:v>Western Corn Belt</c:v>
                </c:pt>
                <c:pt idx="2">
                  <c:v>Northern Plains</c:v>
                </c:pt>
                <c:pt idx="3">
                  <c:v>Central Plains</c:v>
                </c:pt>
                <c:pt idx="4">
                  <c:v>Delta</c:v>
                </c:pt>
                <c:pt idx="5">
                  <c:v>Other States</c:v>
                </c:pt>
              </c:strCache>
            </c:strRef>
          </c:cat>
          <c:val>
            <c:numRef>
              <c:f>'Figure 2'!$B$2:$B$7</c:f>
              <c:numCache>
                <c:formatCode>0.00</c:formatCode>
                <c:ptCount val="6"/>
                <c:pt idx="0">
                  <c:v>26</c:v>
                </c:pt>
                <c:pt idx="1">
                  <c:v>23.35</c:v>
                </c:pt>
                <c:pt idx="2">
                  <c:v>12.05</c:v>
                </c:pt>
                <c:pt idx="3">
                  <c:v>9.83</c:v>
                </c:pt>
                <c:pt idx="4">
                  <c:v>6.45</c:v>
                </c:pt>
                <c:pt idx="5">
                  <c:v>9.3699999999999903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7-412D-A83C-48516088FAA9}"/>
            </c:ext>
          </c:extLst>
        </c:ser>
        <c:ser>
          <c:idx val="0"/>
          <c:order val="1"/>
          <c:tx>
            <c:strRef>
              <c:f>'Figure 2'!$C$1</c:f>
              <c:strCache>
                <c:ptCount val="1"/>
                <c:pt idx="0">
                  <c:v>2025/26*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2'!$A$2:$A$7</c:f>
              <c:strCache>
                <c:ptCount val="6"/>
                <c:pt idx="0">
                  <c:v>Eastern Corn Belt</c:v>
                </c:pt>
                <c:pt idx="1">
                  <c:v>Western Corn Belt</c:v>
                </c:pt>
                <c:pt idx="2">
                  <c:v>Northern Plains</c:v>
                </c:pt>
                <c:pt idx="3">
                  <c:v>Central Plains</c:v>
                </c:pt>
                <c:pt idx="4">
                  <c:v>Delta</c:v>
                </c:pt>
                <c:pt idx="5">
                  <c:v>Other States</c:v>
                </c:pt>
              </c:strCache>
            </c:strRef>
          </c:cat>
          <c:val>
            <c:numRef>
              <c:f>'Figure 2'!$C$2:$C$7</c:f>
              <c:numCache>
                <c:formatCode>0.00</c:formatCode>
                <c:ptCount val="6"/>
                <c:pt idx="0">
                  <c:v>25.35</c:v>
                </c:pt>
                <c:pt idx="1">
                  <c:v>22.3</c:v>
                </c:pt>
                <c:pt idx="2">
                  <c:v>11.3</c:v>
                </c:pt>
                <c:pt idx="3">
                  <c:v>9.3000000000000007</c:v>
                </c:pt>
                <c:pt idx="4">
                  <c:v>6.3</c:v>
                </c:pt>
                <c:pt idx="5">
                  <c:v>8.9450000000000074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7-412D-A83C-48516088F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catAx>
        <c:axId val="128445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acres</a:t>
                </a:r>
                <a:endParaRPr lang="en-US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724501773879277E-2"/>
              <c:y val="0.1499843018685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524217150590102"/>
          <c:y val="0.14814407156471995"/>
          <c:w val="0.19181421223275186"/>
          <c:h val="9.7544057517649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 minor oilseeds planted acres 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138848651500325E-2"/>
          <c:y val="2.39431280026902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297873097861304E-2"/>
          <c:y val="0.2234434535167843"/>
          <c:w val="0.92381502398236937"/>
          <c:h val="0.536278888050418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3'!$B$1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'Figure 3'!$B$2:$B$5</c:f>
              <c:numCache>
                <c:formatCode>General</c:formatCode>
                <c:ptCount val="4"/>
                <c:pt idx="0">
                  <c:v>2.3445</c:v>
                </c:pt>
                <c:pt idx="1">
                  <c:v>1.3149999999999999</c:v>
                </c:pt>
                <c:pt idx="2">
                  <c:v>0.17799999999999999</c:v>
                </c:pt>
                <c:pt idx="3">
                  <c:v>1.645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3-4E80-89D9-144F3D6FFEB0}"/>
            </c:ext>
          </c:extLst>
        </c:ser>
        <c:ser>
          <c:idx val="2"/>
          <c:order val="1"/>
          <c:tx>
            <c:strRef>
              <c:f>'Figure 3'!$C$1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BF-4A1C-A829-26CAE26C3592}"/>
              </c:ext>
            </c:extLst>
          </c:dPt>
          <c:cat>
            <c:strRef>
              <c:f>'Figure 3'!$A$2:$A$5</c:f>
              <c:strCache>
                <c:ptCount val="4"/>
                <c:pt idx="0">
                  <c:v>Canola</c:v>
                </c:pt>
                <c:pt idx="1">
                  <c:v>Sunflowerseed</c:v>
                </c:pt>
                <c:pt idx="2">
                  <c:v>Flax</c:v>
                </c:pt>
                <c:pt idx="3">
                  <c:v>Peanut</c:v>
                </c:pt>
              </c:strCache>
            </c:strRef>
          </c:cat>
          <c:val>
            <c:numRef>
              <c:f>'Figure 3'!$C$2:$C$5</c:f>
              <c:numCache>
                <c:formatCode>0.00</c:formatCode>
                <c:ptCount val="4"/>
                <c:pt idx="0" formatCode="General">
                  <c:v>2.7515000000000001</c:v>
                </c:pt>
                <c:pt idx="1">
                  <c:v>0.7208</c:v>
                </c:pt>
                <c:pt idx="2">
                  <c:v>0.14799999999999999</c:v>
                </c:pt>
                <c:pt idx="3">
                  <c:v>1.8009999999999999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E-490E-A403-BA88728BE1F3}"/>
            </c:ext>
          </c:extLst>
        </c:ser>
        <c:ser>
          <c:idx val="0"/>
          <c:order val="2"/>
          <c:tx>
            <c:strRef>
              <c:f>'Figure 3'!$D$1</c:f>
              <c:strCache>
                <c:ptCount val="1"/>
                <c:pt idx="0">
                  <c:v>2025/26*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'Figure 3'!$A$2:$A$5</c:f>
              <c:strCache>
                <c:ptCount val="4"/>
                <c:pt idx="0">
                  <c:v>Canola</c:v>
                </c:pt>
                <c:pt idx="1">
                  <c:v>Sunflowerseed</c:v>
                </c:pt>
                <c:pt idx="2">
                  <c:v>Flax</c:v>
                </c:pt>
                <c:pt idx="3">
                  <c:v>Peanut</c:v>
                </c:pt>
              </c:strCache>
            </c:strRef>
          </c:cat>
          <c:val>
            <c:numRef>
              <c:f>'Figure 3'!$D$2:$D$5</c:f>
              <c:numCache>
                <c:formatCode>0.00</c:formatCode>
                <c:ptCount val="4"/>
                <c:pt idx="0" formatCode="General">
                  <c:v>2.5659999999999998</c:v>
                </c:pt>
                <c:pt idx="1">
                  <c:v>1.0725</c:v>
                </c:pt>
                <c:pt idx="2">
                  <c:v>0.185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0E-490E-A403-BA88728BE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catAx>
        <c:axId val="128445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acres</a:t>
                </a:r>
                <a:endParaRPr lang="en-US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724501773879277E-2"/>
              <c:y val="0.1499843018685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988419599961952"/>
          <c:y val="0.11382428970202695"/>
          <c:w val="0.32409609684789636"/>
          <c:h val="0.14244768945650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algn="l">
              <a:defRPr sz="1050" b="1"/>
            </a:pPr>
            <a:r>
              <a:rPr lang="en-US" sz="1000" b="1" i="0" u="none" strike="noStrike" baseline="0">
                <a:effectLst/>
              </a:rPr>
              <a:t>Global oilseed crush</a:t>
            </a:r>
            <a:endParaRPr lang="en-US" sz="1000" b="1"/>
          </a:p>
        </c:rich>
      </c:tx>
      <c:layout>
        <c:manualLayout>
          <c:xMode val="edge"/>
          <c:yMode val="edge"/>
          <c:x val="1.9959527658877656E-3"/>
          <c:y val="4.068547375633989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448049122658973E-2"/>
          <c:y val="0.18408590099502226"/>
          <c:w val="0.90944036402720718"/>
          <c:h val="0.49812776597149977"/>
        </c:manualLayout>
      </c:layout>
      <c:barChart>
        <c:barDir val="col"/>
        <c:grouping val="stacked"/>
        <c:varyColors val="0"/>
        <c:ser>
          <c:idx val="0"/>
          <c:order val="0"/>
          <c:tx>
            <c:v>Soybean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March*</c:v>
                </c:pt>
                <c:pt idx="9">
                  <c:v>2024/25 April*</c:v>
                </c:pt>
              </c:strCache>
            </c:strRef>
          </c:cat>
          <c:val>
            <c:numRef>
              <c:f>'Figure 4'!$F$2:$F$11</c:f>
              <c:numCache>
                <c:formatCode>0.0</c:formatCode>
                <c:ptCount val="10"/>
                <c:pt idx="0">
                  <c:v>288.38299999999998</c:v>
                </c:pt>
                <c:pt idx="1">
                  <c:v>295.65100000000001</c:v>
                </c:pt>
                <c:pt idx="2">
                  <c:v>299.12599999999998</c:v>
                </c:pt>
                <c:pt idx="3">
                  <c:v>312.71100000000001</c:v>
                </c:pt>
                <c:pt idx="4">
                  <c:v>318.19</c:v>
                </c:pt>
                <c:pt idx="5">
                  <c:v>316.73599999999999</c:v>
                </c:pt>
                <c:pt idx="6">
                  <c:v>315.60399999999998</c:v>
                </c:pt>
                <c:pt idx="7">
                  <c:v>330.77800000000002</c:v>
                </c:pt>
                <c:pt idx="8">
                  <c:v>352.83499999999998</c:v>
                </c:pt>
                <c:pt idx="9">
                  <c:v>354.83499999999998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4-4514-A73F-529D7C50E0E6}"/>
            </c:ext>
          </c:extLst>
        </c:ser>
        <c:ser>
          <c:idx val="1"/>
          <c:order val="1"/>
          <c:tx>
            <c:v>Rapeseed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March*</c:v>
                </c:pt>
                <c:pt idx="9">
                  <c:v>2024/25 April*</c:v>
                </c:pt>
              </c:strCache>
            </c:strRef>
          </c:cat>
          <c:val>
            <c:numRef>
              <c:f>'Figure 4'!$E$2:$E$11</c:f>
              <c:numCache>
                <c:formatCode>0.0</c:formatCode>
                <c:ptCount val="10"/>
                <c:pt idx="0">
                  <c:v>67.935000000000002</c:v>
                </c:pt>
                <c:pt idx="1">
                  <c:v>68.915000000000006</c:v>
                </c:pt>
                <c:pt idx="2">
                  <c:v>68.728999999999999</c:v>
                </c:pt>
                <c:pt idx="3">
                  <c:v>69.090999999999994</c:v>
                </c:pt>
                <c:pt idx="4">
                  <c:v>72.106999999999999</c:v>
                </c:pt>
                <c:pt idx="5">
                  <c:v>72.061999999999998</c:v>
                </c:pt>
                <c:pt idx="6">
                  <c:v>82.106999999999999</c:v>
                </c:pt>
                <c:pt idx="7">
                  <c:v>84.662999999999997</c:v>
                </c:pt>
                <c:pt idx="8">
                  <c:v>83.215000000000003</c:v>
                </c:pt>
                <c:pt idx="9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4-4514-A73F-529D7C50E0E6}"/>
            </c:ext>
          </c:extLst>
        </c:ser>
        <c:ser>
          <c:idx val="2"/>
          <c:order val="2"/>
          <c:tx>
            <c:v>Sunflowerseed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March*</c:v>
                </c:pt>
                <c:pt idx="9">
                  <c:v>2024/25 April*</c:v>
                </c:pt>
              </c:strCache>
            </c:strRef>
          </c:cat>
          <c:val>
            <c:numRef>
              <c:f>'Figure 4'!$G$2:$G$11</c:f>
              <c:numCache>
                <c:formatCode>0.0</c:formatCode>
                <c:ptCount val="10"/>
                <c:pt idx="0">
                  <c:v>43.328000000000003</c:v>
                </c:pt>
                <c:pt idx="1">
                  <c:v>44.14</c:v>
                </c:pt>
                <c:pt idx="2">
                  <c:v>46.485999999999997</c:v>
                </c:pt>
                <c:pt idx="3">
                  <c:v>49.465000000000003</c:v>
                </c:pt>
                <c:pt idx="4">
                  <c:v>45.048999999999999</c:v>
                </c:pt>
                <c:pt idx="5">
                  <c:v>46.692</c:v>
                </c:pt>
                <c:pt idx="6">
                  <c:v>51.36</c:v>
                </c:pt>
                <c:pt idx="7">
                  <c:v>52.256999999999998</c:v>
                </c:pt>
                <c:pt idx="8">
                  <c:v>48.439</c:v>
                </c:pt>
                <c:pt idx="9">
                  <c:v>48.273000000000003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B4-4514-A73F-529D7C50E0E6}"/>
            </c:ext>
          </c:extLst>
        </c:ser>
        <c:ser>
          <c:idx val="4"/>
          <c:order val="3"/>
          <c:tx>
            <c:v>Cottonseed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March*</c:v>
                </c:pt>
                <c:pt idx="9">
                  <c:v>2024/25 April*</c:v>
                </c:pt>
              </c:strCache>
            </c:strRef>
          </c:cat>
          <c:val>
            <c:numRef>
              <c:f>'Figure 4'!$H$2:$H$11</c:f>
              <c:numCache>
                <c:formatCode>0.0</c:formatCode>
                <c:ptCount val="10"/>
                <c:pt idx="0">
                  <c:v>28.675999999999998</c:v>
                </c:pt>
                <c:pt idx="1">
                  <c:v>30.922999999999998</c:v>
                </c:pt>
                <c:pt idx="2">
                  <c:v>29.474</c:v>
                </c:pt>
                <c:pt idx="3">
                  <c:v>31.254999999999999</c:v>
                </c:pt>
                <c:pt idx="4">
                  <c:v>30.140999999999998</c:v>
                </c:pt>
                <c:pt idx="5">
                  <c:v>29.983000000000001</c:v>
                </c:pt>
                <c:pt idx="6">
                  <c:v>30.286000000000001</c:v>
                </c:pt>
                <c:pt idx="7">
                  <c:v>31.518000000000001</c:v>
                </c:pt>
                <c:pt idx="8">
                  <c:v>32.917000000000002</c:v>
                </c:pt>
                <c:pt idx="9">
                  <c:v>31.53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B4-4514-A73F-529D7C50E0E6}"/>
            </c:ext>
          </c:extLst>
        </c:ser>
        <c:ser>
          <c:idx val="3"/>
          <c:order val="4"/>
          <c:tx>
            <c:v>Other seeds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March*</c:v>
                </c:pt>
                <c:pt idx="9">
                  <c:v>2024/25 April*</c:v>
                </c:pt>
              </c:strCache>
            </c:strRef>
          </c:cat>
          <c:val>
            <c:numRef>
              <c:f>'Figure 4'!$I$2:$I$11</c:f>
              <c:numCache>
                <c:formatCode>0</c:formatCode>
                <c:ptCount val="10"/>
                <c:pt idx="0">
                  <c:v>40.170999999999999</c:v>
                </c:pt>
                <c:pt idx="1">
                  <c:v>42.569999999999993</c:v>
                </c:pt>
                <c:pt idx="2">
                  <c:v>43.522000000000006</c:v>
                </c:pt>
                <c:pt idx="3">
                  <c:v>44.260999999999996</c:v>
                </c:pt>
                <c:pt idx="4">
                  <c:v>44.472999999999999</c:v>
                </c:pt>
                <c:pt idx="5">
                  <c:v>44.5</c:v>
                </c:pt>
                <c:pt idx="6">
                  <c:v>44.804000000000002</c:v>
                </c:pt>
                <c:pt idx="7">
                  <c:v>44.164999999999999</c:v>
                </c:pt>
                <c:pt idx="8">
                  <c:v>45.667000000000002</c:v>
                </c:pt>
                <c:pt idx="9">
                  <c:v>45.379000000000005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B4-4514-A73F-529D7C50E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8144236277"/>
              <c:y val="0.81489939715914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6375043236191E-3"/>
              <c:y val="0.11043230610159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t"/>
      <c:layout>
        <c:manualLayout>
          <c:xMode val="edge"/>
          <c:yMode val="edge"/>
          <c:x val="0.23762113221864004"/>
          <c:y val="0.11151307135559103"/>
          <c:w val="0.69287747328690574"/>
          <c:h val="4.826609580733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546734</xdr:colOff>
      <xdr:row>0</xdr:row>
      <xdr:rowOff>55244</xdr:rowOff>
    </xdr:from>
    <xdr:to>
      <xdr:col>15</xdr:col>
      <xdr:colOff>344805</xdr:colOff>
      <xdr:row>24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DE20BB-1237-ABB5-6F89-876D81328A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0.86331</cdr:y>
    </cdr:from>
    <cdr:to>
      <cdr:x>1</cdr:x>
      <cdr:y>0.9901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429001"/>
          <a:ext cx="5305426" cy="503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Department of Energy, Energy Information Administration (EIA)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Biofuels Capacity and Feedstocks Update,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U.S. Department of Commerce, Bureau of the Census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105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31199</xdr:colOff>
      <xdr:row>0</xdr:row>
      <xdr:rowOff>0</xdr:rowOff>
    </xdr:from>
    <xdr:to>
      <xdr:col>16</xdr:col>
      <xdr:colOff>119729</xdr:colOff>
      <xdr:row>24</xdr:row>
      <xdr:rowOff>95341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23E24096-73C2-4C29-B049-E73C5C8AC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0.80156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488268"/>
          <a:ext cx="7150098" cy="863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Eastern Corn Belt = Illinois, Indiana, Ohio, Michigan, and Wisconsin. Western Corn Belt = Iowa, Minnesota, and Missouri. Central Plains = Kansas and Nebraska. Northern Plains = North Dakota and South Dakota.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Delta = Arkansas, Louisiana, and Mississippi. Other States = Alabama, Delaware, Georgia, Kentucky, Maryland, New Jersey, New York, North Carolina, Oklahoma, Pennsylvania, South Carolina, Tennessee, Texas, and Virginia.</a:t>
          </a:r>
          <a:endParaRPr lang="en-US" sz="8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March 1 planting intentions.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USDA, National Agricultural Statistics Service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Quickstats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21674</xdr:colOff>
      <xdr:row>0</xdr:row>
      <xdr:rowOff>0</xdr:rowOff>
    </xdr:from>
    <xdr:to>
      <xdr:col>17</xdr:col>
      <xdr:colOff>125444</xdr:colOff>
      <xdr:row>22</xdr:row>
      <xdr:rowOff>93436</xdr:rowOff>
    </xdr:to>
    <xdr:graphicFrame macro="">
      <xdr:nvGraphicFramePr>
        <xdr:cNvPr id="24" name="Chart 4">
          <a:extLst>
            <a:ext uri="{FF2B5EF4-FFF2-40B4-BE49-F238E27FC236}">
              <a16:creationId xmlns:a16="http://schemas.microsoft.com/office/drawing/2014/main" id="{4206F7F9-96C1-4D56-8752-A4441329F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0.87178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420717"/>
          <a:ext cx="7191116" cy="503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March 1 planting intentions.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USDA, National Agricultural Statistics Service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Quickstats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247651</xdr:colOff>
      <xdr:row>0</xdr:row>
      <xdr:rowOff>0</xdr:rowOff>
    </xdr:from>
    <xdr:to>
      <xdr:col>19</xdr:col>
      <xdr:colOff>38100</xdr:colOff>
      <xdr:row>25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DC9F06-FA57-4372-94CC-C845CFC2D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0.84632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24275"/>
          <a:ext cx="6073139" cy="64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Other oilseeds include copra, palm kernel, and peanuts. </a:t>
          </a: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April 2025.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/>
  </sheetViews>
  <sheetFormatPr defaultColWidth="9.5546875" defaultRowHeight="13.8"/>
  <cols>
    <col min="1" max="1" width="166.6640625" style="12" customWidth="1"/>
    <col min="2" max="16384" width="9.5546875" style="1"/>
  </cols>
  <sheetData>
    <row r="1" spans="1:3">
      <c r="B1" s="82"/>
      <c r="C1" s="82"/>
    </row>
    <row r="2" spans="1:3" s="2" customFormat="1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82"/>
    </row>
    <row r="5" spans="1:3">
      <c r="A5" s="10" t="s">
        <v>2</v>
      </c>
      <c r="B5" s="4"/>
      <c r="C5" s="82"/>
    </row>
    <row r="6" spans="1:3">
      <c r="A6" s="10" t="s">
        <v>3</v>
      </c>
      <c r="B6" s="4"/>
      <c r="C6" s="82"/>
    </row>
    <row r="7" spans="1:3">
      <c r="A7" s="10" t="s">
        <v>4</v>
      </c>
      <c r="B7" s="4"/>
      <c r="C7" s="82"/>
    </row>
    <row r="8" spans="1:3">
      <c r="A8" s="10" t="s">
        <v>5</v>
      </c>
      <c r="B8" s="4"/>
      <c r="C8" s="82"/>
    </row>
    <row r="9" spans="1:3">
      <c r="A9" s="10" t="s">
        <v>6</v>
      </c>
      <c r="B9" s="4"/>
      <c r="C9" s="82"/>
    </row>
    <row r="10" spans="1:3">
      <c r="A10" s="10" t="s">
        <v>7</v>
      </c>
      <c r="B10" s="4"/>
      <c r="C10" s="82"/>
    </row>
    <row r="11" spans="1:3">
      <c r="A11" s="10" t="s">
        <v>8</v>
      </c>
      <c r="B11" s="4"/>
      <c r="C11" s="82"/>
    </row>
    <row r="12" spans="1:3">
      <c r="A12" s="10" t="s">
        <v>9</v>
      </c>
      <c r="B12" s="4"/>
      <c r="C12" s="82"/>
    </row>
    <row r="13" spans="1:3">
      <c r="A13" s="10" t="s">
        <v>10</v>
      </c>
      <c r="B13" s="4"/>
      <c r="C13" s="82"/>
    </row>
    <row r="14" spans="1:3">
      <c r="A14" s="11" t="s">
        <v>11</v>
      </c>
      <c r="B14" s="4"/>
      <c r="C14" s="82"/>
    </row>
    <row r="15" spans="1:3">
      <c r="A15" s="11" t="s">
        <v>12</v>
      </c>
      <c r="B15" s="82"/>
      <c r="C15" s="82"/>
    </row>
    <row r="16" spans="1:3" ht="13.2">
      <c r="A16" s="82"/>
      <c r="B16" s="82"/>
      <c r="C16" s="82"/>
    </row>
    <row r="17" spans="1:3">
      <c r="A17" s="7" t="s">
        <v>13</v>
      </c>
      <c r="B17" s="82"/>
      <c r="C17" s="82"/>
    </row>
    <row r="18" spans="1:3">
      <c r="A18" s="9">
        <v>45761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6AAE-FC90-4A90-9C18-871011FB3B71}">
  <dimension ref="A1:M39"/>
  <sheetViews>
    <sheetView zoomScale="115" zoomScaleNormal="115" workbookViewId="0"/>
  </sheetViews>
  <sheetFormatPr defaultColWidth="9.109375" defaultRowHeight="13.8"/>
  <cols>
    <col min="1" max="1" width="17.6640625" style="163" bestFit="1" customWidth="1"/>
    <col min="2" max="4" width="12.44140625" style="180" customWidth="1"/>
    <col min="5" max="5" width="10.44140625" style="163" bestFit="1" customWidth="1"/>
    <col min="6" max="6" width="10.5546875" style="163" bestFit="1" customWidth="1"/>
    <col min="7" max="7" width="9.109375" style="163"/>
    <col min="8" max="8" width="10.109375" style="163" bestFit="1" customWidth="1"/>
    <col min="9" max="16384" width="9.109375" style="163"/>
  </cols>
  <sheetData>
    <row r="1" spans="1:4" ht="13.95" customHeight="1" thickBot="1">
      <c r="A1" s="162" t="s">
        <v>160</v>
      </c>
      <c r="B1" s="175" t="s">
        <v>158</v>
      </c>
      <c r="C1" s="175" t="s">
        <v>168</v>
      </c>
      <c r="D1" s="175" t="s">
        <v>161</v>
      </c>
    </row>
    <row r="2" spans="1:4">
      <c r="A2" s="164" t="s">
        <v>162</v>
      </c>
      <c r="B2" s="176">
        <v>26</v>
      </c>
      <c r="C2" s="177">
        <v>25.35</v>
      </c>
      <c r="D2" s="176">
        <f>C2-B2</f>
        <v>-0.64999999999999858</v>
      </c>
    </row>
    <row r="3" spans="1:4">
      <c r="A3" s="164" t="s">
        <v>163</v>
      </c>
      <c r="B3" s="176">
        <v>23.35</v>
      </c>
      <c r="C3" s="177">
        <v>22.3</v>
      </c>
      <c r="D3" s="176">
        <f t="shared" ref="D3:D7" si="0">C3-B3</f>
        <v>-1.0500000000000007</v>
      </c>
    </row>
    <row r="4" spans="1:4">
      <c r="A4" s="164" t="s">
        <v>164</v>
      </c>
      <c r="B4" s="176">
        <v>12.05</v>
      </c>
      <c r="C4" s="177">
        <v>11.3</v>
      </c>
      <c r="D4" s="176">
        <f t="shared" si="0"/>
        <v>-0.75</v>
      </c>
    </row>
    <row r="5" spans="1:4">
      <c r="A5" s="164" t="s">
        <v>165</v>
      </c>
      <c r="B5" s="176">
        <v>9.83</v>
      </c>
      <c r="C5" s="177">
        <v>9.3000000000000007</v>
      </c>
      <c r="D5" s="176">
        <f t="shared" si="0"/>
        <v>-0.52999999999999936</v>
      </c>
    </row>
    <row r="6" spans="1:4">
      <c r="A6" s="164" t="s">
        <v>166</v>
      </c>
      <c r="B6" s="176">
        <v>6.45</v>
      </c>
      <c r="C6" s="177">
        <v>6.3</v>
      </c>
      <c r="D6" s="176">
        <f t="shared" si="0"/>
        <v>-0.15000000000000036</v>
      </c>
    </row>
    <row r="7" spans="1:4">
      <c r="A7" s="164" t="s">
        <v>167</v>
      </c>
      <c r="B7" s="176">
        <v>9.3699999999999903</v>
      </c>
      <c r="C7" s="177">
        <v>8.9450000000000074</v>
      </c>
      <c r="D7" s="176">
        <f t="shared" si="0"/>
        <v>-0.42499999999998295</v>
      </c>
    </row>
    <row r="8" spans="1:4">
      <c r="A8" s="173" t="s">
        <v>169</v>
      </c>
      <c r="B8" s="178">
        <f>SUM(B2:B7)</f>
        <v>87.05</v>
      </c>
      <c r="C8" s="178">
        <f>SUM(C2:C7)</f>
        <v>83.495000000000005</v>
      </c>
      <c r="D8" s="178">
        <f>SUM(D2:D7)</f>
        <v>-3.554999999999982</v>
      </c>
    </row>
    <row r="9" spans="1:4">
      <c r="A9" s="168"/>
      <c r="B9" s="179"/>
      <c r="C9" s="179"/>
      <c r="D9" s="179"/>
    </row>
    <row r="10" spans="1:4">
      <c r="A10" s="168"/>
      <c r="B10" s="179"/>
      <c r="C10" s="179"/>
      <c r="D10" s="179"/>
    </row>
    <row r="11" spans="1:4" ht="10.95" customHeight="1">
      <c r="A11" s="168"/>
      <c r="B11" s="179"/>
      <c r="C11" s="179"/>
      <c r="D11" s="179"/>
    </row>
    <row r="12" spans="1:4">
      <c r="A12" s="168"/>
      <c r="B12" s="176"/>
      <c r="C12" s="176"/>
      <c r="D12" s="179"/>
    </row>
    <row r="13" spans="1:4">
      <c r="A13" s="168"/>
      <c r="B13" s="179"/>
      <c r="C13" s="179"/>
      <c r="D13" s="179"/>
    </row>
    <row r="14" spans="1:4">
      <c r="A14" s="168"/>
      <c r="B14" s="179"/>
      <c r="C14" s="179"/>
      <c r="D14" s="179"/>
    </row>
    <row r="15" spans="1:4">
      <c r="A15" s="168"/>
      <c r="B15" s="179"/>
    </row>
    <row r="16" spans="1:4">
      <c r="A16" s="168"/>
      <c r="B16" s="179"/>
    </row>
    <row r="17" spans="1:4">
      <c r="A17" s="168"/>
      <c r="B17" s="181"/>
    </row>
    <row r="18" spans="1:4">
      <c r="A18" s="168"/>
      <c r="B18" s="181"/>
    </row>
    <row r="19" spans="1:4">
      <c r="A19" s="170"/>
      <c r="B19" s="182"/>
      <c r="D19" s="182"/>
    </row>
    <row r="35" spans="2:13" ht="15.6">
      <c r="B35" s="183"/>
      <c r="C35" s="183"/>
      <c r="D35" s="183"/>
      <c r="E35" s="171"/>
      <c r="F35" s="171"/>
      <c r="H35" s="171"/>
      <c r="I35" s="171"/>
      <c r="J35" s="171"/>
      <c r="K35" s="171"/>
      <c r="L35" s="171"/>
      <c r="M35" s="171"/>
    </row>
    <row r="36" spans="2:13" ht="15.6">
      <c r="B36" s="183"/>
      <c r="C36" s="183"/>
      <c r="D36" s="183"/>
      <c r="E36" s="171"/>
      <c r="F36" s="171"/>
      <c r="H36" s="171"/>
      <c r="I36" s="171"/>
      <c r="J36" s="171"/>
      <c r="K36" s="171"/>
      <c r="L36" s="171"/>
      <c r="M36" s="171"/>
    </row>
    <row r="37" spans="2:13" ht="15.6">
      <c r="B37" s="183"/>
      <c r="C37" s="183"/>
      <c r="D37" s="183"/>
      <c r="E37" s="171"/>
      <c r="F37" s="171"/>
      <c r="H37" s="171"/>
      <c r="I37" s="171"/>
      <c r="J37" s="171"/>
      <c r="K37" s="171"/>
      <c r="L37" s="171"/>
      <c r="M37" s="171"/>
    </row>
    <row r="39" spans="2:13">
      <c r="B39" s="184"/>
      <c r="C39" s="184"/>
      <c r="D39" s="184"/>
      <c r="E39" s="172"/>
      <c r="F39" s="172"/>
      <c r="H39" s="172"/>
      <c r="I39" s="172"/>
      <c r="J39" s="172"/>
      <c r="K39" s="172"/>
      <c r="L39" s="172"/>
      <c r="M39" s="17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1803-EEAE-46BE-A1F0-F322A698A1E9}">
  <dimension ref="A1:N37"/>
  <sheetViews>
    <sheetView zoomScale="115" zoomScaleNormal="115" workbookViewId="0"/>
  </sheetViews>
  <sheetFormatPr defaultColWidth="9.109375" defaultRowHeight="13.8"/>
  <cols>
    <col min="1" max="1" width="17.6640625" style="163" bestFit="1" customWidth="1"/>
    <col min="2" max="3" width="12.109375" style="163" customWidth="1"/>
    <col min="4" max="4" width="13.88671875" style="163" customWidth="1"/>
    <col min="5" max="5" width="14.88671875" style="163" customWidth="1"/>
    <col min="6" max="6" width="10.44140625" style="163" bestFit="1" customWidth="1"/>
    <col min="7" max="7" width="10.5546875" style="163" bestFit="1" customWidth="1"/>
    <col min="8" max="8" width="9.109375" style="163"/>
    <col min="9" max="9" width="10.109375" style="163" bestFit="1" customWidth="1"/>
    <col min="10" max="16384" width="9.109375" style="163"/>
  </cols>
  <sheetData>
    <row r="1" spans="1:6" ht="13.95" customHeight="1" thickBot="1">
      <c r="A1" s="162" t="s">
        <v>180</v>
      </c>
      <c r="B1" s="175" t="s">
        <v>53</v>
      </c>
      <c r="C1" s="175" t="s">
        <v>158</v>
      </c>
      <c r="D1" s="175" t="s">
        <v>168</v>
      </c>
      <c r="E1" s="175" t="s">
        <v>161</v>
      </c>
    </row>
    <row r="2" spans="1:6">
      <c r="A2" s="164" t="s">
        <v>129</v>
      </c>
      <c r="B2" s="163">
        <v>2.3445</v>
      </c>
      <c r="C2" s="163">
        <v>2.7515000000000001</v>
      </c>
      <c r="D2" s="163">
        <v>2.5659999999999998</v>
      </c>
      <c r="E2" s="167">
        <f>D2-C2</f>
        <v>-0.18550000000000022</v>
      </c>
    </row>
    <row r="3" spans="1:6">
      <c r="A3" s="164" t="s">
        <v>170</v>
      </c>
      <c r="B3" s="164">
        <v>1.3149999999999999</v>
      </c>
      <c r="C3" s="165">
        <v>0.7208</v>
      </c>
      <c r="D3" s="166">
        <v>1.0725</v>
      </c>
      <c r="E3" s="167">
        <f t="shared" ref="E3:E5" si="0">D3-C3</f>
        <v>0.35170000000000001</v>
      </c>
    </row>
    <row r="4" spans="1:6">
      <c r="A4" s="164" t="s">
        <v>171</v>
      </c>
      <c r="B4" s="164">
        <v>0.17799999999999999</v>
      </c>
      <c r="C4" s="165">
        <v>0.14799999999999999</v>
      </c>
      <c r="D4" s="166">
        <v>0.185</v>
      </c>
      <c r="E4" s="167">
        <f>D4-C4</f>
        <v>3.7000000000000005E-2</v>
      </c>
      <c r="F4" s="227"/>
    </row>
    <row r="5" spans="1:6">
      <c r="A5" s="164" t="s">
        <v>172</v>
      </c>
      <c r="B5" s="164">
        <v>1.645</v>
      </c>
      <c r="C5" s="165">
        <v>1.8009999999999999</v>
      </c>
      <c r="D5" s="166">
        <v>1.95</v>
      </c>
      <c r="E5" s="167">
        <f t="shared" si="0"/>
        <v>0.14900000000000002</v>
      </c>
    </row>
    <row r="6" spans="1:6">
      <c r="A6" s="173" t="s">
        <v>169</v>
      </c>
      <c r="B6" s="174">
        <f>SUM(B2:B5)</f>
        <v>5.4824999999999999</v>
      </c>
      <c r="C6" s="174">
        <f>SUM(C2:C5)</f>
        <v>5.4213000000000005</v>
      </c>
      <c r="D6" s="174">
        <f>SUM(D2:D5)</f>
        <v>5.7734999999999994</v>
      </c>
      <c r="E6" s="174">
        <f>SUM(E2:E5)</f>
        <v>0.35219999999999985</v>
      </c>
    </row>
    <row r="7" spans="1:6">
      <c r="A7" s="168"/>
      <c r="B7" s="168"/>
      <c r="C7" s="164"/>
      <c r="D7" s="164"/>
      <c r="E7" s="164"/>
    </row>
    <row r="8" spans="1:6">
      <c r="A8" s="168"/>
      <c r="B8" s="168"/>
      <c r="C8" s="164"/>
      <c r="D8" s="164"/>
      <c r="E8" s="164"/>
    </row>
    <row r="9" spans="1:6">
      <c r="A9" s="168"/>
      <c r="B9" s="168"/>
      <c r="C9" s="164"/>
      <c r="D9" s="164"/>
      <c r="E9" s="164"/>
    </row>
    <row r="10" spans="1:6">
      <c r="A10" s="168"/>
      <c r="B10" s="168"/>
      <c r="C10" s="165"/>
      <c r="D10" s="165"/>
      <c r="E10" s="164"/>
    </row>
    <row r="11" spans="1:6">
      <c r="A11" s="168"/>
      <c r="B11" s="168"/>
      <c r="C11" s="164"/>
      <c r="D11" s="164"/>
      <c r="E11" s="164"/>
    </row>
    <row r="12" spans="1:6">
      <c r="A12" s="168"/>
      <c r="B12" s="168"/>
      <c r="C12" s="164"/>
      <c r="D12" s="164"/>
      <c r="E12" s="164"/>
    </row>
    <row r="13" spans="1:6">
      <c r="A13" s="168"/>
      <c r="B13" s="168"/>
      <c r="C13" s="164"/>
      <c r="D13" s="169"/>
      <c r="E13" s="169"/>
    </row>
    <row r="14" spans="1:6">
      <c r="A14" s="168"/>
      <c r="B14" s="168"/>
      <c r="C14" s="164"/>
      <c r="D14" s="169"/>
      <c r="E14" s="169"/>
    </row>
    <row r="15" spans="1:6">
      <c r="A15" s="168"/>
      <c r="B15" s="168"/>
      <c r="C15" s="168"/>
      <c r="D15" s="169"/>
      <c r="E15" s="169"/>
    </row>
    <row r="16" spans="1:6">
      <c r="A16" s="168"/>
      <c r="B16" s="168"/>
      <c r="C16" s="168"/>
      <c r="D16" s="169"/>
      <c r="E16" s="169"/>
    </row>
    <row r="17" spans="1:5">
      <c r="A17" s="170"/>
      <c r="B17" s="170"/>
      <c r="C17" s="170"/>
      <c r="E17" s="170"/>
    </row>
    <row r="33" spans="3:14" ht="15.6">
      <c r="C33" s="171"/>
      <c r="D33" s="171"/>
      <c r="E33" s="171"/>
      <c r="F33" s="171"/>
      <c r="G33" s="171"/>
      <c r="I33" s="171"/>
      <c r="J33" s="171"/>
      <c r="K33" s="171"/>
      <c r="L33" s="171"/>
      <c r="M33" s="171"/>
      <c r="N33" s="171"/>
    </row>
    <row r="34" spans="3:14" ht="15.6">
      <c r="C34" s="171"/>
      <c r="D34" s="171"/>
      <c r="E34" s="171"/>
      <c r="F34" s="171"/>
      <c r="G34" s="171"/>
      <c r="I34" s="171"/>
      <c r="J34" s="171"/>
      <c r="K34" s="171"/>
      <c r="L34" s="171"/>
      <c r="M34" s="171"/>
      <c r="N34" s="171"/>
    </row>
    <row r="35" spans="3:14" ht="15.6">
      <c r="C35" s="171"/>
      <c r="D35" s="171"/>
      <c r="E35" s="171"/>
      <c r="F35" s="171"/>
      <c r="G35" s="171"/>
      <c r="I35" s="171"/>
      <c r="J35" s="171"/>
      <c r="K35" s="171"/>
      <c r="L35" s="171"/>
      <c r="M35" s="171"/>
      <c r="N35" s="171"/>
    </row>
    <row r="37" spans="3:14">
      <c r="C37" s="172"/>
      <c r="D37" s="172"/>
      <c r="E37" s="172"/>
      <c r="F37" s="172"/>
      <c r="G37" s="172"/>
      <c r="I37" s="172"/>
      <c r="J37" s="172"/>
      <c r="K37" s="172"/>
      <c r="L37" s="172"/>
      <c r="M37" s="172"/>
      <c r="N37" s="17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6A81-3CA7-4D26-9708-55215AD28AD0}">
  <dimension ref="A1:I15"/>
  <sheetViews>
    <sheetView workbookViewId="0"/>
  </sheetViews>
  <sheetFormatPr defaultColWidth="8.88671875" defaultRowHeight="13.2"/>
  <cols>
    <col min="1" max="1" width="15.33203125" style="155" customWidth="1"/>
    <col min="2" max="6" width="19.6640625" style="155" customWidth="1"/>
    <col min="7" max="7" width="20.6640625" style="155" customWidth="1"/>
    <col min="8" max="9" width="19.6640625" style="155" customWidth="1"/>
    <col min="10" max="10" width="12" style="155" customWidth="1"/>
    <col min="11" max="16384" width="8.88671875" style="155"/>
  </cols>
  <sheetData>
    <row r="1" spans="1:9">
      <c r="A1" s="154" t="s">
        <v>176</v>
      </c>
      <c r="B1" s="154" t="s">
        <v>184</v>
      </c>
      <c r="C1" s="154" t="s">
        <v>183</v>
      </c>
      <c r="D1" s="154" t="s">
        <v>172</v>
      </c>
      <c r="E1" s="154" t="s">
        <v>182</v>
      </c>
      <c r="F1" s="154" t="s">
        <v>181</v>
      </c>
      <c r="G1" s="154" t="s">
        <v>170</v>
      </c>
      <c r="H1" s="154" t="s">
        <v>127</v>
      </c>
      <c r="I1" s="154" t="s">
        <v>177</v>
      </c>
    </row>
    <row r="2" spans="1:9">
      <c r="A2" s="155" t="s">
        <v>116</v>
      </c>
      <c r="B2" s="190">
        <v>5.3840000000000003</v>
      </c>
      <c r="C2" s="190">
        <v>17.266999999999999</v>
      </c>
      <c r="D2" s="190">
        <v>17.52</v>
      </c>
      <c r="E2" s="190">
        <v>67.935000000000002</v>
      </c>
      <c r="F2" s="190">
        <v>288.38299999999998</v>
      </c>
      <c r="G2" s="190">
        <v>43.328000000000003</v>
      </c>
      <c r="H2" s="190">
        <v>28.675999999999998</v>
      </c>
      <c r="I2" s="186">
        <f>SUM(B2:D2)</f>
        <v>40.170999999999999</v>
      </c>
    </row>
    <row r="3" spans="1:9">
      <c r="A3" s="155" t="s">
        <v>117</v>
      </c>
      <c r="B3" s="190">
        <v>5.88</v>
      </c>
      <c r="C3" s="190">
        <v>18.652999999999999</v>
      </c>
      <c r="D3" s="190">
        <v>18.036999999999999</v>
      </c>
      <c r="E3" s="190">
        <v>68.915000000000006</v>
      </c>
      <c r="F3" s="190">
        <v>295.65100000000001</v>
      </c>
      <c r="G3" s="190">
        <v>44.14</v>
      </c>
      <c r="H3" s="190">
        <v>30.922999999999998</v>
      </c>
      <c r="I3" s="186">
        <f t="shared" ref="I3:I11" si="0">SUM(B3:D3)</f>
        <v>42.569999999999993</v>
      </c>
    </row>
    <row r="4" spans="1:9">
      <c r="A4" s="155" t="s">
        <v>118</v>
      </c>
      <c r="B4" s="190">
        <v>6.0270000000000001</v>
      </c>
      <c r="C4" s="190">
        <v>19.452000000000002</v>
      </c>
      <c r="D4" s="190">
        <v>18.042999999999999</v>
      </c>
      <c r="E4" s="190">
        <v>68.728999999999999</v>
      </c>
      <c r="F4" s="190">
        <v>299.12599999999998</v>
      </c>
      <c r="G4" s="190">
        <v>46.485999999999997</v>
      </c>
      <c r="H4" s="190">
        <v>29.474</v>
      </c>
      <c r="I4" s="186">
        <f t="shared" si="0"/>
        <v>43.522000000000006</v>
      </c>
    </row>
    <row r="5" spans="1:9">
      <c r="A5" s="155" t="s">
        <v>119</v>
      </c>
      <c r="B5" s="190">
        <v>5.7590000000000003</v>
      </c>
      <c r="C5" s="190">
        <v>19.402999999999999</v>
      </c>
      <c r="D5" s="190">
        <v>19.099</v>
      </c>
      <c r="E5" s="190">
        <v>69.090999999999994</v>
      </c>
      <c r="F5" s="190">
        <v>312.71100000000001</v>
      </c>
      <c r="G5" s="190">
        <v>49.465000000000003</v>
      </c>
      <c r="H5" s="190">
        <v>31.254999999999999</v>
      </c>
      <c r="I5" s="186">
        <f t="shared" si="0"/>
        <v>44.260999999999996</v>
      </c>
    </row>
    <row r="6" spans="1:9">
      <c r="A6" s="155" t="s">
        <v>120</v>
      </c>
      <c r="B6" s="190">
        <v>5.702</v>
      </c>
      <c r="C6" s="190">
        <v>19.087</v>
      </c>
      <c r="D6" s="190">
        <v>19.684000000000001</v>
      </c>
      <c r="E6" s="190">
        <v>72.106999999999999</v>
      </c>
      <c r="F6" s="190">
        <v>318.19</v>
      </c>
      <c r="G6" s="190">
        <v>45.048999999999999</v>
      </c>
      <c r="H6" s="190">
        <v>30.140999999999998</v>
      </c>
      <c r="I6" s="186">
        <f t="shared" si="0"/>
        <v>44.472999999999999</v>
      </c>
    </row>
    <row r="7" spans="1:9">
      <c r="A7" s="155" t="s">
        <v>121</v>
      </c>
      <c r="B7" s="190">
        <v>5.9539999999999997</v>
      </c>
      <c r="C7" s="190">
        <v>18.721</v>
      </c>
      <c r="D7" s="190">
        <v>19.824999999999999</v>
      </c>
      <c r="E7" s="190">
        <v>72.061999999999998</v>
      </c>
      <c r="F7" s="190">
        <v>316.73599999999999</v>
      </c>
      <c r="G7" s="190">
        <v>46.692</v>
      </c>
      <c r="H7" s="190">
        <v>29.983000000000001</v>
      </c>
      <c r="I7" s="186">
        <f t="shared" si="0"/>
        <v>44.5</v>
      </c>
    </row>
    <row r="8" spans="1:9">
      <c r="A8" s="155" t="s">
        <v>35</v>
      </c>
      <c r="B8" s="190">
        <v>5.9109999999999996</v>
      </c>
      <c r="C8" s="190">
        <v>19.760000000000002</v>
      </c>
      <c r="D8" s="190">
        <v>19.132999999999999</v>
      </c>
      <c r="E8" s="190">
        <v>82.106999999999999</v>
      </c>
      <c r="F8" s="190">
        <v>315.60399999999998</v>
      </c>
      <c r="G8" s="190">
        <v>51.36</v>
      </c>
      <c r="H8" s="190">
        <v>30.286000000000001</v>
      </c>
      <c r="I8" s="186">
        <f t="shared" si="0"/>
        <v>44.804000000000002</v>
      </c>
    </row>
    <row r="9" spans="1:9">
      <c r="A9" s="155" t="s">
        <v>53</v>
      </c>
      <c r="B9" s="190">
        <v>6.165</v>
      </c>
      <c r="C9" s="190">
        <v>19.446000000000002</v>
      </c>
      <c r="D9" s="190">
        <v>18.553999999999998</v>
      </c>
      <c r="E9" s="190">
        <v>84.662999999999997</v>
      </c>
      <c r="F9" s="190">
        <v>330.77800000000002</v>
      </c>
      <c r="G9" s="190">
        <v>52.256999999999998</v>
      </c>
      <c r="H9" s="190">
        <v>31.518000000000001</v>
      </c>
      <c r="I9" s="186">
        <f t="shared" si="0"/>
        <v>44.164999999999999</v>
      </c>
    </row>
    <row r="10" spans="1:9">
      <c r="A10" s="155" t="s">
        <v>178</v>
      </c>
      <c r="B10" s="190">
        <v>5.782</v>
      </c>
      <c r="C10" s="190">
        <v>20.603000000000002</v>
      </c>
      <c r="D10" s="190">
        <v>19.282</v>
      </c>
      <c r="E10" s="190">
        <v>83.215000000000003</v>
      </c>
      <c r="F10" s="190">
        <v>352.83499999999998</v>
      </c>
      <c r="G10" s="190">
        <v>48.439</v>
      </c>
      <c r="H10" s="190">
        <v>32.917000000000002</v>
      </c>
      <c r="I10" s="186">
        <f t="shared" si="0"/>
        <v>45.667000000000002</v>
      </c>
    </row>
    <row r="11" spans="1:9">
      <c r="A11" s="155" t="s">
        <v>179</v>
      </c>
      <c r="B11" s="190">
        <v>5.782</v>
      </c>
      <c r="C11" s="190">
        <v>20.315000000000001</v>
      </c>
      <c r="D11" s="190">
        <v>19.282</v>
      </c>
      <c r="E11" s="190">
        <v>83.3</v>
      </c>
      <c r="F11" s="190">
        <v>354.83499999999998</v>
      </c>
      <c r="G11" s="190">
        <v>48.273000000000003</v>
      </c>
      <c r="H11" s="190">
        <v>31.53</v>
      </c>
      <c r="I11" s="186">
        <f t="shared" si="0"/>
        <v>45.379000000000005</v>
      </c>
    </row>
    <row r="14" spans="1:9">
      <c r="B14" s="190"/>
    </row>
    <row r="15" spans="1:9">
      <c r="B15" s="19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3"/>
  <sheetViews>
    <sheetView showGridLines="0" zoomScale="70" zoomScaleNormal="70" workbookViewId="0"/>
  </sheetViews>
  <sheetFormatPr defaultColWidth="9.33203125" defaultRowHeight="13.2"/>
  <cols>
    <col min="1" max="1" width="21.5546875" customWidth="1"/>
    <col min="2" max="2" width="14.33203125" customWidth="1"/>
    <col min="3" max="3" width="9.5546875" customWidth="1"/>
    <col min="4" max="4" width="26.5546875" customWidth="1"/>
    <col min="5" max="5" width="9.5546875" customWidth="1"/>
    <col min="6" max="6" width="12.44140625" customWidth="1"/>
    <col min="7" max="7" width="19.6640625" customWidth="1"/>
    <col min="8" max="8" width="18.6640625" customWidth="1"/>
    <col min="9" max="9" width="1.5546875" customWidth="1"/>
    <col min="10" max="10" width="14.5546875" customWidth="1"/>
    <col min="11" max="11" width="10.5546875" customWidth="1"/>
    <col min="12" max="12" width="12.88671875" customWidth="1"/>
    <col min="13" max="13" width="14.109375" customWidth="1"/>
    <col min="14" max="14" width="9.5546875" customWidth="1"/>
    <col min="15" max="15" width="11.88671875" bestFit="1" customWidth="1"/>
    <col min="17" max="17" width="15.44140625" bestFit="1" customWidth="1"/>
    <col min="18" max="18" width="13.44140625" bestFit="1" customWidth="1"/>
    <col min="22" max="22" width="12.3320312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14</v>
      </c>
      <c r="C2" s="134"/>
      <c r="D2" s="17" t="s">
        <v>15</v>
      </c>
      <c r="E2" s="18"/>
      <c r="F2" s="134" t="s">
        <v>16</v>
      </c>
      <c r="G2" s="134"/>
      <c r="H2" s="134"/>
      <c r="I2" s="15"/>
      <c r="J2" s="18"/>
      <c r="K2" s="134"/>
      <c r="L2" s="19" t="s">
        <v>17</v>
      </c>
      <c r="M2" s="134"/>
      <c r="N2" s="15"/>
    </row>
    <row r="3" spans="1:23" ht="13.8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3.8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4">
      <c r="A5" s="15"/>
      <c r="B5" s="112" t="s">
        <v>32</v>
      </c>
      <c r="C5" s="135"/>
      <c r="D5" s="27" t="s">
        <v>33</v>
      </c>
      <c r="G5" s="112"/>
      <c r="I5" s="112"/>
      <c r="J5" s="112" t="s">
        <v>34</v>
      </c>
      <c r="K5" s="112"/>
      <c r="L5" s="112"/>
      <c r="M5" s="112"/>
      <c r="N5" s="112"/>
      <c r="W5" s="26"/>
    </row>
    <row r="6" spans="1:23" ht="16.5" customHeight="1">
      <c r="A6" s="15" t="s">
        <v>35</v>
      </c>
      <c r="B6" s="115">
        <v>87.45</v>
      </c>
      <c r="C6" s="115">
        <v>86.174000000000007</v>
      </c>
      <c r="D6" s="115">
        <f>F6/C6</f>
        <v>49.555329913895143</v>
      </c>
      <c r="E6" s="116">
        <v>274.39400000000001</v>
      </c>
      <c r="F6" s="117">
        <v>4270.3810000000003</v>
      </c>
      <c r="G6" s="121">
        <f>(667064.2*36.74371)/1000000</f>
        <v>24.510413516181998</v>
      </c>
      <c r="H6" s="118">
        <f>SUM(E6:G6)</f>
        <v>4569.2854135161824</v>
      </c>
      <c r="I6" s="15"/>
      <c r="J6" s="117">
        <f>2211.9378</f>
        <v>2211.9378000000002</v>
      </c>
      <c r="K6" s="117">
        <f>M6-L6-J6</f>
        <v>113.61949603461198</v>
      </c>
      <c r="L6" s="118">
        <f>(53874367*36.74371)/1000000</f>
        <v>1979.5441174815701</v>
      </c>
      <c r="M6" s="118">
        <f>H6-N6</f>
        <v>4305.1014135161822</v>
      </c>
      <c r="N6" s="118">
        <v>264.18400000000003</v>
      </c>
    </row>
    <row r="7" spans="1:23" ht="16.5" customHeight="1">
      <c r="A7" s="15" t="s">
        <v>36</v>
      </c>
      <c r="B7" s="115">
        <v>83.6</v>
      </c>
      <c r="C7" s="115">
        <v>82.271000000000001</v>
      </c>
      <c r="D7" s="115">
        <f>F7/C7</f>
        <v>50.589600223651104</v>
      </c>
      <c r="E7" s="116">
        <f>N6</f>
        <v>264.18400000000003</v>
      </c>
      <c r="F7" s="117">
        <v>4162.0569999999998</v>
      </c>
      <c r="G7" s="118">
        <f>G27</f>
        <v>20.835116574689998</v>
      </c>
      <c r="H7" s="118">
        <f>SUM(E7:G7)</f>
        <v>4447.0761165746899</v>
      </c>
      <c r="I7" s="15"/>
      <c r="J7" s="117">
        <f>J27</f>
        <v>2285.303146537427</v>
      </c>
      <c r="K7" s="117">
        <f>M7-L7-J7</f>
        <v>124.40827608605787</v>
      </c>
      <c r="L7" s="118">
        <f>L27</f>
        <v>1694.931693951205</v>
      </c>
      <c r="M7" s="118">
        <f>H7-N7</f>
        <v>4104.6431165746899</v>
      </c>
      <c r="N7" s="118">
        <f>N26</f>
        <v>342.43299999999999</v>
      </c>
      <c r="P7" s="158"/>
    </row>
    <row r="8" spans="1:23" s="138" customFormat="1" ht="16.5" customHeight="1">
      <c r="A8" s="130" t="s">
        <v>37</v>
      </c>
      <c r="B8" s="197">
        <v>87.05</v>
      </c>
      <c r="C8" s="197">
        <v>86.05</v>
      </c>
      <c r="D8" s="197">
        <f>F8/C8</f>
        <v>50.743660662405581</v>
      </c>
      <c r="E8" s="198">
        <f>N7</f>
        <v>342.43299999999999</v>
      </c>
      <c r="F8" s="199">
        <v>4366.4920000000002</v>
      </c>
      <c r="G8" s="200">
        <v>25</v>
      </c>
      <c r="H8" s="200">
        <f>SUM(E8:G8)</f>
        <v>4733.9250000000002</v>
      </c>
      <c r="I8" s="130"/>
      <c r="J8" s="199">
        <v>2420</v>
      </c>
      <c r="K8" s="201">
        <v>114</v>
      </c>
      <c r="L8" s="200">
        <v>1825</v>
      </c>
      <c r="M8" s="200">
        <f>SUM(J8:L8)</f>
        <v>4359</v>
      </c>
      <c r="N8" s="200">
        <f>H8-M8</f>
        <v>374.92500000000018</v>
      </c>
      <c r="P8" s="202"/>
      <c r="Q8" s="202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53</v>
      </c>
      <c r="B10" s="83"/>
      <c r="C10" s="83"/>
      <c r="D10" s="83"/>
      <c r="E10" s="32"/>
      <c r="F10" s="32"/>
      <c r="G10" s="6"/>
      <c r="H10" s="13"/>
      <c r="I10" s="83"/>
      <c r="J10" s="13"/>
      <c r="K10" s="31"/>
      <c r="L10" s="6"/>
      <c r="M10" s="6"/>
      <c r="N10" s="13"/>
      <c r="R10" s="113"/>
      <c r="S10" s="114"/>
    </row>
    <row r="11" spans="1:23" ht="16.5" customHeight="1">
      <c r="A11" s="15" t="s">
        <v>38</v>
      </c>
      <c r="B11" s="83"/>
      <c r="C11" s="83"/>
      <c r="D11" s="83"/>
      <c r="E11" s="32"/>
      <c r="F11" s="32"/>
      <c r="G11" s="6">
        <f>(37479.5*36.74371)/1000000</f>
        <v>1.3771358789450001</v>
      </c>
      <c r="H11" s="13"/>
      <c r="I11" s="83"/>
      <c r="J11" s="6">
        <f>((5242931*0.907184741)*36.74371)/1000000</f>
        <v>174.76436512731999</v>
      </c>
      <c r="K11" s="31"/>
      <c r="L11" s="6">
        <f>(2498517*36.74371)/1000000</f>
        <v>91.80478407807</v>
      </c>
      <c r="M11" s="6"/>
      <c r="N11" s="13"/>
      <c r="Q11" s="86"/>
      <c r="R11" s="113"/>
      <c r="S11" s="114"/>
    </row>
    <row r="12" spans="1:23" ht="16.5" customHeight="1">
      <c r="A12" s="15" t="s">
        <v>39</v>
      </c>
      <c r="B12" s="83"/>
      <c r="C12" s="83"/>
      <c r="D12" s="83"/>
      <c r="E12" s="32"/>
      <c r="F12" s="32"/>
      <c r="G12" s="6">
        <f>(19292.3*36.74371)/1000000</f>
        <v>0.70887067643300006</v>
      </c>
      <c r="H12" s="13"/>
      <c r="I12" s="83"/>
      <c r="J12" s="6">
        <f>((6041685*0.907184741)*36.74371)/1000000</f>
        <v>201.38949822613577</v>
      </c>
      <c r="K12" s="31"/>
      <c r="L12" s="6">
        <f>(9422340.2*36.74371)/1000000</f>
        <v>346.21173583014195</v>
      </c>
      <c r="M12" s="6"/>
      <c r="N12" s="13"/>
      <c r="Q12" s="86"/>
      <c r="R12" s="113"/>
      <c r="S12" s="114"/>
    </row>
    <row r="13" spans="1:23" ht="16.5" customHeight="1">
      <c r="A13" s="15" t="s">
        <v>40</v>
      </c>
      <c r="B13" s="83"/>
      <c r="C13" s="83"/>
      <c r="D13" s="83"/>
      <c r="E13" s="32"/>
      <c r="F13" s="32"/>
      <c r="G13" s="6">
        <f>(46381*36.74371)/1000000</f>
        <v>1.70421001351</v>
      </c>
      <c r="H13" s="13"/>
      <c r="I13" s="83"/>
      <c r="J13" s="6">
        <f>((6002708*0.907184741)*36.74371)/1000000</f>
        <v>200.09026490424628</v>
      </c>
      <c r="K13" s="31"/>
      <c r="L13" s="6">
        <f>(7462119.8*36.74371)/1000000</f>
        <v>274.18596591645803</v>
      </c>
      <c r="M13" s="6"/>
      <c r="N13" s="106"/>
      <c r="Q13" s="86"/>
      <c r="R13" s="113"/>
      <c r="S13" s="113"/>
    </row>
    <row r="14" spans="1:23" ht="16.5" customHeight="1">
      <c r="A14" s="15" t="s">
        <v>41</v>
      </c>
      <c r="B14" s="83"/>
      <c r="C14" s="83"/>
      <c r="D14" s="83"/>
      <c r="E14" s="32">
        <f>N6</f>
        <v>264.18400000000003</v>
      </c>
      <c r="F14" s="62">
        <v>4162.0569999999998</v>
      </c>
      <c r="G14" s="6">
        <f>SUM(G11:G13)</f>
        <v>3.7902165688880003</v>
      </c>
      <c r="H14" s="13">
        <f>SUM(E14:G14)</f>
        <v>4430.0312165688883</v>
      </c>
      <c r="I14" s="83"/>
      <c r="J14" s="6">
        <f>SUM(J11:J13)</f>
        <v>576.24412825770207</v>
      </c>
      <c r="K14" s="31">
        <f>M14-L14-J14</f>
        <v>140.8656024865162</v>
      </c>
      <c r="L14" s="6">
        <f>SUM(L11:L13)</f>
        <v>712.20248582467002</v>
      </c>
      <c r="M14" s="6">
        <f>H14-N14</f>
        <v>1429.3122165688883</v>
      </c>
      <c r="N14" s="107">
        <v>3000.7190000000001</v>
      </c>
      <c r="R14" s="113"/>
      <c r="S14" s="113"/>
    </row>
    <row r="15" spans="1:23" ht="16.5" customHeight="1">
      <c r="A15" s="15" t="s">
        <v>42</v>
      </c>
      <c r="B15" s="83"/>
      <c r="C15" s="83"/>
      <c r="D15" s="83"/>
      <c r="E15" s="32"/>
      <c r="F15" s="32"/>
      <c r="G15" s="6">
        <f>(18649.8*36.74371)/1000000</f>
        <v>0.68526284275799998</v>
      </c>
      <c r="H15" s="13"/>
      <c r="I15" s="83"/>
      <c r="J15" s="6">
        <f>((6128558*0.907184741)*36.74371)/1000000</f>
        <v>204.28526486729618</v>
      </c>
      <c r="K15" s="31"/>
      <c r="L15" s="6">
        <f>(4738450.9*36.74371)/1000000</f>
        <v>174.10826571883902</v>
      </c>
      <c r="M15" s="6"/>
      <c r="N15" s="107"/>
      <c r="R15" s="113"/>
      <c r="S15" s="113"/>
    </row>
    <row r="16" spans="1:23" ht="16.5" customHeight="1">
      <c r="A16" s="15" t="s">
        <v>43</v>
      </c>
      <c r="B16" s="83"/>
      <c r="C16" s="83"/>
      <c r="D16" s="83"/>
      <c r="E16" s="32"/>
      <c r="F16" s="32"/>
      <c r="G16" s="6">
        <f>(25838.2*36.74371)/1000000</f>
        <v>0.94939132772200008</v>
      </c>
      <c r="H16" s="13"/>
      <c r="I16" s="83"/>
      <c r="J16" s="6">
        <f>((5828390*0.907184741)*36.74371)/1000000</f>
        <v>194.27966495542674</v>
      </c>
      <c r="K16" s="31"/>
      <c r="L16" s="6">
        <f>(5961252*36.74371)/1000000</f>
        <v>219.03851472491999</v>
      </c>
      <c r="M16" s="6"/>
      <c r="N16" s="107"/>
      <c r="Q16" s="34"/>
      <c r="R16" s="113"/>
      <c r="S16" s="113"/>
    </row>
    <row r="17" spans="1:24" ht="16.5" customHeight="1">
      <c r="A17" s="15" t="s">
        <v>44</v>
      </c>
      <c r="B17" s="83"/>
      <c r="C17" s="83"/>
      <c r="D17" s="83"/>
      <c r="E17" s="32"/>
      <c r="F17" s="32"/>
      <c r="G17" s="6">
        <f>(24300.7*36.74371)/1000000</f>
        <v>0.89289787359700001</v>
      </c>
      <c r="H17" s="13"/>
      <c r="I17" s="83"/>
      <c r="J17" s="6">
        <f>((5803253*0.907184741)*36.74371)/1000000</f>
        <v>193.4417649628071</v>
      </c>
      <c r="K17" s="31"/>
      <c r="L17" s="6">
        <f>(5263949.5*36.74371)/1000000</f>
        <v>193.417033882645</v>
      </c>
      <c r="M17" s="6"/>
      <c r="N17" s="107"/>
      <c r="Q17" s="86"/>
      <c r="R17" s="113"/>
      <c r="S17" s="113"/>
    </row>
    <row r="18" spans="1:24" ht="16.5" customHeight="1">
      <c r="A18" s="15" t="s">
        <v>45</v>
      </c>
      <c r="B18" s="83"/>
      <c r="C18" s="83"/>
      <c r="D18" s="83"/>
      <c r="E18" s="32">
        <f>N14</f>
        <v>3000.7190000000001</v>
      </c>
      <c r="F18" s="32"/>
      <c r="G18" s="6">
        <f>SUM(G15:G17)</f>
        <v>2.5275520440770003</v>
      </c>
      <c r="H18" s="13">
        <f>SUM(E18:G18)</f>
        <v>3003.2465520440769</v>
      </c>
      <c r="I18" s="83"/>
      <c r="J18" s="6">
        <f>SUM(J15:J17)</f>
        <v>592.00669478553004</v>
      </c>
      <c r="K18" s="31">
        <f>M18-L18-J18</f>
        <v>-20.402957067857074</v>
      </c>
      <c r="L18" s="6">
        <f>SUM(L15:L17)</f>
        <v>586.56381432640399</v>
      </c>
      <c r="M18" s="6">
        <f>H18-N18</f>
        <v>1158.167552044077</v>
      </c>
      <c r="N18" s="107">
        <v>1845.079</v>
      </c>
      <c r="P18" s="34"/>
      <c r="R18" s="113"/>
      <c r="S18" s="113"/>
    </row>
    <row r="19" spans="1:24" ht="16.5" customHeight="1">
      <c r="A19" s="15" t="s">
        <v>46</v>
      </c>
      <c r="B19" s="83"/>
      <c r="C19" s="83"/>
      <c r="D19" s="83"/>
      <c r="E19" s="32"/>
      <c r="F19" s="32"/>
      <c r="G19" s="6">
        <f>(144280.7*36.74371)/1000000</f>
        <v>5.3014081993970006</v>
      </c>
      <c r="H19" s="13"/>
      <c r="I19" s="83"/>
      <c r="J19" s="6">
        <f>((6106056*0.907184741)*36.74371)/1000000</f>
        <v>203.53519820723619</v>
      </c>
      <c r="K19" s="31"/>
      <c r="L19" s="6">
        <f>(3054246.9*36.74371)/1000000</f>
        <v>112.22436236199898</v>
      </c>
      <c r="M19" s="6"/>
      <c r="N19" s="107"/>
      <c r="Q19" s="86"/>
      <c r="R19" s="113"/>
      <c r="S19" s="113"/>
    </row>
    <row r="20" spans="1:24" ht="16.5" customHeight="1">
      <c r="A20" s="15" t="s">
        <v>47</v>
      </c>
      <c r="B20" s="83"/>
      <c r="C20" s="83"/>
      <c r="D20" s="83"/>
      <c r="E20" s="32"/>
      <c r="F20" s="32"/>
      <c r="G20" s="6">
        <f>(57199.7*36.74371)/1000000</f>
        <v>2.101729188887</v>
      </c>
      <c r="H20" s="13"/>
      <c r="I20" s="83"/>
      <c r="J20" s="6">
        <f>((5327076*0.907184741)*36.74371)/1000000</f>
        <v>177.56919843594798</v>
      </c>
      <c r="K20" s="31"/>
      <c r="L20" s="6">
        <f>(1769751.6*36.74371)/1000000</f>
        <v>65.027239562436009</v>
      </c>
      <c r="M20" s="6"/>
      <c r="N20" s="107"/>
      <c r="R20" s="113"/>
      <c r="S20" s="113"/>
    </row>
    <row r="21" spans="1:24" ht="16.5" customHeight="1">
      <c r="A21" s="15" t="s">
        <v>48</v>
      </c>
      <c r="B21" s="83"/>
      <c r="C21" s="83"/>
      <c r="D21" s="83"/>
      <c r="E21" s="32"/>
      <c r="F21" s="32"/>
      <c r="G21" s="6">
        <f>(32603.2*36.74371)/1000000</f>
        <v>1.1979625258719999</v>
      </c>
      <c r="H21" s="13"/>
      <c r="I21" s="83"/>
      <c r="J21" s="6">
        <f>((5748779*0.907184741)*36.74371)/1000000</f>
        <v>191.62596497880088</v>
      </c>
      <c r="K21" s="31"/>
      <c r="L21" s="6">
        <f>(1410073.2*36.74371)/1000000</f>
        <v>51.811320739571997</v>
      </c>
      <c r="M21" s="6"/>
      <c r="N21" s="107"/>
      <c r="P21" s="83"/>
      <c r="Q21" s="86"/>
      <c r="R21" s="113"/>
      <c r="S21" s="113"/>
    </row>
    <row r="22" spans="1:24" ht="16.5" customHeight="1">
      <c r="A22" s="15" t="s">
        <v>54</v>
      </c>
      <c r="B22" s="83"/>
      <c r="C22" s="83"/>
      <c r="D22" s="83"/>
      <c r="E22" s="32">
        <f>N18</f>
        <v>1845.079</v>
      </c>
      <c r="F22" s="32"/>
      <c r="G22" s="6">
        <f>SUM(G19:G21)</f>
        <v>8.6010999141560003</v>
      </c>
      <c r="H22" s="13">
        <f>SUM(E22:G22)</f>
        <v>1853.680099914156</v>
      </c>
      <c r="I22" s="83"/>
      <c r="J22" s="6">
        <f>SUM(J19:J21)</f>
        <v>572.73036162198503</v>
      </c>
      <c r="K22" s="13">
        <f>M22-L22-J22</f>
        <v>81.836815628164118</v>
      </c>
      <c r="L22" s="6">
        <f>SUM(L19:L21)</f>
        <v>229.06292266400698</v>
      </c>
      <c r="M22" s="6">
        <f>H22-N22</f>
        <v>883.63009991415606</v>
      </c>
      <c r="N22" s="13">
        <v>970.05</v>
      </c>
      <c r="P22" s="83"/>
    </row>
    <row r="23" spans="1:24" ht="16.5" customHeight="1">
      <c r="A23" s="15" t="s">
        <v>49</v>
      </c>
      <c r="B23" s="83"/>
      <c r="C23" s="83"/>
      <c r="D23" s="83"/>
      <c r="E23" s="32"/>
      <c r="F23" s="32"/>
      <c r="G23" s="6">
        <f>(31221.6*36.74371)/1000000</f>
        <v>1.1471974161359999</v>
      </c>
      <c r="H23" s="13"/>
      <c r="I23" s="83"/>
      <c r="J23" s="6">
        <f>((5504777*0.907184741)*36.74371)/1000000</f>
        <v>183.49256505044087</v>
      </c>
      <c r="K23" s="13"/>
      <c r="L23" s="6">
        <f>(1338976.8*36.74371)/1000000</f>
        <v>49.198975235927996</v>
      </c>
      <c r="M23" s="6"/>
      <c r="N23" s="13"/>
    </row>
    <row r="24" spans="1:24" ht="16.5" customHeight="1">
      <c r="A24" s="15" t="s">
        <v>50</v>
      </c>
      <c r="B24" s="83"/>
      <c r="C24" s="83"/>
      <c r="D24" s="83"/>
      <c r="E24" s="32"/>
      <c r="F24" s="32"/>
      <c r="G24" s="6">
        <f>(59884.6*36.74371)/1000000</f>
        <v>2.2003823758659999</v>
      </c>
      <c r="H24" s="13"/>
      <c r="I24" s="83"/>
      <c r="J24" s="6">
        <f>((5798234*0.907184741)*36.74371)/1000000</f>
        <v>193.2744649642807</v>
      </c>
      <c r="K24" s="13"/>
      <c r="L24" s="6">
        <f>(1494549.2*36.74371)/1000000</f>
        <v>54.915282385532002</v>
      </c>
      <c r="M24" s="6"/>
      <c r="N24" s="13"/>
      <c r="Q24" s="86"/>
    </row>
    <row r="25" spans="1:24" ht="16.5" customHeight="1">
      <c r="A25" s="15" t="s">
        <v>51</v>
      </c>
      <c r="B25" s="83"/>
      <c r="C25" s="83"/>
      <c r="D25" s="83"/>
      <c r="E25" s="32"/>
      <c r="F25" s="32"/>
      <c r="G25" s="6">
        <f>(69907.6*36.74371)/1000000</f>
        <v>2.5686645811960003</v>
      </c>
      <c r="H25" s="13"/>
      <c r="I25" s="83"/>
      <c r="J25" s="6">
        <f>((5026648*0.907184741)*36.74371)/1000000</f>
        <v>167.55493185748824</v>
      </c>
      <c r="K25" s="13"/>
      <c r="L25" s="6">
        <f>(1714258.5*36.74371)/1000000</f>
        <v>62.988217189034998</v>
      </c>
      <c r="M25" s="6"/>
      <c r="N25" s="13"/>
    </row>
    <row r="26" spans="1:24" ht="16.5" customHeight="1">
      <c r="A26" s="15" t="s">
        <v>52</v>
      </c>
      <c r="B26" s="83"/>
      <c r="C26" s="83"/>
      <c r="D26" s="83"/>
      <c r="E26" s="32">
        <f>N22</f>
        <v>970.05</v>
      </c>
      <c r="F26" s="32"/>
      <c r="G26" s="6">
        <f>SUM(G23:G25)</f>
        <v>5.9162443731979995</v>
      </c>
      <c r="H26" s="13">
        <f>SUM(E26:G26)</f>
        <v>975.96624437319792</v>
      </c>
      <c r="I26" s="83"/>
      <c r="J26" s="6">
        <f>SUM(J23:J25)</f>
        <v>544.32196187220984</v>
      </c>
      <c r="K26" s="31">
        <f>M26-J26-L26</f>
        <v>-77.891192309506891</v>
      </c>
      <c r="L26" s="6">
        <f>SUM(L23:L25)</f>
        <v>167.10247481049498</v>
      </c>
      <c r="M26" s="6">
        <f>H26-N26</f>
        <v>633.53324437319793</v>
      </c>
      <c r="N26" s="99">
        <v>342.43299999999999</v>
      </c>
      <c r="Q26" s="132"/>
    </row>
    <row r="27" spans="1:24" ht="16.5" customHeight="1">
      <c r="A27" s="15" t="s">
        <v>29</v>
      </c>
      <c r="B27" s="83"/>
      <c r="C27" s="83"/>
      <c r="D27" s="83"/>
      <c r="E27" s="32"/>
      <c r="F27" s="32"/>
      <c r="G27" s="133">
        <f>(567039*36.74371)/1000000</f>
        <v>20.835116574689998</v>
      </c>
      <c r="H27" s="93"/>
      <c r="I27" s="94"/>
      <c r="J27" s="118">
        <f>SUM(J14,J18,J22,J26)</f>
        <v>2285.303146537427</v>
      </c>
      <c r="K27" s="6"/>
      <c r="L27" s="159">
        <f>(46128.4855*36.74371)/1000</f>
        <v>1694.931693951205</v>
      </c>
      <c r="M27" s="6"/>
      <c r="N27" s="13"/>
      <c r="Q27" s="86"/>
    </row>
    <row r="28" spans="1:24" ht="16.5" customHeight="1">
      <c r="A28" s="15"/>
      <c r="B28" s="83"/>
      <c r="C28" s="83"/>
      <c r="D28" s="83"/>
      <c r="E28" s="32"/>
      <c r="F28" s="32"/>
      <c r="G28" s="6"/>
      <c r="H28" s="13"/>
      <c r="I28" s="83"/>
      <c r="J28" s="160"/>
      <c r="K28" s="31"/>
      <c r="L28" s="6"/>
      <c r="M28" s="6"/>
      <c r="N28" s="13"/>
      <c r="R28" s="83"/>
    </row>
    <row r="29" spans="1:24" ht="16.5" customHeight="1">
      <c r="A29" s="30" t="s">
        <v>158</v>
      </c>
      <c r="B29" s="83"/>
      <c r="C29" s="83"/>
      <c r="D29" s="83"/>
      <c r="E29" s="32"/>
      <c r="F29" s="32"/>
      <c r="G29" s="6"/>
      <c r="H29" s="13"/>
      <c r="I29" s="83"/>
      <c r="J29" s="13"/>
      <c r="K29" s="31"/>
      <c r="L29" s="6"/>
      <c r="M29" s="6"/>
      <c r="N29" s="13"/>
      <c r="Q29" s="83"/>
      <c r="V29" s="96"/>
      <c r="X29" s="97"/>
    </row>
    <row r="30" spans="1:24" ht="16.5" customHeight="1">
      <c r="A30" s="15" t="s">
        <v>38</v>
      </c>
      <c r="B30" s="83"/>
      <c r="C30" s="83"/>
      <c r="D30" s="83"/>
      <c r="E30" s="32"/>
      <c r="F30" s="32"/>
      <c r="G30" s="6">
        <f>(83703.7*36.74371)/1000000</f>
        <v>3.0755844787269999</v>
      </c>
      <c r="H30" s="13"/>
      <c r="I30" s="83"/>
      <c r="J30" s="6">
        <f>((5595095*0.907185)*36.74371)/1000000</f>
        <v>186.5032182703211</v>
      </c>
      <c r="K30" s="31"/>
      <c r="L30" s="6">
        <f>(2977475.4*36.74371)/1000000</f>
        <v>109.40349262973399</v>
      </c>
      <c r="M30" s="6"/>
      <c r="N30" s="13"/>
      <c r="T30" s="95"/>
    </row>
    <row r="31" spans="1:24" s="138" customFormat="1" ht="16.5" customHeight="1">
      <c r="A31" s="130" t="s">
        <v>39</v>
      </c>
      <c r="B31" s="139"/>
      <c r="C31" s="139"/>
      <c r="D31" s="139"/>
      <c r="E31" s="140"/>
      <c r="F31" s="140"/>
      <c r="G31" s="105">
        <f>(21164.7*36.74371)/1000000</f>
        <v>0.77766959903699995</v>
      </c>
      <c r="H31" s="141"/>
      <c r="I31" s="139"/>
      <c r="J31" s="6">
        <f>((6473504*0.907185)*36.74371)/1000000</f>
        <v>215.78352637190193</v>
      </c>
      <c r="K31" s="142"/>
      <c r="L31" s="105">
        <f>(9426929.5*36.74371)/1000000</f>
        <v>346.380363738445</v>
      </c>
      <c r="M31" s="105"/>
      <c r="N31" s="141"/>
      <c r="T31" s="143"/>
    </row>
    <row r="32" spans="1:24" ht="16.5" customHeight="1">
      <c r="A32" s="15" t="s">
        <v>40</v>
      </c>
      <c r="B32" s="83"/>
      <c r="C32" s="83"/>
      <c r="D32" s="83"/>
      <c r="E32" s="32"/>
      <c r="F32" s="32"/>
      <c r="G32" s="102">
        <f>(41373.8*36.74371)/1000000</f>
        <v>1.520226908798</v>
      </c>
      <c r="H32" s="13"/>
      <c r="I32" s="83"/>
      <c r="J32" s="6">
        <f>((6301225*0.907185)*36.74371)/1000000</f>
        <v>210.04089144963655</v>
      </c>
      <c r="K32" s="31"/>
      <c r="L32" s="102">
        <f>((10024672.7)*36.74371)/1000000</f>
        <v>368.343666533717</v>
      </c>
      <c r="M32" s="6"/>
      <c r="N32" s="13"/>
      <c r="T32" s="95"/>
    </row>
    <row r="33" spans="1:20" ht="16.5" customHeight="1">
      <c r="A33" s="15" t="s">
        <v>41</v>
      </c>
      <c r="B33" s="83"/>
      <c r="C33" s="83"/>
      <c r="D33" s="83"/>
      <c r="E33" s="32">
        <f>N26</f>
        <v>342.43299999999999</v>
      </c>
      <c r="F33" s="62">
        <v>4366.4920000000002</v>
      </c>
      <c r="G33" s="6">
        <f>SUM(G30:G32)</f>
        <v>5.3734809865619999</v>
      </c>
      <c r="H33" s="13">
        <f>SUM(E33:G33)</f>
        <v>4714.298480986562</v>
      </c>
      <c r="I33" s="83"/>
      <c r="J33" s="6">
        <f>SUM(J30:J32)</f>
        <v>612.32763609185963</v>
      </c>
      <c r="K33" s="31">
        <f>M33-L33-J33</f>
        <v>178.10032199280647</v>
      </c>
      <c r="L33" s="6">
        <f>SUM(L30:L32)</f>
        <v>824.12752290189599</v>
      </c>
      <c r="M33" s="6">
        <f>H33-N33</f>
        <v>1614.5554809865621</v>
      </c>
      <c r="N33" s="107">
        <v>3099.7429999999999</v>
      </c>
      <c r="P33" s="34"/>
      <c r="R33" s="113"/>
      <c r="S33" s="113"/>
    </row>
    <row r="34" spans="1:20" ht="16.5" customHeight="1">
      <c r="A34" s="15" t="s">
        <v>42</v>
      </c>
      <c r="B34" s="83"/>
      <c r="C34" s="83"/>
      <c r="D34" s="83"/>
      <c r="E34" s="32"/>
      <c r="F34" s="62"/>
      <c r="G34" s="102">
        <f>(52301.5*36.74371)/1000000</f>
        <v>1.9217511485649998</v>
      </c>
      <c r="H34" s="13"/>
      <c r="I34" s="83"/>
      <c r="J34" s="6">
        <f>((6531043*0.907185)*36.74371)/1000000</f>
        <v>217.70149356925177</v>
      </c>
      <c r="K34" s="31"/>
      <c r="L34" s="102">
        <f>(7962483.8*36.74371)/1000000</f>
        <v>292.57119562689797</v>
      </c>
      <c r="M34" s="6"/>
      <c r="N34" s="107"/>
      <c r="P34" s="34"/>
      <c r="R34" s="113"/>
      <c r="S34" s="113"/>
    </row>
    <row r="35" spans="1:20" ht="16.5" customHeight="1">
      <c r="A35" s="15" t="s">
        <v>43</v>
      </c>
      <c r="B35" s="83"/>
      <c r="C35" s="83"/>
      <c r="D35" s="83"/>
      <c r="E35" s="32"/>
      <c r="F35" s="62"/>
      <c r="G35" s="102">
        <f>(61026*36.74371)/1000000</f>
        <v>2.2423216464599998</v>
      </c>
      <c r="H35" s="13"/>
      <c r="I35" s="83"/>
      <c r="J35" s="6">
        <f>((6376635*0.907185)*36.74371)/1000000</f>
        <v>212.55455881181089</v>
      </c>
      <c r="K35" s="31"/>
      <c r="L35" s="102">
        <f>(5211687.1*36.74371)/1000000</f>
        <v>191.49671941314099</v>
      </c>
      <c r="M35" s="6"/>
      <c r="N35" s="107"/>
      <c r="P35" s="34"/>
      <c r="Q35" s="34"/>
      <c r="R35" s="90"/>
      <c r="S35" s="113"/>
    </row>
    <row r="36" spans="1:20" s="138" customFormat="1" ht="16.5" customHeight="1">
      <c r="A36" s="130" t="s">
        <v>44</v>
      </c>
      <c r="B36" s="139"/>
      <c r="C36" s="139"/>
      <c r="D36" s="139"/>
      <c r="E36" s="140"/>
      <c r="F36" s="192"/>
      <c r="G36" s="191">
        <f>(66815.2*36.74371)/1000000</f>
        <v>2.4550383323920002</v>
      </c>
      <c r="H36" s="141"/>
      <c r="I36" s="139"/>
      <c r="J36" s="105">
        <f>((5670940*0.907185)*36.74371)/1000000</f>
        <v>189.03138563650748</v>
      </c>
      <c r="K36" s="142"/>
      <c r="L36" s="191">
        <f>(3066201.8*36.74371)/1000000</f>
        <v>112.663629740678</v>
      </c>
      <c r="M36" s="105"/>
      <c r="N36" s="193"/>
      <c r="P36" s="194"/>
      <c r="Q36" s="194"/>
      <c r="R36" s="195"/>
      <c r="S36" s="196"/>
    </row>
    <row r="37" spans="1:20" s="138" customFormat="1" ht="16.5" customHeight="1">
      <c r="A37" s="130" t="s">
        <v>45</v>
      </c>
      <c r="B37" s="139"/>
      <c r="C37" s="139"/>
      <c r="D37" s="139"/>
      <c r="E37" s="140">
        <f>N33</f>
        <v>3099.7429999999999</v>
      </c>
      <c r="F37" s="192"/>
      <c r="G37" s="191">
        <f>SUM(G34:G36)</f>
        <v>6.6191111274169998</v>
      </c>
      <c r="H37" s="141">
        <f>SUM(E37:G37)</f>
        <v>3106.3621111274169</v>
      </c>
      <c r="I37" s="191">
        <f t="shared" ref="I37" si="0">SUM(I34:I36)</f>
        <v>0</v>
      </c>
      <c r="J37" s="191">
        <f>SUM(J34:J36)</f>
        <v>619.28743801757014</v>
      </c>
      <c r="K37" s="142">
        <f>M37-L37-J37</f>
        <v>-19.693871670870294</v>
      </c>
      <c r="L37" s="105">
        <f>SUM(L34:L36)</f>
        <v>596.73154478071706</v>
      </c>
      <c r="M37" s="105">
        <f>H37-N37</f>
        <v>1196.3251111274169</v>
      </c>
      <c r="N37" s="193">
        <v>1910.037</v>
      </c>
      <c r="P37" s="194"/>
      <c r="Q37" s="194"/>
      <c r="R37" s="195"/>
      <c r="S37" s="196"/>
    </row>
    <row r="38" spans="1:20" ht="16.5" customHeight="1">
      <c r="A38" s="79" t="s">
        <v>55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80"/>
      <c r="M38" s="69"/>
      <c r="N38" s="69"/>
      <c r="T38" s="95"/>
    </row>
    <row r="39" spans="1:20" ht="16.5" customHeight="1">
      <c r="A39" s="15" t="s">
        <v>56</v>
      </c>
      <c r="B39" s="15"/>
      <c r="C39" s="15"/>
      <c r="D39" s="15"/>
      <c r="E39" s="35"/>
      <c r="F39" s="35"/>
      <c r="G39" s="35"/>
      <c r="H39" s="35"/>
      <c r="I39" s="35"/>
      <c r="J39" s="35"/>
      <c r="K39" s="35"/>
      <c r="L39" s="35"/>
      <c r="M39" s="35"/>
      <c r="N39" s="35"/>
      <c r="T39" s="95"/>
    </row>
    <row r="40" spans="1:20" ht="16.5" customHeight="1">
      <c r="A40" s="20" t="s">
        <v>57</v>
      </c>
      <c r="B40" s="36">
        <f>Contents!A18</f>
        <v>45761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T40" s="95"/>
    </row>
    <row r="41" spans="1:20" ht="16.5" customHeight="1">
      <c r="T41" s="95"/>
    </row>
    <row r="42" spans="1:20" ht="16.5" customHeight="1">
      <c r="J42" s="34"/>
      <c r="K42" s="34"/>
      <c r="L42" s="86"/>
      <c r="M42" s="90"/>
      <c r="T42" s="95"/>
    </row>
    <row r="43" spans="1:20" ht="16.5" customHeight="1">
      <c r="J43" s="34"/>
      <c r="K43" s="92"/>
      <c r="L43" s="34"/>
      <c r="M43" s="34"/>
      <c r="P43" s="34"/>
      <c r="T43" s="95"/>
    </row>
    <row r="44" spans="1:20" ht="16.5" customHeight="1">
      <c r="J44" s="34"/>
      <c r="L44" s="157"/>
      <c r="T44" s="95"/>
    </row>
    <row r="45" spans="1:20" ht="16.5" customHeight="1">
      <c r="J45" s="34"/>
      <c r="L45" s="137"/>
      <c r="T45" s="95"/>
    </row>
    <row r="46" spans="1:20" ht="16.5" customHeight="1">
      <c r="J46" s="34"/>
      <c r="L46" s="34"/>
      <c r="T46" s="95"/>
    </row>
    <row r="47" spans="1:20" ht="16.5" customHeight="1">
      <c r="J47" s="34"/>
      <c r="L47" s="34"/>
      <c r="T47" s="95"/>
    </row>
    <row r="48" spans="1:20" ht="16.5" customHeight="1">
      <c r="T48" s="95"/>
    </row>
    <row r="49" spans="5:73" ht="16.5" customHeight="1">
      <c r="T49" s="95"/>
    </row>
    <row r="50" spans="5:73" ht="16.5" customHeight="1">
      <c r="T50" s="95"/>
    </row>
    <row r="51" spans="5:73" ht="16.5" customHeight="1">
      <c r="E51" s="90"/>
      <c r="T51" s="95"/>
    </row>
    <row r="52" spans="5:73" ht="16.5" customHeight="1"/>
    <row r="53" spans="5:73" ht="16.5" customHeight="1"/>
    <row r="54" spans="5:73" ht="16.5" customHeight="1"/>
    <row r="55" spans="5:73" ht="16.5" customHeight="1"/>
    <row r="56" spans="5:73" ht="16.5" customHeight="1">
      <c r="O56" s="83"/>
      <c r="P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</row>
    <row r="57" spans="5:73">
      <c r="O57" s="83"/>
      <c r="P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</row>
    <row r="58" spans="5:73">
      <c r="O58" s="83"/>
      <c r="P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</row>
    <row r="59" spans="5:73">
      <c r="O59" s="83"/>
      <c r="P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</row>
    <row r="60" spans="5:73">
      <c r="O60" s="83"/>
      <c r="P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</row>
    <row r="61" spans="5:73">
      <c r="O61" s="83"/>
      <c r="P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</row>
    <row r="62" spans="5:73">
      <c r="O62" s="83"/>
      <c r="P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</row>
    <row r="63" spans="5:73">
      <c r="O63" s="83"/>
      <c r="P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</row>
    <row r="64" spans="5:73">
      <c r="O64" s="83"/>
      <c r="P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</row>
    <row r="65" spans="15:73">
      <c r="O65" s="83"/>
      <c r="P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</row>
    <row r="66" spans="15:73">
      <c r="O66" s="83"/>
      <c r="P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</row>
    <row r="67" spans="15:73">
      <c r="O67" s="83"/>
      <c r="P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5:73">
      <c r="O68" s="83"/>
      <c r="P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</row>
    <row r="69" spans="15:73">
      <c r="O69" s="83"/>
      <c r="P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</row>
    <row r="70" spans="15:73">
      <c r="O70" s="83"/>
      <c r="P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</row>
    <row r="71" spans="15:73">
      <c r="O71" s="83"/>
      <c r="P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</row>
    <row r="72" spans="15:73">
      <c r="O72" s="83"/>
      <c r="P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</row>
    <row r="73" spans="15:73">
      <c r="O73" s="83"/>
      <c r="P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</row>
    <row r="74" spans="15:73">
      <c r="O74" s="83"/>
      <c r="P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5:73">
      <c r="O75" s="83"/>
      <c r="P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</row>
    <row r="76" spans="15:73">
      <c r="O76" s="83"/>
      <c r="P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</row>
    <row r="77" spans="15:73">
      <c r="O77" s="83"/>
      <c r="P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</row>
    <row r="78" spans="15:73">
      <c r="O78" s="83"/>
      <c r="P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</row>
    <row r="79" spans="15:73">
      <c r="O79" s="83"/>
      <c r="P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</row>
    <row r="80" spans="15:73">
      <c r="O80" s="83"/>
      <c r="P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</row>
    <row r="81" spans="15:73">
      <c r="O81" s="83"/>
      <c r="P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</row>
    <row r="82" spans="15:73">
      <c r="O82" s="83"/>
      <c r="P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</row>
    <row r="83" spans="15:73">
      <c r="O83" s="83"/>
      <c r="P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</row>
    <row r="84" spans="15:73"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</row>
    <row r="85" spans="15:73"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</row>
    <row r="86" spans="15:73"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</row>
    <row r="87" spans="15:73"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</row>
    <row r="88" spans="15:73"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</row>
    <row r="89" spans="15:73"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</row>
    <row r="90" spans="15:73"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</row>
    <row r="91" spans="15:73"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</row>
    <row r="92" spans="15:73"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</row>
    <row r="93" spans="15:73"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</row>
    <row r="94" spans="15:73"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</row>
    <row r="95" spans="15:73"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</row>
    <row r="96" spans="15:73"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</row>
    <row r="97" spans="15:73"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</row>
    <row r="98" spans="15:73"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</row>
    <row r="99" spans="15:73"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</row>
    <row r="100" spans="15:73"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</row>
    <row r="101" spans="15:73"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</row>
    <row r="102" spans="15:73"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</row>
    <row r="103" spans="15:73"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</row>
    <row r="104" spans="15:73"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</row>
    <row r="105" spans="15:73"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</row>
    <row r="106" spans="15:73"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</row>
    <row r="107" spans="15:73"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</row>
    <row r="108" spans="15:73"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</row>
    <row r="109" spans="15:73"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</row>
    <row r="110" spans="15:73"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</row>
    <row r="111" spans="15:73"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</row>
    <row r="112" spans="15:73"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</row>
    <row r="113" spans="15:73"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</row>
    <row r="114" spans="15:73"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</row>
    <row r="115" spans="15:73"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</row>
    <row r="116" spans="15:73"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</row>
    <row r="117" spans="15:73"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</row>
    <row r="118" spans="15:73"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</row>
    <row r="119" spans="15:73"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</row>
    <row r="120" spans="15:73"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</row>
    <row r="121" spans="15:73"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</row>
    <row r="122" spans="15:73"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</row>
    <row r="123" spans="15:73"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</row>
    <row r="124" spans="15:73"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</row>
    <row r="125" spans="15:73"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</row>
    <row r="126" spans="15:73"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5:73"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</row>
    <row r="128" spans="15:73"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</row>
    <row r="129" spans="15:73"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</row>
    <row r="130" spans="15:73"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</row>
    <row r="131" spans="15:73"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</row>
    <row r="132" spans="15:73"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</row>
    <row r="133" spans="15:73"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</row>
    <row r="134" spans="15:73"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</row>
    <row r="135" spans="15:73"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</row>
    <row r="136" spans="15:73"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</row>
    <row r="137" spans="15:73"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</row>
    <row r="138" spans="15:73"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</row>
    <row r="139" spans="15:73"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</row>
    <row r="140" spans="15:73"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</row>
    <row r="141" spans="15:73"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</row>
    <row r="142" spans="15:73"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</row>
    <row r="143" spans="15:73"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</row>
    <row r="144" spans="15:73"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</row>
    <row r="145" spans="15:73"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</row>
    <row r="146" spans="15:73"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</row>
    <row r="147" spans="15:73"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</row>
    <row r="148" spans="15:73"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</row>
    <row r="149" spans="15:73"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</row>
    <row r="150" spans="15:73"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</row>
    <row r="151" spans="15:73"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</row>
    <row r="152" spans="15:73"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</row>
    <row r="153" spans="15:73"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</row>
    <row r="154" spans="15:73"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</row>
    <row r="155" spans="15:73"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</row>
    <row r="156" spans="15:73"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</row>
    <row r="157" spans="15:73"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</row>
    <row r="158" spans="15:73"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</row>
    <row r="159" spans="15:73"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</row>
    <row r="160" spans="15:73"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</row>
    <row r="161" spans="15:73"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</row>
    <row r="162" spans="15:73"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</row>
    <row r="163" spans="15:73"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</row>
    <row r="164" spans="15:73"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</row>
    <row r="165" spans="15:73"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</row>
    <row r="166" spans="15:73"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</row>
    <row r="167" spans="15:73"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</row>
    <row r="168" spans="15:73"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</row>
    <row r="169" spans="15:73"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</row>
    <row r="170" spans="15:73"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</row>
    <row r="171" spans="15:73"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</row>
    <row r="172" spans="15:73"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</row>
    <row r="173" spans="15:73"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</row>
    <row r="174" spans="15:73"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</row>
    <row r="175" spans="15:73"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</row>
    <row r="176" spans="15:73"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</row>
    <row r="177" spans="15:73"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</row>
    <row r="178" spans="15:73"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</row>
    <row r="179" spans="15:73"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</row>
    <row r="180" spans="15:73"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</row>
    <row r="181" spans="15:73"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</row>
    <row r="182" spans="15:73"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</row>
    <row r="183" spans="15:73"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</row>
    <row r="184" spans="15:73"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</row>
    <row r="185" spans="15:73"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</row>
    <row r="186" spans="15:73"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</row>
    <row r="187" spans="15:73"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</row>
    <row r="188" spans="15:73"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</row>
    <row r="189" spans="15:73"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</row>
    <row r="190" spans="15:73"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</row>
    <row r="191" spans="15:73"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</row>
    <row r="192" spans="15:73"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</row>
    <row r="193" spans="15:73"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</row>
    <row r="194" spans="15:73"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</row>
    <row r="195" spans="15:73"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</row>
    <row r="196" spans="15:73"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</row>
    <row r="197" spans="15:73"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</row>
    <row r="198" spans="15:73"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</row>
    <row r="199" spans="15:73"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</row>
    <row r="200" spans="15:73"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</row>
    <row r="201" spans="15:73"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</row>
    <row r="202" spans="15:73"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</row>
    <row r="203" spans="15:73"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</row>
    <row r="204" spans="15:73"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</row>
    <row r="205" spans="15:73"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</row>
    <row r="206" spans="15:73"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</row>
    <row r="207" spans="15:73"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</row>
    <row r="208" spans="15:73"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</row>
    <row r="209" spans="15:73"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</row>
    <row r="210" spans="15:73"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</row>
    <row r="211" spans="15:73"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</row>
    <row r="212" spans="15:73"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</row>
    <row r="213" spans="15:73"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</row>
    <row r="214" spans="15:73"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</row>
    <row r="215" spans="15:73"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</row>
    <row r="216" spans="15:73"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</row>
    <row r="217" spans="15:73"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</row>
    <row r="218" spans="15:73"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</row>
    <row r="219" spans="15:73"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</row>
    <row r="220" spans="15:73"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</row>
    <row r="221" spans="15:73"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</row>
    <row r="222" spans="15:73"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</row>
    <row r="223" spans="15:73"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</row>
    <row r="224" spans="15:73"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</row>
    <row r="225" spans="15:73"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</row>
    <row r="226" spans="15:73"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</row>
    <row r="227" spans="15:73"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</row>
    <row r="228" spans="15:73"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</row>
    <row r="229" spans="15:73"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</row>
    <row r="230" spans="15:73"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</row>
    <row r="231" spans="15:73"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</row>
    <row r="232" spans="15:73"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</row>
    <row r="233" spans="15:73"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</row>
    <row r="234" spans="15:73"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</row>
    <row r="235" spans="15:73"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</row>
    <row r="236" spans="15:73"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</row>
    <row r="237" spans="15:73"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</row>
    <row r="238" spans="15:73"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</row>
    <row r="239" spans="15:73"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</row>
    <row r="240" spans="15:73"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</row>
    <row r="241" spans="15:73"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</row>
    <row r="242" spans="15:73"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</row>
    <row r="243" spans="15:73"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</row>
    <row r="244" spans="15:73"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</row>
    <row r="245" spans="15:73"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</row>
    <row r="246" spans="15:73"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</row>
    <row r="247" spans="15:73"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</row>
    <row r="248" spans="15:73"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</row>
    <row r="249" spans="15:73"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</row>
    <row r="250" spans="15:73"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</row>
    <row r="251" spans="15:73"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</row>
    <row r="252" spans="15:73"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</row>
    <row r="253" spans="15:73"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</row>
    <row r="254" spans="15:73"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</row>
    <row r="255" spans="15:73"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</row>
    <row r="256" spans="15:73"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</row>
    <row r="257" spans="15:73"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</row>
    <row r="258" spans="15:73"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</row>
    <row r="259" spans="15:73"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</row>
    <row r="260" spans="15:73"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</row>
    <row r="261" spans="15:73"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</row>
    <row r="262" spans="15:73"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</row>
    <row r="263" spans="15:73"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</row>
    <row r="264" spans="15:73"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</row>
    <row r="265" spans="15:73"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</row>
    <row r="266" spans="15:73"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</row>
    <row r="267" spans="15:73"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</row>
    <row r="268" spans="15:73"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</row>
    <row r="269" spans="15:73"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</row>
    <row r="270" spans="15:73"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</row>
    <row r="271" spans="15:73"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</row>
    <row r="272" spans="15:73"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</row>
    <row r="273" spans="15:73"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</row>
    <row r="274" spans="15:73"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</row>
    <row r="275" spans="15:73"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</row>
    <row r="276" spans="15:73"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</row>
    <row r="277" spans="15:73"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</row>
    <row r="278" spans="15:73"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</row>
    <row r="279" spans="15:73"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</row>
    <row r="280" spans="15:73"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</row>
    <row r="281" spans="15:73"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</row>
    <row r="282" spans="15:73"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</row>
    <row r="283" spans="15:73"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</row>
    <row r="284" spans="15:73"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</row>
    <row r="285" spans="15:73"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</row>
    <row r="286" spans="15:73"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</row>
    <row r="287" spans="15:73"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</row>
    <row r="288" spans="15:73"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</row>
    <row r="289" spans="15:73"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</row>
    <row r="290" spans="15:73"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</row>
    <row r="291" spans="15:73"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</row>
    <row r="292" spans="15:73"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</row>
    <row r="293" spans="15:73"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</row>
    <row r="294" spans="15:73"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</row>
    <row r="295" spans="15:73"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</row>
    <row r="296" spans="15:73"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</row>
    <row r="297" spans="15:73"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</row>
    <row r="298" spans="15:73"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</row>
    <row r="299" spans="15:73"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</row>
    <row r="300" spans="15:73"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</row>
    <row r="301" spans="15:73"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</row>
    <row r="302" spans="15:73"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</row>
    <row r="303" spans="15:73"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</row>
    <row r="304" spans="15:73"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</row>
    <row r="305" spans="15:73"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</row>
    <row r="306" spans="15:73"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</row>
    <row r="307" spans="15:73"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</row>
    <row r="308" spans="15:73"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</row>
    <row r="309" spans="15:73"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</row>
    <row r="310" spans="15:73"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</row>
    <row r="311" spans="15:73"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</row>
    <row r="312" spans="15:73"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</row>
    <row r="313" spans="15:73"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</row>
    <row r="314" spans="15:73"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</row>
    <row r="315" spans="15:73"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</row>
    <row r="316" spans="15:73"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</row>
    <row r="317" spans="15:73"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</row>
    <row r="318" spans="15:73"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</row>
    <row r="319" spans="15:73"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</row>
    <row r="320" spans="15:73"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</row>
    <row r="321" spans="15:73"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</row>
    <row r="322" spans="15:73"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</row>
    <row r="323" spans="15:73"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</row>
    <row r="324" spans="15:73"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</row>
    <row r="325" spans="15:73"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</row>
    <row r="326" spans="15:73"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</row>
    <row r="327" spans="15:73"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</row>
    <row r="328" spans="15:73"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</row>
    <row r="329" spans="15:73"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</row>
    <row r="330" spans="15:73"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</row>
    <row r="331" spans="15:73"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</row>
    <row r="332" spans="15:73"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</row>
    <row r="333" spans="15:73"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</row>
    <row r="334" spans="15:73"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</row>
    <row r="335" spans="15:73"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</row>
    <row r="336" spans="15:73"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</row>
    <row r="337" spans="15:73"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</row>
    <row r="338" spans="15:73"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</row>
    <row r="339" spans="15:73"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</row>
    <row r="340" spans="15:73"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</row>
    <row r="341" spans="15:73"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</row>
    <row r="342" spans="15:73"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</row>
    <row r="343" spans="15:73"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</row>
    <row r="344" spans="15:73"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</row>
    <row r="345" spans="15:73"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</row>
    <row r="346" spans="15:73"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</row>
    <row r="347" spans="15:73"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</row>
    <row r="348" spans="15:73"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</row>
    <row r="349" spans="15:73"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</row>
    <row r="350" spans="15:73"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</row>
    <row r="351" spans="15:73"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</row>
    <row r="352" spans="15:73"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</row>
    <row r="353" spans="15:73"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</row>
    <row r="354" spans="15:73"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</row>
    <row r="355" spans="15:73"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</row>
    <row r="356" spans="15:73"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</row>
    <row r="357" spans="15:73"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</row>
    <row r="358" spans="15:73"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</row>
    <row r="359" spans="15:73"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</row>
    <row r="360" spans="15:73"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</row>
    <row r="361" spans="15:73"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</row>
    <row r="362" spans="15:73"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</row>
    <row r="363" spans="15:73"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</row>
    <row r="364" spans="15:73"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</row>
    <row r="365" spans="15:73"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</row>
    <row r="366" spans="15:73"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</row>
    <row r="367" spans="15:73"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</row>
    <row r="368" spans="15:73"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</row>
    <row r="369" spans="15:73"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</row>
    <row r="370" spans="15:73"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</row>
    <row r="371" spans="15:73"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</row>
    <row r="372" spans="15:73"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</row>
    <row r="373" spans="15:73"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</row>
    <row r="374" spans="15:73"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</row>
    <row r="375" spans="15:73"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</row>
    <row r="376" spans="15:73"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</row>
    <row r="377" spans="15:73"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</row>
    <row r="378" spans="15:73"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</row>
    <row r="379" spans="15:73"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</row>
    <row r="380" spans="15:73"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</row>
    <row r="381" spans="15:73"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</row>
    <row r="382" spans="15:73"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</row>
    <row r="383" spans="15:73"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</row>
    <row r="384" spans="15:73"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</row>
    <row r="385" spans="15:73"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</row>
    <row r="386" spans="15:73"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</row>
    <row r="387" spans="15:73"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</row>
    <row r="388" spans="15:73"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</row>
    <row r="389" spans="15:73"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</row>
    <row r="390" spans="15:73"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</row>
    <row r="391" spans="15:73"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</row>
    <row r="392" spans="15:73"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</row>
    <row r="393" spans="15:73"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</row>
    <row r="394" spans="15:73"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</row>
    <row r="395" spans="15:73"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</row>
    <row r="396" spans="15:73"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</row>
    <row r="397" spans="15:73"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</row>
    <row r="398" spans="15:73"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</row>
    <row r="399" spans="15:73"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</row>
    <row r="400" spans="15:73"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</row>
    <row r="401" spans="15:73"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</row>
    <row r="402" spans="15:73"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</row>
    <row r="403" spans="15:73"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</row>
    <row r="404" spans="15:73"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</row>
    <row r="405" spans="15:73"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</row>
    <row r="406" spans="15:73"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</row>
    <row r="407" spans="15:73"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</row>
    <row r="408" spans="15:73"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</row>
    <row r="409" spans="15:73"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</row>
    <row r="410" spans="15:73"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</row>
    <row r="411" spans="15:73"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</row>
    <row r="412" spans="15:73"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</row>
    <row r="413" spans="15:73"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</row>
    <row r="414" spans="15:73"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</row>
    <row r="415" spans="15:73"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</row>
    <row r="416" spans="15:73"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</row>
    <row r="417" spans="15:73"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</row>
    <row r="418" spans="15:73"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</row>
    <row r="419" spans="15:73"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</row>
    <row r="420" spans="15:73"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</row>
    <row r="421" spans="15:73"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</row>
    <row r="422" spans="15:73"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</row>
    <row r="423" spans="15:73"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</row>
    <row r="424" spans="15:73"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</row>
    <row r="425" spans="15:73"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</row>
    <row r="426" spans="15:73"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</row>
    <row r="427" spans="15:73"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</row>
    <row r="428" spans="15:73"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</row>
    <row r="429" spans="15:73"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</row>
    <row r="430" spans="15:73"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</row>
    <row r="431" spans="15:73"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</row>
    <row r="432" spans="15:73"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  <c r="BM432" s="83"/>
      <c r="BN432" s="83"/>
      <c r="BO432" s="83"/>
      <c r="BP432" s="83"/>
      <c r="BQ432" s="83"/>
      <c r="BR432" s="83"/>
      <c r="BS432" s="83"/>
      <c r="BT432" s="83"/>
      <c r="BU432" s="83"/>
    </row>
    <row r="433" spans="15:73"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  <c r="BM433" s="83"/>
      <c r="BN433" s="83"/>
      <c r="BO433" s="83"/>
      <c r="BP433" s="83"/>
      <c r="BQ433" s="83"/>
      <c r="BR433" s="83"/>
      <c r="BS433" s="83"/>
      <c r="BT433" s="83"/>
      <c r="BU433" s="83"/>
    </row>
    <row r="434" spans="15:73"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  <c r="BM434" s="83"/>
      <c r="BN434" s="83"/>
      <c r="BO434" s="83"/>
      <c r="BP434" s="83"/>
      <c r="BQ434" s="83"/>
      <c r="BR434" s="83"/>
      <c r="BS434" s="83"/>
      <c r="BT434" s="83"/>
      <c r="BU434" s="83"/>
    </row>
    <row r="435" spans="15:73"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  <c r="BM435" s="83"/>
      <c r="BN435" s="83"/>
      <c r="BO435" s="83"/>
      <c r="BP435" s="83"/>
      <c r="BQ435" s="83"/>
      <c r="BR435" s="83"/>
      <c r="BS435" s="83"/>
      <c r="BT435" s="83"/>
      <c r="BU435" s="83"/>
    </row>
    <row r="436" spans="15:73"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  <c r="BM436" s="83"/>
      <c r="BN436" s="83"/>
      <c r="BO436" s="83"/>
      <c r="BP436" s="83"/>
      <c r="BQ436" s="83"/>
      <c r="BR436" s="83"/>
      <c r="BS436" s="83"/>
      <c r="BT436" s="83"/>
      <c r="BU436" s="83"/>
    </row>
    <row r="437" spans="15:73"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  <c r="BM437" s="83"/>
      <c r="BN437" s="83"/>
      <c r="BO437" s="83"/>
      <c r="BP437" s="83"/>
      <c r="BQ437" s="83"/>
      <c r="BR437" s="83"/>
      <c r="BS437" s="83"/>
      <c r="BT437" s="83"/>
      <c r="BU437" s="83"/>
    </row>
    <row r="438" spans="15:73"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  <c r="BM438" s="83"/>
      <c r="BN438" s="83"/>
      <c r="BO438" s="83"/>
      <c r="BP438" s="83"/>
      <c r="BQ438" s="83"/>
      <c r="BR438" s="83"/>
      <c r="BS438" s="83"/>
      <c r="BT438" s="83"/>
      <c r="BU438" s="83"/>
    </row>
    <row r="439" spans="15:73"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</row>
    <row r="440" spans="15:73"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  <c r="BM440" s="83"/>
      <c r="BN440" s="83"/>
      <c r="BO440" s="83"/>
      <c r="BP440" s="83"/>
      <c r="BQ440" s="83"/>
      <c r="BR440" s="83"/>
      <c r="BS440" s="83"/>
      <c r="BT440" s="83"/>
      <c r="BU440" s="83"/>
    </row>
    <row r="441" spans="15:73"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  <c r="BM441" s="83"/>
      <c r="BN441" s="83"/>
      <c r="BO441" s="83"/>
      <c r="BP441" s="83"/>
      <c r="BQ441" s="83"/>
      <c r="BR441" s="83"/>
      <c r="BS441" s="83"/>
      <c r="BT441" s="83"/>
      <c r="BU441" s="83"/>
    </row>
    <row r="442" spans="15:73"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  <c r="BM442" s="83"/>
      <c r="BN442" s="83"/>
      <c r="BO442" s="83"/>
      <c r="BP442" s="83"/>
      <c r="BQ442" s="83"/>
      <c r="BR442" s="83"/>
      <c r="BS442" s="83"/>
      <c r="BT442" s="83"/>
      <c r="BU442" s="83"/>
    </row>
    <row r="443" spans="15:73"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  <c r="BM443" s="83"/>
      <c r="BN443" s="83"/>
      <c r="BO443" s="83"/>
      <c r="BP443" s="83"/>
      <c r="BQ443" s="83"/>
      <c r="BR443" s="83"/>
      <c r="BS443" s="83"/>
      <c r="BT443" s="83"/>
      <c r="BU443" s="83"/>
    </row>
    <row r="444" spans="15:73"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  <c r="BM444" s="83"/>
      <c r="BN444" s="83"/>
      <c r="BO444" s="83"/>
      <c r="BP444" s="83"/>
      <c r="BQ444" s="83"/>
      <c r="BR444" s="83"/>
      <c r="BS444" s="83"/>
      <c r="BT444" s="83"/>
      <c r="BU444" s="83"/>
    </row>
    <row r="445" spans="15:73"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  <c r="BM445" s="83"/>
      <c r="BN445" s="83"/>
      <c r="BO445" s="83"/>
      <c r="BP445" s="83"/>
      <c r="BQ445" s="83"/>
      <c r="BR445" s="83"/>
      <c r="BS445" s="83"/>
      <c r="BT445" s="83"/>
      <c r="BU445" s="83"/>
    </row>
    <row r="446" spans="15:73"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  <c r="BM446" s="83"/>
      <c r="BN446" s="83"/>
      <c r="BO446" s="83"/>
      <c r="BP446" s="83"/>
      <c r="BQ446" s="83"/>
      <c r="BR446" s="83"/>
      <c r="BS446" s="83"/>
      <c r="BT446" s="83"/>
      <c r="BU446" s="83"/>
    </row>
    <row r="447" spans="15:73"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  <c r="BM447" s="83"/>
      <c r="BN447" s="83"/>
      <c r="BO447" s="83"/>
      <c r="BP447" s="83"/>
      <c r="BQ447" s="83"/>
      <c r="BR447" s="83"/>
      <c r="BS447" s="83"/>
      <c r="BT447" s="83"/>
      <c r="BU447" s="83"/>
    </row>
    <row r="448" spans="15:73"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  <c r="BM448" s="83"/>
      <c r="BN448" s="83"/>
      <c r="BO448" s="83"/>
      <c r="BP448" s="83"/>
      <c r="BQ448" s="83"/>
      <c r="BR448" s="83"/>
      <c r="BS448" s="83"/>
      <c r="BT448" s="83"/>
      <c r="BU448" s="83"/>
    </row>
    <row r="449" spans="15:73"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  <c r="BM449" s="83"/>
      <c r="BN449" s="83"/>
      <c r="BO449" s="83"/>
      <c r="BP449" s="83"/>
      <c r="BQ449" s="83"/>
      <c r="BR449" s="83"/>
      <c r="BS449" s="83"/>
      <c r="BT449" s="83"/>
      <c r="BU449" s="83"/>
    </row>
    <row r="450" spans="15:73"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  <c r="BM450" s="83"/>
      <c r="BN450" s="83"/>
      <c r="BO450" s="83"/>
      <c r="BP450" s="83"/>
      <c r="BQ450" s="83"/>
      <c r="BR450" s="83"/>
      <c r="BS450" s="83"/>
      <c r="BT450" s="83"/>
      <c r="BU450" s="83"/>
    </row>
    <row r="451" spans="15:73"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  <c r="BM451" s="83"/>
      <c r="BN451" s="83"/>
      <c r="BO451" s="83"/>
      <c r="BP451" s="83"/>
      <c r="BQ451" s="83"/>
      <c r="BR451" s="83"/>
      <c r="BS451" s="83"/>
      <c r="BT451" s="83"/>
      <c r="BU451" s="83"/>
    </row>
    <row r="452" spans="15:73"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  <c r="BM452" s="83"/>
      <c r="BN452" s="83"/>
      <c r="BO452" s="83"/>
      <c r="BP452" s="83"/>
      <c r="BQ452" s="83"/>
      <c r="BR452" s="83"/>
      <c r="BS452" s="83"/>
      <c r="BT452" s="83"/>
      <c r="BU452" s="83"/>
    </row>
    <row r="453" spans="15:73"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  <c r="BM453" s="83"/>
      <c r="BN453" s="83"/>
      <c r="BO453" s="83"/>
      <c r="BP453" s="83"/>
      <c r="BQ453" s="83"/>
      <c r="BR453" s="83"/>
      <c r="BS453" s="83"/>
      <c r="BT453" s="83"/>
      <c r="BU453" s="83"/>
    </row>
    <row r="454" spans="15:73"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  <c r="BM454" s="83"/>
      <c r="BN454" s="83"/>
      <c r="BO454" s="83"/>
      <c r="BP454" s="83"/>
      <c r="BQ454" s="83"/>
      <c r="BR454" s="83"/>
      <c r="BS454" s="83"/>
      <c r="BT454" s="83"/>
      <c r="BU454" s="83"/>
    </row>
    <row r="455" spans="15:73"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  <c r="BM455" s="83"/>
      <c r="BN455" s="83"/>
      <c r="BO455" s="83"/>
      <c r="BP455" s="83"/>
      <c r="BQ455" s="83"/>
      <c r="BR455" s="83"/>
      <c r="BS455" s="83"/>
      <c r="BT455" s="83"/>
      <c r="BU455" s="83"/>
    </row>
    <row r="456" spans="15:73"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  <c r="BM456" s="83"/>
      <c r="BN456" s="83"/>
      <c r="BO456" s="83"/>
      <c r="BP456" s="83"/>
      <c r="BQ456" s="83"/>
      <c r="BR456" s="83"/>
      <c r="BS456" s="83"/>
      <c r="BT456" s="83"/>
      <c r="BU456" s="83"/>
    </row>
    <row r="457" spans="15:73"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  <c r="BM457" s="83"/>
      <c r="BN457" s="83"/>
      <c r="BO457" s="83"/>
      <c r="BP457" s="83"/>
      <c r="BQ457" s="83"/>
      <c r="BR457" s="83"/>
      <c r="BS457" s="83"/>
      <c r="BT457" s="83"/>
      <c r="BU457" s="83"/>
    </row>
    <row r="458" spans="15:73"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  <c r="BM458" s="83"/>
      <c r="BN458" s="83"/>
      <c r="BO458" s="83"/>
      <c r="BP458" s="83"/>
      <c r="BQ458" s="83"/>
      <c r="BR458" s="83"/>
      <c r="BS458" s="83"/>
      <c r="BT458" s="83"/>
      <c r="BU458" s="83"/>
    </row>
    <row r="459" spans="15:73"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  <c r="BM459" s="83"/>
      <c r="BN459" s="83"/>
      <c r="BO459" s="83"/>
      <c r="BP459" s="83"/>
      <c r="BQ459" s="83"/>
      <c r="BR459" s="83"/>
      <c r="BS459" s="83"/>
      <c r="BT459" s="83"/>
      <c r="BU459" s="83"/>
    </row>
    <row r="460" spans="15:73"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  <c r="BM460" s="83"/>
      <c r="BN460" s="83"/>
      <c r="BO460" s="83"/>
      <c r="BP460" s="83"/>
      <c r="BQ460" s="83"/>
      <c r="BR460" s="83"/>
      <c r="BS460" s="83"/>
      <c r="BT460" s="83"/>
      <c r="BU460" s="83"/>
    </row>
    <row r="461" spans="15:73"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  <c r="BM461" s="83"/>
      <c r="BN461" s="83"/>
      <c r="BO461" s="83"/>
      <c r="BP461" s="83"/>
      <c r="BQ461" s="83"/>
      <c r="BR461" s="83"/>
      <c r="BS461" s="83"/>
      <c r="BT461" s="83"/>
      <c r="BU461" s="83"/>
    </row>
    <row r="462" spans="15:73"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  <c r="BM462" s="83"/>
      <c r="BN462" s="83"/>
      <c r="BO462" s="83"/>
      <c r="BP462" s="83"/>
      <c r="BQ462" s="83"/>
      <c r="BR462" s="83"/>
      <c r="BS462" s="83"/>
      <c r="BT462" s="83"/>
      <c r="BU462" s="83"/>
    </row>
    <row r="463" spans="15:73"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  <c r="BM463" s="83"/>
      <c r="BN463" s="83"/>
      <c r="BO463" s="83"/>
      <c r="BP463" s="83"/>
      <c r="BQ463" s="83"/>
      <c r="BR463" s="83"/>
      <c r="BS463" s="83"/>
      <c r="BT463" s="83"/>
      <c r="BU463" s="83"/>
    </row>
    <row r="464" spans="15:73"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  <c r="BM464" s="83"/>
      <c r="BN464" s="83"/>
      <c r="BO464" s="83"/>
      <c r="BP464" s="83"/>
      <c r="BQ464" s="83"/>
      <c r="BR464" s="83"/>
      <c r="BS464" s="83"/>
      <c r="BT464" s="83"/>
      <c r="BU464" s="83"/>
    </row>
    <row r="465" spans="15:73"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  <c r="BM465" s="83"/>
      <c r="BN465" s="83"/>
      <c r="BO465" s="83"/>
      <c r="BP465" s="83"/>
      <c r="BQ465" s="83"/>
      <c r="BR465" s="83"/>
      <c r="BS465" s="83"/>
      <c r="BT465" s="83"/>
      <c r="BU465" s="83"/>
    </row>
    <row r="466" spans="15:73"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  <c r="BM466" s="83"/>
      <c r="BN466" s="83"/>
      <c r="BO466" s="83"/>
      <c r="BP466" s="83"/>
      <c r="BQ466" s="83"/>
      <c r="BR466" s="83"/>
      <c r="BS466" s="83"/>
      <c r="BT466" s="83"/>
      <c r="BU466" s="83"/>
    </row>
    <row r="467" spans="15:73"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  <c r="BM467" s="83"/>
      <c r="BN467" s="83"/>
      <c r="BO467" s="83"/>
      <c r="BP467" s="83"/>
      <c r="BQ467" s="83"/>
      <c r="BR467" s="83"/>
      <c r="BS467" s="83"/>
      <c r="BT467" s="83"/>
      <c r="BU467" s="83"/>
    </row>
    <row r="468" spans="15:73"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  <c r="BM468" s="83"/>
      <c r="BN468" s="83"/>
      <c r="BO468" s="83"/>
      <c r="BP468" s="83"/>
      <c r="BQ468" s="83"/>
      <c r="BR468" s="83"/>
      <c r="BS468" s="83"/>
      <c r="BT468" s="83"/>
      <c r="BU468" s="83"/>
    </row>
    <row r="469" spans="15:73"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</row>
    <row r="470" spans="15:73"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  <c r="BM470" s="83"/>
      <c r="BN470" s="83"/>
      <c r="BO470" s="83"/>
      <c r="BP470" s="83"/>
      <c r="BQ470" s="83"/>
      <c r="BR470" s="83"/>
      <c r="BS470" s="83"/>
      <c r="BT470" s="83"/>
      <c r="BU470" s="83"/>
    </row>
    <row r="471" spans="15:73"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  <c r="BM471" s="83"/>
      <c r="BN471" s="83"/>
      <c r="BO471" s="83"/>
      <c r="BP471" s="83"/>
      <c r="BQ471" s="83"/>
      <c r="BR471" s="83"/>
      <c r="BS471" s="83"/>
      <c r="BT471" s="83"/>
      <c r="BU471" s="83"/>
    </row>
    <row r="472" spans="15:73"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  <c r="BM472" s="83"/>
      <c r="BN472" s="83"/>
      <c r="BO472" s="83"/>
      <c r="BP472" s="83"/>
      <c r="BQ472" s="83"/>
      <c r="BR472" s="83"/>
      <c r="BS472" s="83"/>
      <c r="BT472" s="83"/>
      <c r="BU472" s="83"/>
    </row>
    <row r="473" spans="15:73"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  <c r="BM473" s="83"/>
      <c r="BN473" s="83"/>
      <c r="BO473" s="83"/>
      <c r="BP473" s="83"/>
      <c r="BQ473" s="83"/>
      <c r="BR473" s="83"/>
      <c r="BS473" s="83"/>
      <c r="BT473" s="83"/>
      <c r="BU473" s="83"/>
    </row>
    <row r="474" spans="15:73"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  <c r="BM474" s="83"/>
      <c r="BN474" s="83"/>
      <c r="BO474" s="83"/>
      <c r="BP474" s="83"/>
      <c r="BQ474" s="83"/>
      <c r="BR474" s="83"/>
      <c r="BS474" s="83"/>
      <c r="BT474" s="83"/>
      <c r="BU474" s="83"/>
    </row>
    <row r="475" spans="15:73"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  <c r="BM475" s="83"/>
      <c r="BN475" s="83"/>
      <c r="BO475" s="83"/>
      <c r="BP475" s="83"/>
      <c r="BQ475" s="83"/>
      <c r="BR475" s="83"/>
      <c r="BS475" s="83"/>
      <c r="BT475" s="83"/>
      <c r="BU475" s="83"/>
    </row>
    <row r="476" spans="15:73"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  <c r="BM476" s="83"/>
      <c r="BN476" s="83"/>
      <c r="BO476" s="83"/>
      <c r="BP476" s="83"/>
      <c r="BQ476" s="83"/>
      <c r="BR476" s="83"/>
      <c r="BS476" s="83"/>
      <c r="BT476" s="83"/>
      <c r="BU476" s="83"/>
    </row>
    <row r="477" spans="15:73"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</row>
    <row r="478" spans="15:73"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</row>
    <row r="479" spans="15:73"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  <c r="BM479" s="83"/>
      <c r="BN479" s="83"/>
      <c r="BO479" s="83"/>
      <c r="BP479" s="83"/>
      <c r="BQ479" s="83"/>
      <c r="BR479" s="83"/>
      <c r="BS479" s="83"/>
      <c r="BT479" s="83"/>
      <c r="BU479" s="83"/>
    </row>
    <row r="480" spans="15:73"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  <c r="BM480" s="83"/>
      <c r="BN480" s="83"/>
      <c r="BO480" s="83"/>
      <c r="BP480" s="83"/>
      <c r="BQ480" s="83"/>
      <c r="BR480" s="83"/>
      <c r="BS480" s="83"/>
      <c r="BT480" s="83"/>
      <c r="BU480" s="83"/>
    </row>
    <row r="481" spans="15:73"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  <c r="BM481" s="83"/>
      <c r="BN481" s="83"/>
      <c r="BO481" s="83"/>
      <c r="BP481" s="83"/>
      <c r="BQ481" s="83"/>
      <c r="BR481" s="83"/>
      <c r="BS481" s="83"/>
      <c r="BT481" s="83"/>
      <c r="BU481" s="83"/>
    </row>
    <row r="482" spans="15:73"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  <c r="BM482" s="83"/>
      <c r="BN482" s="83"/>
      <c r="BO482" s="83"/>
      <c r="BP482" s="83"/>
      <c r="BQ482" s="83"/>
      <c r="BR482" s="83"/>
      <c r="BS482" s="83"/>
      <c r="BT482" s="83"/>
      <c r="BU482" s="83"/>
    </row>
    <row r="483" spans="15:73"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  <c r="BM483" s="83"/>
      <c r="BN483" s="83"/>
      <c r="BO483" s="83"/>
      <c r="BP483" s="83"/>
      <c r="BQ483" s="83"/>
      <c r="BR483" s="83"/>
      <c r="BS483" s="83"/>
      <c r="BT483" s="83"/>
      <c r="BU483" s="83"/>
    </row>
    <row r="484" spans="15:73"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  <c r="BM484" s="83"/>
      <c r="BN484" s="83"/>
      <c r="BO484" s="83"/>
      <c r="BP484" s="83"/>
      <c r="BQ484" s="83"/>
      <c r="BR484" s="83"/>
      <c r="BS484" s="83"/>
      <c r="BT484" s="83"/>
      <c r="BU484" s="83"/>
    </row>
    <row r="485" spans="15:73"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  <c r="BM485" s="83"/>
      <c r="BN485" s="83"/>
      <c r="BO485" s="83"/>
      <c r="BP485" s="83"/>
      <c r="BQ485" s="83"/>
      <c r="BR485" s="83"/>
      <c r="BS485" s="83"/>
      <c r="BT485" s="83"/>
      <c r="BU485" s="83"/>
    </row>
    <row r="486" spans="15:73"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  <c r="BM486" s="83"/>
      <c r="BN486" s="83"/>
      <c r="BO486" s="83"/>
      <c r="BP486" s="83"/>
      <c r="BQ486" s="83"/>
      <c r="BR486" s="83"/>
      <c r="BS486" s="83"/>
      <c r="BT486" s="83"/>
      <c r="BU486" s="83"/>
    </row>
    <row r="487" spans="15:73"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  <c r="BM487" s="83"/>
      <c r="BN487" s="83"/>
      <c r="BO487" s="83"/>
      <c r="BP487" s="83"/>
      <c r="BQ487" s="83"/>
      <c r="BR487" s="83"/>
      <c r="BS487" s="83"/>
      <c r="BT487" s="83"/>
      <c r="BU487" s="83"/>
    </row>
    <row r="488" spans="15:73"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  <c r="BM488" s="83"/>
      <c r="BN488" s="83"/>
      <c r="BO488" s="83"/>
      <c r="BP488" s="83"/>
      <c r="BQ488" s="83"/>
      <c r="BR488" s="83"/>
      <c r="BS488" s="83"/>
      <c r="BT488" s="83"/>
      <c r="BU488" s="83"/>
    </row>
    <row r="489" spans="15:73"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  <c r="BM489" s="83"/>
      <c r="BN489" s="83"/>
      <c r="BO489" s="83"/>
      <c r="BP489" s="83"/>
      <c r="BQ489" s="83"/>
      <c r="BR489" s="83"/>
      <c r="BS489" s="83"/>
      <c r="BT489" s="83"/>
      <c r="BU489" s="83"/>
    </row>
    <row r="490" spans="15:73"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  <c r="BM490" s="83"/>
      <c r="BN490" s="83"/>
      <c r="BO490" s="83"/>
      <c r="BP490" s="83"/>
      <c r="BQ490" s="83"/>
      <c r="BR490" s="83"/>
      <c r="BS490" s="83"/>
      <c r="BT490" s="83"/>
      <c r="BU490" s="83"/>
    </row>
    <row r="491" spans="15:73"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  <c r="BM491" s="83"/>
      <c r="BN491" s="83"/>
      <c r="BO491" s="83"/>
      <c r="BP491" s="83"/>
      <c r="BQ491" s="83"/>
      <c r="BR491" s="83"/>
      <c r="BS491" s="83"/>
      <c r="BT491" s="83"/>
      <c r="BU491" s="83"/>
    </row>
    <row r="492" spans="15:73"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  <c r="BM492" s="83"/>
      <c r="BN492" s="83"/>
      <c r="BO492" s="83"/>
      <c r="BP492" s="83"/>
      <c r="BQ492" s="83"/>
      <c r="BR492" s="83"/>
      <c r="BS492" s="83"/>
      <c r="BT492" s="83"/>
      <c r="BU492" s="83"/>
    </row>
    <row r="493" spans="15:73"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  <c r="BM493" s="83"/>
      <c r="BN493" s="83"/>
      <c r="BO493" s="83"/>
      <c r="BP493" s="83"/>
      <c r="BQ493" s="83"/>
      <c r="BR493" s="83"/>
      <c r="BS493" s="83"/>
      <c r="BT493" s="83"/>
      <c r="BU493" s="83"/>
    </row>
    <row r="494" spans="15:73"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  <c r="BM494" s="83"/>
      <c r="BN494" s="83"/>
      <c r="BO494" s="83"/>
      <c r="BP494" s="83"/>
      <c r="BQ494" s="83"/>
      <c r="BR494" s="83"/>
      <c r="BS494" s="83"/>
      <c r="BT494" s="83"/>
      <c r="BU494" s="83"/>
    </row>
    <row r="495" spans="15:73"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  <c r="BM495" s="83"/>
      <c r="BN495" s="83"/>
      <c r="BO495" s="83"/>
      <c r="BP495" s="83"/>
      <c r="BQ495" s="83"/>
      <c r="BR495" s="83"/>
      <c r="BS495" s="83"/>
      <c r="BT495" s="83"/>
      <c r="BU495" s="83"/>
    </row>
    <row r="496" spans="15:73"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  <c r="BM496" s="83"/>
      <c r="BN496" s="83"/>
      <c r="BO496" s="83"/>
      <c r="BP496" s="83"/>
      <c r="BQ496" s="83"/>
      <c r="BR496" s="83"/>
      <c r="BS496" s="83"/>
      <c r="BT496" s="83"/>
      <c r="BU496" s="83"/>
    </row>
    <row r="497" spans="15:73"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  <c r="BM497" s="83"/>
      <c r="BN497" s="83"/>
      <c r="BO497" s="83"/>
      <c r="BP497" s="83"/>
      <c r="BQ497" s="83"/>
      <c r="BR497" s="83"/>
      <c r="BS497" s="83"/>
      <c r="BT497" s="83"/>
      <c r="BU497" s="83"/>
    </row>
    <row r="498" spans="15:73"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  <c r="BM498" s="83"/>
      <c r="BN498" s="83"/>
      <c r="BO498" s="83"/>
      <c r="BP498" s="83"/>
      <c r="BQ498" s="83"/>
      <c r="BR498" s="83"/>
      <c r="BS498" s="83"/>
      <c r="BT498" s="83"/>
      <c r="BU498" s="83"/>
    </row>
    <row r="499" spans="15:73"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  <c r="BM499" s="83"/>
      <c r="BN499" s="83"/>
      <c r="BO499" s="83"/>
      <c r="BP499" s="83"/>
      <c r="BQ499" s="83"/>
      <c r="BR499" s="83"/>
      <c r="BS499" s="83"/>
      <c r="BT499" s="83"/>
      <c r="BU499" s="83"/>
    </row>
    <row r="500" spans="15:73"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  <c r="BM500" s="83"/>
      <c r="BN500" s="83"/>
      <c r="BO500" s="83"/>
      <c r="BP500" s="83"/>
      <c r="BQ500" s="83"/>
      <c r="BR500" s="83"/>
      <c r="BS500" s="83"/>
      <c r="BT500" s="83"/>
      <c r="BU500" s="83"/>
    </row>
    <row r="501" spans="15:73"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  <c r="BM501" s="83"/>
      <c r="BN501" s="83"/>
      <c r="BO501" s="83"/>
      <c r="BP501" s="83"/>
      <c r="BQ501" s="83"/>
      <c r="BR501" s="83"/>
      <c r="BS501" s="83"/>
      <c r="BT501" s="83"/>
      <c r="BU501" s="83"/>
    </row>
    <row r="502" spans="15:73"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  <c r="BM502" s="83"/>
      <c r="BN502" s="83"/>
      <c r="BO502" s="83"/>
      <c r="BP502" s="83"/>
      <c r="BQ502" s="83"/>
      <c r="BR502" s="83"/>
      <c r="BS502" s="83"/>
      <c r="BT502" s="83"/>
      <c r="BU502" s="83"/>
    </row>
    <row r="503" spans="15:73"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  <c r="BM503" s="83"/>
      <c r="BN503" s="83"/>
      <c r="BO503" s="83"/>
      <c r="BP503" s="83"/>
      <c r="BQ503" s="83"/>
      <c r="BR503" s="83"/>
      <c r="BS503" s="83"/>
      <c r="BT503" s="83"/>
      <c r="BU503" s="83"/>
    </row>
    <row r="504" spans="15:73"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  <c r="BM504" s="83"/>
      <c r="BN504" s="83"/>
      <c r="BO504" s="83"/>
      <c r="BP504" s="83"/>
      <c r="BQ504" s="83"/>
      <c r="BR504" s="83"/>
      <c r="BS504" s="83"/>
      <c r="BT504" s="83"/>
      <c r="BU504" s="83"/>
    </row>
    <row r="505" spans="15:73"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  <c r="BM505" s="83"/>
      <c r="BN505" s="83"/>
      <c r="BO505" s="83"/>
      <c r="BP505" s="83"/>
      <c r="BQ505" s="83"/>
      <c r="BR505" s="83"/>
      <c r="BS505" s="83"/>
      <c r="BT505" s="83"/>
      <c r="BU505" s="83"/>
    </row>
    <row r="506" spans="15:73"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  <c r="BM506" s="83"/>
      <c r="BN506" s="83"/>
      <c r="BO506" s="83"/>
      <c r="BP506" s="83"/>
      <c r="BQ506" s="83"/>
      <c r="BR506" s="83"/>
      <c r="BS506" s="83"/>
      <c r="BT506" s="83"/>
      <c r="BU506" s="83"/>
    </row>
    <row r="507" spans="15:73"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  <c r="BM507" s="83"/>
      <c r="BN507" s="83"/>
      <c r="BO507" s="83"/>
      <c r="BP507" s="83"/>
      <c r="BQ507" s="83"/>
      <c r="BR507" s="83"/>
      <c r="BS507" s="83"/>
      <c r="BT507" s="83"/>
      <c r="BU507" s="83"/>
    </row>
    <row r="508" spans="15:73"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  <c r="BM508" s="83"/>
      <c r="BN508" s="83"/>
      <c r="BO508" s="83"/>
      <c r="BP508" s="83"/>
      <c r="BQ508" s="83"/>
      <c r="BR508" s="83"/>
      <c r="BS508" s="83"/>
      <c r="BT508" s="83"/>
      <c r="BU508" s="83"/>
    </row>
    <row r="509" spans="15:73"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  <c r="BM509" s="83"/>
      <c r="BN509" s="83"/>
      <c r="BO509" s="83"/>
      <c r="BP509" s="83"/>
      <c r="BQ509" s="83"/>
      <c r="BR509" s="83"/>
      <c r="BS509" s="83"/>
      <c r="BT509" s="83"/>
      <c r="BU509" s="83"/>
    </row>
    <row r="510" spans="15:73"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  <c r="BM510" s="83"/>
      <c r="BN510" s="83"/>
      <c r="BO510" s="83"/>
      <c r="BP510" s="83"/>
      <c r="BQ510" s="83"/>
      <c r="BR510" s="83"/>
      <c r="BS510" s="83"/>
      <c r="BT510" s="83"/>
      <c r="BU510" s="83"/>
    </row>
    <row r="511" spans="15:73"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  <c r="BM511" s="83"/>
      <c r="BN511" s="83"/>
      <c r="BO511" s="83"/>
      <c r="BP511" s="83"/>
      <c r="BQ511" s="83"/>
      <c r="BR511" s="83"/>
      <c r="BS511" s="83"/>
      <c r="BT511" s="83"/>
      <c r="BU511" s="83"/>
    </row>
    <row r="512" spans="15:73"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  <c r="BM512" s="83"/>
      <c r="BN512" s="83"/>
      <c r="BO512" s="83"/>
      <c r="BP512" s="83"/>
      <c r="BQ512" s="83"/>
      <c r="BR512" s="83"/>
      <c r="BS512" s="83"/>
      <c r="BT512" s="83"/>
      <c r="BU512" s="83"/>
    </row>
    <row r="513" spans="15:73"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  <c r="BM513" s="83"/>
      <c r="BN513" s="83"/>
      <c r="BO513" s="83"/>
      <c r="BP513" s="83"/>
      <c r="BQ513" s="83"/>
      <c r="BR513" s="83"/>
      <c r="BS513" s="83"/>
      <c r="BT513" s="83"/>
      <c r="BU513" s="83"/>
    </row>
    <row r="514" spans="15:73"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  <c r="BM514" s="83"/>
      <c r="BN514" s="83"/>
      <c r="BO514" s="83"/>
      <c r="BP514" s="83"/>
      <c r="BQ514" s="83"/>
      <c r="BR514" s="83"/>
      <c r="BS514" s="83"/>
      <c r="BT514" s="83"/>
      <c r="BU514" s="83"/>
    </row>
    <row r="515" spans="15:73"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  <c r="BM515" s="83"/>
      <c r="BN515" s="83"/>
      <c r="BO515" s="83"/>
      <c r="BP515" s="83"/>
      <c r="BQ515" s="83"/>
      <c r="BR515" s="83"/>
      <c r="BS515" s="83"/>
      <c r="BT515" s="83"/>
      <c r="BU515" s="83"/>
    </row>
    <row r="516" spans="15:73"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  <c r="BM516" s="83"/>
      <c r="BN516" s="83"/>
      <c r="BO516" s="83"/>
      <c r="BP516" s="83"/>
      <c r="BQ516" s="83"/>
      <c r="BR516" s="83"/>
      <c r="BS516" s="83"/>
      <c r="BT516" s="83"/>
      <c r="BU516" s="83"/>
    </row>
    <row r="517" spans="15:73"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  <c r="BM517" s="83"/>
      <c r="BN517" s="83"/>
      <c r="BO517" s="83"/>
      <c r="BP517" s="83"/>
      <c r="BQ517" s="83"/>
      <c r="BR517" s="83"/>
      <c r="BS517" s="83"/>
      <c r="BT517" s="83"/>
      <c r="BU517" s="83"/>
    </row>
    <row r="518" spans="15:73"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  <c r="BM518" s="83"/>
      <c r="BN518" s="83"/>
      <c r="BO518" s="83"/>
      <c r="BP518" s="83"/>
      <c r="BQ518" s="83"/>
      <c r="BR518" s="83"/>
      <c r="BS518" s="83"/>
      <c r="BT518" s="83"/>
      <c r="BU518" s="83"/>
    </row>
    <row r="519" spans="15:73"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  <c r="BM519" s="83"/>
      <c r="BN519" s="83"/>
      <c r="BO519" s="83"/>
      <c r="BP519" s="83"/>
      <c r="BQ519" s="83"/>
      <c r="BR519" s="83"/>
      <c r="BS519" s="83"/>
      <c r="BT519" s="83"/>
      <c r="BU519" s="83"/>
    </row>
    <row r="520" spans="15:73"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  <c r="BM520" s="83"/>
      <c r="BN520" s="83"/>
      <c r="BO520" s="83"/>
      <c r="BP520" s="83"/>
      <c r="BQ520" s="83"/>
      <c r="BR520" s="83"/>
      <c r="BS520" s="83"/>
      <c r="BT520" s="83"/>
      <c r="BU520" s="83"/>
    </row>
    <row r="521" spans="15:73"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  <c r="BM521" s="83"/>
      <c r="BN521" s="83"/>
      <c r="BO521" s="83"/>
      <c r="BP521" s="83"/>
      <c r="BQ521" s="83"/>
      <c r="BR521" s="83"/>
      <c r="BS521" s="83"/>
      <c r="BT521" s="83"/>
      <c r="BU521" s="83"/>
    </row>
    <row r="522" spans="15:73"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  <c r="BM522" s="83"/>
      <c r="BN522" s="83"/>
      <c r="BO522" s="83"/>
      <c r="BP522" s="83"/>
      <c r="BQ522" s="83"/>
      <c r="BR522" s="83"/>
      <c r="BS522" s="83"/>
      <c r="BT522" s="83"/>
      <c r="BU522" s="83"/>
    </row>
    <row r="523" spans="15:73"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  <c r="BM523" s="83"/>
      <c r="BN523" s="83"/>
      <c r="BO523" s="83"/>
      <c r="BP523" s="83"/>
      <c r="BQ523" s="83"/>
      <c r="BR523" s="83"/>
      <c r="BS523" s="83"/>
      <c r="BT523" s="83"/>
      <c r="BU523" s="83"/>
    </row>
    <row r="524" spans="15:73"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  <c r="BM524" s="83"/>
      <c r="BN524" s="83"/>
      <c r="BO524" s="83"/>
      <c r="BP524" s="83"/>
      <c r="BQ524" s="83"/>
      <c r="BR524" s="83"/>
      <c r="BS524" s="83"/>
      <c r="BT524" s="83"/>
      <c r="BU524" s="83"/>
    </row>
    <row r="525" spans="15:73"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83"/>
      <c r="BK525" s="83"/>
      <c r="BL525" s="83"/>
      <c r="BM525" s="83"/>
      <c r="BN525" s="83"/>
      <c r="BO525" s="83"/>
      <c r="BP525" s="83"/>
      <c r="BQ525" s="83"/>
      <c r="BR525" s="83"/>
      <c r="BS525" s="83"/>
      <c r="BT525" s="83"/>
      <c r="BU525" s="83"/>
    </row>
    <row r="526" spans="15:73"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83"/>
      <c r="BK526" s="83"/>
      <c r="BL526" s="83"/>
      <c r="BM526" s="83"/>
      <c r="BN526" s="83"/>
      <c r="BO526" s="83"/>
      <c r="BP526" s="83"/>
      <c r="BQ526" s="83"/>
      <c r="BR526" s="83"/>
      <c r="BS526" s="83"/>
      <c r="BT526" s="83"/>
      <c r="BU526" s="83"/>
    </row>
    <row r="527" spans="15:73"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83"/>
      <c r="BK527" s="83"/>
      <c r="BL527" s="83"/>
      <c r="BM527" s="83"/>
      <c r="BN527" s="83"/>
      <c r="BO527" s="83"/>
      <c r="BP527" s="83"/>
      <c r="BQ527" s="83"/>
      <c r="BR527" s="83"/>
      <c r="BS527" s="83"/>
      <c r="BT527" s="83"/>
      <c r="BU527" s="83"/>
    </row>
    <row r="528" spans="15:73"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83"/>
      <c r="BK528" s="83"/>
      <c r="BL528" s="83"/>
      <c r="BM528" s="83"/>
      <c r="BN528" s="83"/>
      <c r="BO528" s="83"/>
      <c r="BP528" s="83"/>
      <c r="BQ528" s="83"/>
      <c r="BR528" s="83"/>
      <c r="BS528" s="83"/>
      <c r="BT528" s="83"/>
      <c r="BU528" s="83"/>
    </row>
    <row r="529" spans="15:73"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83"/>
      <c r="BK529" s="83"/>
      <c r="BL529" s="83"/>
      <c r="BM529" s="83"/>
      <c r="BN529" s="83"/>
      <c r="BO529" s="83"/>
      <c r="BP529" s="83"/>
      <c r="BQ529" s="83"/>
      <c r="BR529" s="83"/>
      <c r="BS529" s="83"/>
      <c r="BT529" s="83"/>
      <c r="BU529" s="83"/>
    </row>
    <row r="530" spans="15:73"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83"/>
      <c r="BK530" s="83"/>
      <c r="BL530" s="83"/>
      <c r="BM530" s="83"/>
      <c r="BN530" s="83"/>
      <c r="BO530" s="83"/>
      <c r="BP530" s="83"/>
      <c r="BQ530" s="83"/>
      <c r="BR530" s="83"/>
      <c r="BS530" s="83"/>
      <c r="BT530" s="83"/>
      <c r="BU530" s="83"/>
    </row>
    <row r="531" spans="15:73"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83"/>
      <c r="BK531" s="83"/>
      <c r="BL531" s="83"/>
      <c r="BM531" s="83"/>
      <c r="BN531" s="83"/>
      <c r="BO531" s="83"/>
      <c r="BP531" s="83"/>
      <c r="BQ531" s="83"/>
      <c r="BR531" s="83"/>
      <c r="BS531" s="83"/>
      <c r="BT531" s="83"/>
      <c r="BU531" s="83"/>
    </row>
    <row r="532" spans="15:73"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83"/>
      <c r="BK532" s="83"/>
      <c r="BL532" s="83"/>
      <c r="BM532" s="83"/>
      <c r="BN532" s="83"/>
      <c r="BO532" s="83"/>
      <c r="BP532" s="83"/>
      <c r="BQ532" s="83"/>
      <c r="BR532" s="83"/>
      <c r="BS532" s="83"/>
      <c r="BT532" s="83"/>
      <c r="BU532" s="83"/>
    </row>
    <row r="533" spans="15:73"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83"/>
      <c r="BK533" s="83"/>
      <c r="BL533" s="83"/>
      <c r="BM533" s="83"/>
      <c r="BN533" s="83"/>
      <c r="BO533" s="83"/>
      <c r="BP533" s="83"/>
      <c r="BQ533" s="83"/>
      <c r="BR533" s="83"/>
      <c r="BS533" s="83"/>
      <c r="BT533" s="83"/>
      <c r="BU533" s="83"/>
    </row>
    <row r="534" spans="15:73"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83"/>
      <c r="BK534" s="83"/>
      <c r="BL534" s="83"/>
      <c r="BM534" s="83"/>
      <c r="BN534" s="83"/>
      <c r="BO534" s="83"/>
      <c r="BP534" s="83"/>
      <c r="BQ534" s="83"/>
      <c r="BR534" s="83"/>
      <c r="BS534" s="83"/>
      <c r="BT534" s="83"/>
      <c r="BU534" s="83"/>
    </row>
    <row r="535" spans="15:73"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83"/>
      <c r="BK535" s="83"/>
      <c r="BL535" s="83"/>
      <c r="BM535" s="83"/>
      <c r="BN535" s="83"/>
      <c r="BO535" s="83"/>
      <c r="BP535" s="83"/>
      <c r="BQ535" s="83"/>
      <c r="BR535" s="83"/>
      <c r="BS535" s="83"/>
      <c r="BT535" s="83"/>
      <c r="BU535" s="83"/>
    </row>
    <row r="536" spans="15:73"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83"/>
      <c r="BK536" s="83"/>
      <c r="BL536" s="83"/>
      <c r="BM536" s="83"/>
      <c r="BN536" s="83"/>
      <c r="BO536" s="83"/>
      <c r="BP536" s="83"/>
      <c r="BQ536" s="83"/>
      <c r="BR536" s="83"/>
      <c r="BS536" s="83"/>
      <c r="BT536" s="83"/>
      <c r="BU536" s="83"/>
    </row>
    <row r="537" spans="15:73"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83"/>
      <c r="BK537" s="83"/>
      <c r="BL537" s="83"/>
      <c r="BM537" s="83"/>
      <c r="BN537" s="83"/>
      <c r="BO537" s="83"/>
      <c r="BP537" s="83"/>
      <c r="BQ537" s="83"/>
      <c r="BR537" s="83"/>
      <c r="BS537" s="83"/>
      <c r="BT537" s="83"/>
      <c r="BU537" s="83"/>
    </row>
    <row r="538" spans="15:73"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83"/>
      <c r="BK538" s="83"/>
      <c r="BL538" s="83"/>
      <c r="BM538" s="83"/>
      <c r="BN538" s="83"/>
      <c r="BO538" s="83"/>
      <c r="BP538" s="83"/>
      <c r="BQ538" s="83"/>
      <c r="BR538" s="83"/>
      <c r="BS538" s="83"/>
      <c r="BT538" s="83"/>
      <c r="BU538" s="83"/>
    </row>
    <row r="539" spans="15:73"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83"/>
      <c r="BK539" s="83"/>
      <c r="BL539" s="83"/>
      <c r="BM539" s="83"/>
      <c r="BN539" s="83"/>
      <c r="BO539" s="83"/>
      <c r="BP539" s="83"/>
      <c r="BQ539" s="83"/>
      <c r="BR539" s="83"/>
      <c r="BS539" s="83"/>
      <c r="BT539" s="83"/>
      <c r="BU539" s="83"/>
    </row>
    <row r="540" spans="15:73"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83"/>
      <c r="BK540" s="83"/>
      <c r="BL540" s="83"/>
      <c r="BM540" s="83"/>
      <c r="BN540" s="83"/>
      <c r="BO540" s="83"/>
      <c r="BP540" s="83"/>
      <c r="BQ540" s="83"/>
      <c r="BR540" s="83"/>
      <c r="BS540" s="83"/>
      <c r="BT540" s="83"/>
      <c r="BU540" s="83"/>
    </row>
    <row r="541" spans="15:73"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83"/>
      <c r="BK541" s="83"/>
      <c r="BL541" s="83"/>
      <c r="BM541" s="83"/>
      <c r="BN541" s="83"/>
      <c r="BO541" s="83"/>
      <c r="BP541" s="83"/>
      <c r="BQ541" s="83"/>
      <c r="BR541" s="83"/>
      <c r="BS541" s="83"/>
      <c r="BT541" s="83"/>
      <c r="BU541" s="83"/>
    </row>
    <row r="542" spans="15:73"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  <c r="BM542" s="83"/>
      <c r="BN542" s="83"/>
      <c r="BO542" s="83"/>
      <c r="BP542" s="83"/>
      <c r="BQ542" s="83"/>
      <c r="BR542" s="83"/>
      <c r="BS542" s="83"/>
      <c r="BT542" s="83"/>
      <c r="BU542" s="83"/>
    </row>
    <row r="543" spans="15:73"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  <c r="BM543" s="83"/>
      <c r="BN543" s="83"/>
      <c r="BO543" s="83"/>
      <c r="BP543" s="83"/>
      <c r="BQ543" s="83"/>
      <c r="BR543" s="83"/>
      <c r="BS543" s="83"/>
      <c r="BT543" s="83"/>
      <c r="BU543" s="83"/>
    </row>
    <row r="544" spans="15:73"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  <c r="BM544" s="83"/>
      <c r="BN544" s="83"/>
      <c r="BO544" s="83"/>
      <c r="BP544" s="83"/>
      <c r="BQ544" s="83"/>
      <c r="BR544" s="83"/>
      <c r="BS544" s="83"/>
      <c r="BT544" s="83"/>
      <c r="BU544" s="83"/>
    </row>
    <row r="545" spans="15:73"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  <c r="BM545" s="83"/>
      <c r="BN545" s="83"/>
      <c r="BO545" s="83"/>
      <c r="BP545" s="83"/>
      <c r="BQ545" s="83"/>
      <c r="BR545" s="83"/>
      <c r="BS545" s="83"/>
      <c r="BT545" s="83"/>
      <c r="BU545" s="83"/>
    </row>
    <row r="546" spans="15:73"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83"/>
      <c r="BK546" s="83"/>
      <c r="BL546" s="83"/>
      <c r="BM546" s="83"/>
      <c r="BN546" s="83"/>
      <c r="BO546" s="83"/>
      <c r="BP546" s="83"/>
      <c r="BQ546" s="83"/>
      <c r="BR546" s="83"/>
      <c r="BS546" s="83"/>
      <c r="BT546" s="83"/>
      <c r="BU546" s="83"/>
    </row>
    <row r="547" spans="15:73"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83"/>
      <c r="BK547" s="83"/>
      <c r="BL547" s="83"/>
      <c r="BM547" s="83"/>
      <c r="BN547" s="83"/>
      <c r="BO547" s="83"/>
      <c r="BP547" s="83"/>
      <c r="BQ547" s="83"/>
      <c r="BR547" s="83"/>
      <c r="BS547" s="83"/>
      <c r="BT547" s="83"/>
      <c r="BU547" s="83"/>
    </row>
    <row r="548" spans="15:73"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  <c r="BI548" s="83"/>
      <c r="BJ548" s="83"/>
      <c r="BK548" s="83"/>
      <c r="BL548" s="83"/>
      <c r="BM548" s="83"/>
      <c r="BN548" s="83"/>
      <c r="BO548" s="83"/>
      <c r="BP548" s="83"/>
      <c r="BQ548" s="83"/>
      <c r="BR548" s="83"/>
      <c r="BS548" s="83"/>
      <c r="BT548" s="83"/>
      <c r="BU548" s="83"/>
    </row>
    <row r="549" spans="15:73"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  <c r="BM549" s="83"/>
      <c r="BN549" s="83"/>
      <c r="BO549" s="83"/>
      <c r="BP549" s="83"/>
      <c r="BQ549" s="83"/>
      <c r="BR549" s="83"/>
      <c r="BS549" s="83"/>
      <c r="BT549" s="83"/>
      <c r="BU549" s="83"/>
    </row>
    <row r="550" spans="15:73"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  <c r="BM550" s="83"/>
      <c r="BN550" s="83"/>
      <c r="BO550" s="83"/>
      <c r="BP550" s="83"/>
      <c r="BQ550" s="83"/>
      <c r="BR550" s="83"/>
      <c r="BS550" s="83"/>
      <c r="BT550" s="83"/>
      <c r="BU550" s="83"/>
    </row>
    <row r="551" spans="15:73"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  <c r="BM551" s="83"/>
      <c r="BN551" s="83"/>
      <c r="BO551" s="83"/>
      <c r="BP551" s="83"/>
      <c r="BQ551" s="83"/>
      <c r="BR551" s="83"/>
      <c r="BS551" s="83"/>
      <c r="BT551" s="83"/>
      <c r="BU551" s="83"/>
    </row>
    <row r="552" spans="15:73"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83"/>
      <c r="BK552" s="83"/>
      <c r="BL552" s="83"/>
      <c r="BM552" s="83"/>
      <c r="BN552" s="83"/>
      <c r="BO552" s="83"/>
      <c r="BP552" s="83"/>
      <c r="BQ552" s="83"/>
      <c r="BR552" s="83"/>
      <c r="BS552" s="83"/>
      <c r="BT552" s="83"/>
      <c r="BU552" s="83"/>
    </row>
    <row r="553" spans="15:73"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  <c r="BI553" s="83"/>
      <c r="BJ553" s="83"/>
      <c r="BK553" s="83"/>
      <c r="BL553" s="83"/>
      <c r="BM553" s="83"/>
      <c r="BN553" s="83"/>
      <c r="BO553" s="83"/>
      <c r="BP553" s="83"/>
      <c r="BQ553" s="83"/>
      <c r="BR553" s="83"/>
      <c r="BS553" s="83"/>
      <c r="BT553" s="83"/>
      <c r="BU553" s="83"/>
    </row>
  </sheetData>
  <dataConsolidate link="1"/>
  <phoneticPr fontId="57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62"/>
  <sheetViews>
    <sheetView showGridLines="0" zoomScale="70" zoomScaleNormal="70" workbookViewId="0"/>
  </sheetViews>
  <sheetFormatPr defaultColWidth="9.33203125" defaultRowHeight="13.2"/>
  <cols>
    <col min="1" max="1" width="16" customWidth="1"/>
    <col min="2" max="2" width="12.44140625" bestFit="1" customWidth="1"/>
    <col min="3" max="3" width="14.6640625" bestFit="1" customWidth="1"/>
    <col min="4" max="4" width="12" bestFit="1" customWidth="1"/>
    <col min="5" max="5" width="13.44140625" bestFit="1" customWidth="1"/>
    <col min="6" max="6" width="6.88671875" customWidth="1"/>
    <col min="7" max="7" width="14.44140625" bestFit="1" customWidth="1"/>
    <col min="8" max="8" width="15.44140625" bestFit="1" customWidth="1"/>
    <col min="9" max="9" width="13.44140625" bestFit="1" customWidth="1"/>
    <col min="10" max="10" width="10.5546875" customWidth="1"/>
    <col min="11" max="11" width="13.5546875" customWidth="1"/>
    <col min="12" max="12" width="11.5546875" bestFit="1" customWidth="1"/>
    <col min="13" max="13" width="14.6640625" customWidth="1"/>
    <col min="14" max="14" width="10.6640625" customWidth="1"/>
  </cols>
  <sheetData>
    <row r="1" spans="1:16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6" ht="13.8">
      <c r="A2" s="15"/>
      <c r="B2" s="228" t="s">
        <v>58</v>
      </c>
      <c r="C2" s="228"/>
      <c r="D2" s="228"/>
      <c r="E2" s="228"/>
      <c r="F2" s="15"/>
      <c r="G2" s="228" t="s">
        <v>59</v>
      </c>
      <c r="H2" s="228"/>
      <c r="I2" s="228"/>
      <c r="J2" s="15"/>
    </row>
    <row r="3" spans="1:16" ht="13.8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6" ht="13.8">
      <c r="A4" s="21" t="s">
        <v>61</v>
      </c>
      <c r="B4" s="23" t="s">
        <v>62</v>
      </c>
      <c r="C4" s="23" t="s">
        <v>27</v>
      </c>
      <c r="D4" s="23" t="s">
        <v>28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6" ht="14.4">
      <c r="A5" s="15"/>
      <c r="B5" s="229" t="s">
        <v>67</v>
      </c>
      <c r="C5" s="229"/>
      <c r="D5" s="229"/>
      <c r="E5" s="229"/>
      <c r="F5" s="229"/>
      <c r="G5" s="229"/>
      <c r="H5" s="229"/>
      <c r="I5" s="229"/>
      <c r="J5" s="229"/>
    </row>
    <row r="6" spans="1:16" ht="13.8">
      <c r="A6" s="15" t="s">
        <v>35</v>
      </c>
      <c r="B6" s="146">
        <v>310.92700000000002</v>
      </c>
      <c r="C6" s="37">
        <v>52493.097999999998</v>
      </c>
      <c r="D6" s="37">
        <v>634.23588423800004</v>
      </c>
      <c r="E6" s="118">
        <f>SUM(B6:D6)</f>
        <v>53438.260884238</v>
      </c>
      <c r="F6" s="37"/>
      <c r="G6" s="37">
        <f>E6-H6-J6</f>
        <v>38520.852884237996</v>
      </c>
      <c r="H6" s="121">
        <v>14546.517</v>
      </c>
      <c r="I6" s="37">
        <f>E6-J6</f>
        <v>53067.369884237996</v>
      </c>
      <c r="J6" s="37">
        <v>370.89100000000002</v>
      </c>
      <c r="K6" s="86"/>
      <c r="L6" s="137"/>
      <c r="M6" s="95"/>
    </row>
    <row r="7" spans="1:16" ht="16.2">
      <c r="A7" s="15" t="s">
        <v>36</v>
      </c>
      <c r="B7" s="146">
        <f>J6</f>
        <v>370.89100000000002</v>
      </c>
      <c r="C7" s="37">
        <f>C23</f>
        <v>54106.152000000002</v>
      </c>
      <c r="D7" s="37">
        <f>D23</f>
        <v>687.28289952299997</v>
      </c>
      <c r="E7" s="118">
        <f>SUM(B7:D7)</f>
        <v>55164.325899523006</v>
      </c>
      <c r="F7" s="37"/>
      <c r="G7" s="37">
        <f>E7-H7-J7</f>
        <v>38603.698899523006</v>
      </c>
      <c r="H7" s="121">
        <v>16107.337</v>
      </c>
      <c r="I7" s="37">
        <f>E7-J7</f>
        <v>54711.035899523005</v>
      </c>
      <c r="J7" s="37">
        <f>J22</f>
        <v>453.29</v>
      </c>
      <c r="K7" s="86"/>
      <c r="L7" s="137"/>
    </row>
    <row r="8" spans="1:16" s="138" customFormat="1" ht="16.2">
      <c r="A8" s="130" t="s">
        <v>37</v>
      </c>
      <c r="B8" s="205">
        <f>J7</f>
        <v>453.29</v>
      </c>
      <c r="C8" s="206">
        <v>57296.59</v>
      </c>
      <c r="D8" s="206">
        <v>625</v>
      </c>
      <c r="E8" s="200">
        <f>SUM(B8:D8)</f>
        <v>58374.879999999997</v>
      </c>
      <c r="F8" s="206"/>
      <c r="G8" s="206">
        <v>40525</v>
      </c>
      <c r="H8" s="207">
        <v>17400</v>
      </c>
      <c r="I8" s="206">
        <f>SUM(G8:H8)</f>
        <v>57925</v>
      </c>
      <c r="J8" s="206">
        <f>E8-I8</f>
        <v>449.87999999999738</v>
      </c>
      <c r="L8" s="208"/>
    </row>
    <row r="9" spans="1:16" ht="13.8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6" ht="13.8">
      <c r="A10" s="30" t="s">
        <v>53</v>
      </c>
      <c r="B10" s="39"/>
      <c r="C10" s="6"/>
      <c r="D10" s="6"/>
      <c r="E10" s="6"/>
      <c r="F10" s="6"/>
      <c r="G10" s="6"/>
      <c r="H10" s="6"/>
      <c r="I10" s="6"/>
      <c r="J10" s="6"/>
    </row>
    <row r="11" spans="1:16" ht="14.4">
      <c r="A11" s="15" t="s">
        <v>39</v>
      </c>
      <c r="B11" s="104">
        <f>J6</f>
        <v>370.89100000000002</v>
      </c>
      <c r="C11" s="105">
        <v>4738.4830000000002</v>
      </c>
      <c r="D11" s="6">
        <f>(43352.2*1.10231)/1000</f>
        <v>47.787563581999997</v>
      </c>
      <c r="E11" s="6">
        <f t="shared" ref="E11:E22" si="0">SUM(B11:D11)</f>
        <v>5157.1615635819999</v>
      </c>
      <c r="F11" s="6"/>
      <c r="G11" s="6">
        <f t="shared" ref="G11:G20" si="1">I11-H11</f>
        <v>3602.9976581149999</v>
      </c>
      <c r="H11" s="6">
        <f>(1106335.7*1.10231)/1000</f>
        <v>1219.5249054669998</v>
      </c>
      <c r="I11" s="98">
        <f t="shared" ref="I11:I20" si="2">E11-J11</f>
        <v>4822.5225635819997</v>
      </c>
      <c r="J11" s="105">
        <v>334.63900000000001</v>
      </c>
      <c r="K11" s="84"/>
      <c r="M11" s="120"/>
      <c r="N11" s="120"/>
    </row>
    <row r="12" spans="1:16" ht="14.4">
      <c r="A12" s="15" t="s">
        <v>40</v>
      </c>
      <c r="B12" s="39">
        <f t="shared" ref="B12:B18" si="3">J11</f>
        <v>334.63900000000001</v>
      </c>
      <c r="C12" s="6">
        <v>4706.2079999999996</v>
      </c>
      <c r="D12" s="6">
        <f>(48390.3*1.10231)/1000</f>
        <v>53.341111593000001</v>
      </c>
      <c r="E12" s="6">
        <f t="shared" si="0"/>
        <v>5094.188111593</v>
      </c>
      <c r="F12" s="6"/>
      <c r="G12" s="6">
        <f t="shared" si="1"/>
        <v>3280.6629275390005</v>
      </c>
      <c r="H12" s="6">
        <f>(1369023.4*1.10231)/1000</f>
        <v>1509.0881840539998</v>
      </c>
      <c r="I12" s="6">
        <f t="shared" si="2"/>
        <v>4789.7511115930001</v>
      </c>
      <c r="J12" s="6">
        <v>304.43700000000001</v>
      </c>
      <c r="K12" s="84"/>
      <c r="M12" s="120"/>
      <c r="N12" s="120"/>
    </row>
    <row r="13" spans="1:16" ht="14.4">
      <c r="A13" s="15" t="s">
        <v>42</v>
      </c>
      <c r="B13" s="39">
        <f t="shared" si="3"/>
        <v>304.43700000000001</v>
      </c>
      <c r="C13" s="6">
        <v>4818.3419999999996</v>
      </c>
      <c r="D13" s="102">
        <f>(53099.9*1.10231)/1000</f>
        <v>58.532550768999997</v>
      </c>
      <c r="E13" s="102">
        <f t="shared" si="0"/>
        <v>5181.311550769</v>
      </c>
      <c r="F13" s="102"/>
      <c r="G13" s="102">
        <f t="shared" si="1"/>
        <v>3073.843674963</v>
      </c>
      <c r="H13" s="102">
        <f>(1457582.6*1.10231)/1000</f>
        <v>1606.7078758059999</v>
      </c>
      <c r="I13" s="102">
        <f t="shared" si="2"/>
        <v>4680.5515507689997</v>
      </c>
      <c r="J13" s="6">
        <v>500.76</v>
      </c>
      <c r="K13" s="84"/>
      <c r="M13" s="120"/>
      <c r="N13" s="120"/>
    </row>
    <row r="14" spans="1:16" ht="14.4">
      <c r="A14" s="15" t="s">
        <v>43</v>
      </c>
      <c r="B14" s="39">
        <f t="shared" si="3"/>
        <v>500.76</v>
      </c>
      <c r="C14" s="6">
        <v>4583.558</v>
      </c>
      <c r="D14" s="102">
        <f>(53674.5*1.10231)/1000</f>
        <v>59.165938094999994</v>
      </c>
      <c r="E14" s="102">
        <f t="shared" si="0"/>
        <v>5143.4839380949998</v>
      </c>
      <c r="F14" s="102"/>
      <c r="G14" s="102">
        <f t="shared" si="1"/>
        <v>3276.5696487350006</v>
      </c>
      <c r="H14" s="102">
        <f>(1376056*1.10231)/1000</f>
        <v>1516.8402893599998</v>
      </c>
      <c r="I14" s="102">
        <f t="shared" si="2"/>
        <v>4793.4099380950001</v>
      </c>
      <c r="J14" s="6">
        <v>350.07400000000001</v>
      </c>
      <c r="K14" s="84"/>
      <c r="M14" s="120"/>
      <c r="N14" s="120"/>
      <c r="P14" s="34"/>
    </row>
    <row r="15" spans="1:16" ht="14.4">
      <c r="A15" s="15" t="s">
        <v>44</v>
      </c>
      <c r="B15" s="39">
        <f t="shared" si="3"/>
        <v>350.07400000000001</v>
      </c>
      <c r="C15" s="6">
        <v>4546.5569999999998</v>
      </c>
      <c r="D15" s="102">
        <f>(57158.1*1.10231)/1000</f>
        <v>63.00594521099999</v>
      </c>
      <c r="E15" s="102">
        <f t="shared" si="0"/>
        <v>4959.6369452109993</v>
      </c>
      <c r="F15" s="102"/>
      <c r="G15" s="102">
        <f t="shared" si="1"/>
        <v>3127.9675940109992</v>
      </c>
      <c r="H15" s="102">
        <f>(1365520*1.10231)/1000</f>
        <v>1505.2263512</v>
      </c>
      <c r="I15" s="102">
        <f t="shared" si="2"/>
        <v>4633.1939452109991</v>
      </c>
      <c r="J15" s="6">
        <v>326.44299999999998</v>
      </c>
      <c r="K15" s="84"/>
      <c r="M15" s="120"/>
      <c r="N15" s="120"/>
      <c r="P15" s="34"/>
    </row>
    <row r="16" spans="1:16" ht="14.4">
      <c r="A16" s="15" t="s">
        <v>46</v>
      </c>
      <c r="B16" s="39">
        <f t="shared" si="3"/>
        <v>326.44299999999998</v>
      </c>
      <c r="C16" s="6">
        <v>4793.0349999999999</v>
      </c>
      <c r="D16" s="102">
        <f>(52412.6*1.10231)/1000</f>
        <v>57.774933105999999</v>
      </c>
      <c r="E16" s="102">
        <f t="shared" si="0"/>
        <v>5177.2529331060005</v>
      </c>
      <c r="F16" s="102"/>
      <c r="G16" s="102">
        <f t="shared" si="1"/>
        <v>2965.2661064250001</v>
      </c>
      <c r="H16" s="102">
        <f>(1498795.1*1.10231)/1000</f>
        <v>1652.136826681</v>
      </c>
      <c r="I16" s="102">
        <f t="shared" si="2"/>
        <v>4617.4029331060001</v>
      </c>
      <c r="J16" s="6">
        <v>559.85</v>
      </c>
      <c r="K16" s="84"/>
      <c r="M16" s="120"/>
      <c r="N16" s="120"/>
      <c r="P16" s="34"/>
    </row>
    <row r="17" spans="1:16" ht="14.4">
      <c r="A17" s="15" t="s">
        <v>47</v>
      </c>
      <c r="B17" s="39">
        <f t="shared" si="3"/>
        <v>559.85</v>
      </c>
      <c r="C17" s="6">
        <v>4201.777</v>
      </c>
      <c r="D17" s="102">
        <f>(45671.7*1.10231)/1000</f>
        <v>50.344371626999994</v>
      </c>
      <c r="E17" s="102">
        <f t="shared" si="0"/>
        <v>4811.9713716270007</v>
      </c>
      <c r="F17" s="102"/>
      <c r="G17" s="102">
        <f t="shared" si="1"/>
        <v>3090.7359551340005</v>
      </c>
      <c r="H17" s="102">
        <f>(1257180.3*1.10231)/1000</f>
        <v>1385.802416493</v>
      </c>
      <c r="I17" s="102">
        <f t="shared" si="2"/>
        <v>4476.5383716270007</v>
      </c>
      <c r="J17" s="6">
        <v>335.43299999999999</v>
      </c>
      <c r="K17" s="84"/>
      <c r="M17" s="120"/>
      <c r="N17" s="120"/>
      <c r="P17" s="34"/>
    </row>
    <row r="18" spans="1:16" ht="14.4">
      <c r="A18" s="15" t="s">
        <v>48</v>
      </c>
      <c r="B18" s="39">
        <f t="shared" si="3"/>
        <v>335.43299999999999</v>
      </c>
      <c r="C18" s="6">
        <v>4506.893</v>
      </c>
      <c r="D18" s="102">
        <f>(61818.5*1.10231)/1000</f>
        <v>68.143150734999992</v>
      </c>
      <c r="E18" s="102">
        <f t="shared" si="0"/>
        <v>4910.4691507349999</v>
      </c>
      <c r="F18" s="102"/>
      <c r="G18" s="102">
        <f t="shared" si="1"/>
        <v>3444.2383320180006</v>
      </c>
      <c r="H18" s="102">
        <f>(1010410.7*1.10231)/1000</f>
        <v>1113.7858187169998</v>
      </c>
      <c r="I18" s="102">
        <f t="shared" si="2"/>
        <v>4558.0241507350001</v>
      </c>
      <c r="J18" s="6">
        <v>352.44499999999999</v>
      </c>
      <c r="K18" s="84"/>
      <c r="M18" s="120"/>
      <c r="N18" s="120"/>
      <c r="P18" s="34"/>
    </row>
    <row r="19" spans="1:16" ht="14.4">
      <c r="A19" s="15" t="s">
        <v>49</v>
      </c>
      <c r="B19" s="39">
        <f>J18</f>
        <v>352.44499999999999</v>
      </c>
      <c r="C19" s="6">
        <v>4330.68</v>
      </c>
      <c r="D19" s="102">
        <f>(44979.4*1.10231)/1000</f>
        <v>49.581242414000002</v>
      </c>
      <c r="E19" s="102">
        <f t="shared" si="0"/>
        <v>4732.7062424140004</v>
      </c>
      <c r="F19" s="102"/>
      <c r="G19" s="102">
        <f t="shared" si="1"/>
        <v>3006.2036164590004</v>
      </c>
      <c r="H19" s="102">
        <f>(1119080.5*1.10231)/1000</f>
        <v>1233.5736259549999</v>
      </c>
      <c r="I19" s="102">
        <f t="shared" si="2"/>
        <v>4239.7772424140003</v>
      </c>
      <c r="J19" s="6">
        <v>492.92899999999997</v>
      </c>
      <c r="K19" s="84"/>
      <c r="M19" s="120"/>
      <c r="N19" s="120"/>
      <c r="P19" s="34"/>
    </row>
    <row r="20" spans="1:16" ht="14.4">
      <c r="A20" s="15" t="s">
        <v>50</v>
      </c>
      <c r="B20" s="39">
        <f>J19</f>
        <v>492.92899999999997</v>
      </c>
      <c r="C20" s="6">
        <v>4548.6549999999997</v>
      </c>
      <c r="D20" s="102">
        <f>(38648.7*1.10231)/1000</f>
        <v>42.602848496999989</v>
      </c>
      <c r="E20" s="102">
        <f t="shared" si="0"/>
        <v>5084.186848497</v>
      </c>
      <c r="F20" s="102"/>
      <c r="G20" s="102">
        <f t="shared" si="1"/>
        <v>3531.9827891890004</v>
      </c>
      <c r="H20" s="102">
        <f>(1017566.8*1.10231)/1000</f>
        <v>1121.6740593079999</v>
      </c>
      <c r="I20" s="102">
        <f t="shared" si="2"/>
        <v>4653.6568484970003</v>
      </c>
      <c r="J20" s="6">
        <v>430.53</v>
      </c>
      <c r="K20" s="84"/>
      <c r="M20" s="120"/>
      <c r="N20" s="120"/>
      <c r="P20" s="34"/>
    </row>
    <row r="21" spans="1:16" ht="14.4">
      <c r="A21" s="15" t="s">
        <v>51</v>
      </c>
      <c r="B21" s="39">
        <f>J20</f>
        <v>430.53</v>
      </c>
      <c r="C21" s="6">
        <v>3963.0810000000001</v>
      </c>
      <c r="D21" s="102">
        <f>(54003.3*1.10231)/1000</f>
        <v>59.528377622999997</v>
      </c>
      <c r="E21" s="102">
        <f t="shared" si="0"/>
        <v>4453.1393776229997</v>
      </c>
      <c r="F21" s="102"/>
      <c r="G21" s="102">
        <f>I21-H21</f>
        <v>3097.4258477249996</v>
      </c>
      <c r="H21" s="102">
        <f>(909155.8*1.10231)/1000</f>
        <v>1002.1715298979999</v>
      </c>
      <c r="I21" s="102">
        <f>E21-J21</f>
        <v>4099.5973776229994</v>
      </c>
      <c r="J21" s="6">
        <v>353.54199999999997</v>
      </c>
      <c r="K21" s="84"/>
      <c r="M21" s="120"/>
      <c r="N21" s="120"/>
      <c r="P21" s="34"/>
    </row>
    <row r="22" spans="1:16" ht="14.4">
      <c r="A22" s="15" t="s">
        <v>38</v>
      </c>
      <c r="B22" s="39">
        <f>J21</f>
        <v>353.54199999999997</v>
      </c>
      <c r="C22" s="6">
        <v>4368.8829999999998</v>
      </c>
      <c r="D22" s="102">
        <f>(70284.1*1.10231)/1000</f>
        <v>77.47486627100001</v>
      </c>
      <c r="E22" s="102">
        <f t="shared" si="0"/>
        <v>4799.8998662710001</v>
      </c>
      <c r="F22" s="102"/>
      <c r="G22" s="102">
        <f>I22-H22</f>
        <v>3105.8048662540004</v>
      </c>
      <c r="H22" s="102">
        <f>(1125640.7*1.10231)/1000</f>
        <v>1240.8050000169999</v>
      </c>
      <c r="I22" s="102">
        <f>E22-J22</f>
        <v>4346.6098662710001</v>
      </c>
      <c r="J22" s="6">
        <v>453.29</v>
      </c>
      <c r="K22" s="87"/>
      <c r="M22" s="120"/>
      <c r="N22" s="120"/>
      <c r="P22" s="34"/>
    </row>
    <row r="23" spans="1:16" ht="14.4">
      <c r="A23" s="15" t="s">
        <v>29</v>
      </c>
      <c r="B23" s="39"/>
      <c r="C23" s="6">
        <f>SUM(C11:C22)</f>
        <v>54106.152000000002</v>
      </c>
      <c r="D23" s="6">
        <f>(623493.3*1.10231)/1000</f>
        <v>687.28289952299997</v>
      </c>
      <c r="E23" s="6">
        <f>B11+C23+D23</f>
        <v>55164.325899523006</v>
      </c>
      <c r="F23" s="6"/>
      <c r="G23" s="6">
        <f>SUM(G11:G22)</f>
        <v>38603.699016567007</v>
      </c>
      <c r="H23" s="6">
        <f>(14612347.3*1.10231)/1000</f>
        <v>16107.336552262999</v>
      </c>
      <c r="I23" s="5">
        <f>SUM(I11:I22)</f>
        <v>54711.035899522998</v>
      </c>
      <c r="J23" s="6"/>
      <c r="K23" s="119"/>
      <c r="M23" s="120"/>
      <c r="N23" s="34"/>
      <c r="P23" s="34"/>
    </row>
    <row r="24" spans="1:16" ht="14.4">
      <c r="A24" s="15"/>
      <c r="B24" s="39"/>
      <c r="C24" s="6"/>
      <c r="D24" s="6"/>
      <c r="E24" s="6"/>
      <c r="F24" s="6"/>
      <c r="G24" s="6"/>
      <c r="H24" s="6"/>
      <c r="I24" s="6"/>
      <c r="J24" s="6"/>
      <c r="K24" s="84"/>
      <c r="M24" s="120"/>
      <c r="N24" s="34"/>
      <c r="P24" s="34"/>
    </row>
    <row r="25" spans="1:16" ht="14.4">
      <c r="A25" s="30" t="s">
        <v>158</v>
      </c>
      <c r="B25" s="39"/>
      <c r="C25" s="6"/>
      <c r="D25" s="6"/>
      <c r="E25" s="6"/>
      <c r="F25" s="6"/>
      <c r="G25" s="6"/>
      <c r="H25" s="6"/>
      <c r="I25" s="6"/>
      <c r="J25" s="6"/>
      <c r="K25" s="84"/>
      <c r="M25" s="120"/>
      <c r="N25" s="34"/>
      <c r="P25" s="34"/>
    </row>
    <row r="26" spans="1:16" ht="14.4">
      <c r="A26" s="15" t="s">
        <v>39</v>
      </c>
      <c r="B26" s="39">
        <f>J22</f>
        <v>453.29</v>
      </c>
      <c r="C26" s="6">
        <v>5088.7489999999998</v>
      </c>
      <c r="D26" s="102">
        <f>(42814.1*1.10231)/1000</f>
        <v>47.194410570999992</v>
      </c>
      <c r="E26" s="6">
        <f>SUM(B26:D26)</f>
        <v>5589.2334105709997</v>
      </c>
      <c r="F26" s="6"/>
      <c r="G26" s="6">
        <f>I26-H26</f>
        <v>3831.7500592099996</v>
      </c>
      <c r="H26" s="102">
        <f>(1284823.1*1.10231)/1000</f>
        <v>1416.2733513609999</v>
      </c>
      <c r="I26" s="102">
        <f>E26-J26</f>
        <v>5248.0234105709997</v>
      </c>
      <c r="J26" s="6">
        <v>341.21000000000004</v>
      </c>
      <c r="K26" s="84"/>
      <c r="M26" s="120"/>
      <c r="N26" s="34"/>
      <c r="P26" s="34"/>
    </row>
    <row r="27" spans="1:16" ht="14.4">
      <c r="A27" s="15" t="s">
        <v>40</v>
      </c>
      <c r="B27" s="39">
        <f>J26</f>
        <v>341.21000000000004</v>
      </c>
      <c r="C27" s="6">
        <v>4974.8110000000006</v>
      </c>
      <c r="D27" s="102">
        <f>(46652.9*1.10231)/1000</f>
        <v>51.425958199</v>
      </c>
      <c r="E27" s="102">
        <f>SUM(B27:D27)</f>
        <v>5367.4469581990006</v>
      </c>
      <c r="F27" s="6"/>
      <c r="G27" s="102">
        <f>I27-H27</f>
        <v>3144.328219418001</v>
      </c>
      <c r="H27" s="102">
        <f>(1550705.1*1.10231)/1000</f>
        <v>1709.3577387810001</v>
      </c>
      <c r="I27" s="102">
        <f>E27-J27</f>
        <v>4853.6859581990011</v>
      </c>
      <c r="J27" s="6">
        <v>513.76099999999997</v>
      </c>
      <c r="K27" s="84"/>
      <c r="M27" s="120"/>
      <c r="N27" s="34"/>
      <c r="P27" s="34"/>
    </row>
    <row r="28" spans="1:16" ht="14.4">
      <c r="A28" s="15" t="s">
        <v>42</v>
      </c>
      <c r="B28" s="39">
        <f>J27</f>
        <v>513.76099999999997</v>
      </c>
      <c r="C28" s="100">
        <v>5162.1440000000002</v>
      </c>
      <c r="D28" s="102">
        <f>(31368.9*1.10231)/1000</f>
        <v>34.578252158999994</v>
      </c>
      <c r="E28" s="102">
        <f>SUM(B28:D28)</f>
        <v>5710.4832521590006</v>
      </c>
      <c r="F28" s="102"/>
      <c r="G28" s="102">
        <f>I28-H28</f>
        <v>3548.7402949380003</v>
      </c>
      <c r="H28" s="102">
        <f>(1548029.1*1.10231)/1000</f>
        <v>1706.4079572210001</v>
      </c>
      <c r="I28" s="102">
        <f>E28-J28</f>
        <v>5255.1482521590005</v>
      </c>
      <c r="J28" s="6">
        <v>455.33500000000004</v>
      </c>
      <c r="K28" s="84"/>
      <c r="L28" s="101"/>
      <c r="M28" s="120"/>
      <c r="N28" s="34"/>
      <c r="P28" s="34"/>
    </row>
    <row r="29" spans="1:16" ht="14.4">
      <c r="A29" s="15" t="s">
        <v>43</v>
      </c>
      <c r="B29" s="39">
        <f>J28</f>
        <v>455.33500000000004</v>
      </c>
      <c r="C29" s="6">
        <v>5046.0140000000001</v>
      </c>
      <c r="D29" s="102">
        <f>(49274.6*1.10231)/1000</f>
        <v>54.315884325999995</v>
      </c>
      <c r="E29" s="102">
        <f>SUM(B29:D29)</f>
        <v>5555.664884326</v>
      </c>
      <c r="F29" s="102"/>
      <c r="G29" s="102">
        <f>I29-H29</f>
        <v>3522.7561092720007</v>
      </c>
      <c r="H29" s="102">
        <f>(1425123.4*1.10231)/1000</f>
        <v>1570.9277750539998</v>
      </c>
      <c r="I29" s="102">
        <f>E29-J29</f>
        <v>5093.6838843260002</v>
      </c>
      <c r="J29" s="6">
        <v>461.98099999999999</v>
      </c>
      <c r="K29" s="84"/>
      <c r="M29" s="120"/>
      <c r="N29" s="34"/>
    </row>
    <row r="30" spans="1:16" s="138" customFormat="1" ht="14.4">
      <c r="A30" s="130" t="s">
        <v>44</v>
      </c>
      <c r="B30" s="104">
        <f>J29</f>
        <v>461.98099999999999</v>
      </c>
      <c r="C30" s="105">
        <v>4493.1639999999998</v>
      </c>
      <c r="D30" s="191">
        <f>(53629.4*1.10231)/1000</f>
        <v>59.116223913999995</v>
      </c>
      <c r="E30" s="191">
        <f>SUM(B30:D30)</f>
        <v>5014.2612239139999</v>
      </c>
      <c r="F30" s="191"/>
      <c r="G30" s="191">
        <f>I30-H30</f>
        <v>3302.2339477780001</v>
      </c>
      <c r="H30" s="191">
        <f>(1124725.6*1.10231)/1000</f>
        <v>1239.796276136</v>
      </c>
      <c r="I30" s="191">
        <f>E30-J30</f>
        <v>4542.0302239140001</v>
      </c>
      <c r="J30" s="105">
        <v>472.23099999999999</v>
      </c>
      <c r="K30" s="203"/>
      <c r="M30" s="204"/>
      <c r="N30" s="194"/>
    </row>
    <row r="31" spans="1:16" ht="16.2">
      <c r="A31" s="79" t="s">
        <v>68</v>
      </c>
      <c r="B31" s="69"/>
      <c r="C31" s="69"/>
      <c r="D31" s="69"/>
      <c r="E31" s="69"/>
      <c r="F31" s="69"/>
      <c r="G31" s="69"/>
      <c r="H31" s="69"/>
      <c r="I31" s="69"/>
      <c r="J31" s="69"/>
    </row>
    <row r="32" spans="1:16" ht="14.4">
      <c r="A32" s="15" t="s">
        <v>69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3.8">
      <c r="A33" s="20" t="s">
        <v>57</v>
      </c>
      <c r="B33" s="36">
        <f>Contents!A18</f>
        <v>45761</v>
      </c>
      <c r="C33" s="33"/>
      <c r="D33" s="28"/>
      <c r="E33" s="28"/>
      <c r="F33" s="28"/>
      <c r="G33" s="28"/>
      <c r="H33" s="28"/>
      <c r="I33" s="28"/>
      <c r="J33" s="28"/>
    </row>
    <row r="34" spans="1:10">
      <c r="B34" s="41"/>
      <c r="C34" s="42"/>
      <c r="D34" s="41"/>
      <c r="E34" s="81"/>
      <c r="F34" s="41"/>
      <c r="G34" s="41"/>
      <c r="H34" s="43"/>
      <c r="I34" s="81"/>
      <c r="J34" s="41"/>
    </row>
    <row r="35" spans="1:10">
      <c r="B35" s="41"/>
      <c r="C35" s="41"/>
      <c r="D35" s="41"/>
      <c r="E35" s="41"/>
      <c r="F35" s="41"/>
      <c r="G35" s="41"/>
      <c r="H35" s="41"/>
      <c r="I35" s="41"/>
      <c r="J35" s="41"/>
    </row>
    <row r="36" spans="1:10">
      <c r="G36" s="150"/>
      <c r="H36" s="68"/>
    </row>
    <row r="37" spans="1:10">
      <c r="G37" s="90"/>
    </row>
    <row r="52" spans="2:9">
      <c r="B52" s="34"/>
      <c r="C52" s="34"/>
      <c r="D52" s="34"/>
      <c r="E52" s="34"/>
      <c r="F52" s="34"/>
      <c r="G52" s="34"/>
      <c r="H52" s="34"/>
      <c r="I52" s="34"/>
    </row>
    <row r="53" spans="2:9">
      <c r="B53" s="34"/>
      <c r="C53" s="34"/>
      <c r="D53" s="34"/>
      <c r="E53" s="34"/>
      <c r="F53" s="34"/>
      <c r="G53" s="34"/>
      <c r="H53" s="34"/>
      <c r="I53" s="34"/>
    </row>
    <row r="54" spans="2:9">
      <c r="B54" s="34"/>
      <c r="C54" s="34"/>
      <c r="D54" s="34"/>
      <c r="E54" s="34"/>
      <c r="F54" s="34"/>
      <c r="G54" s="34"/>
      <c r="H54" s="34"/>
      <c r="I54" s="34"/>
    </row>
    <row r="55" spans="2:9">
      <c r="B55" s="34"/>
      <c r="C55" s="34"/>
      <c r="D55" s="34"/>
      <c r="E55" s="34"/>
      <c r="F55" s="34"/>
      <c r="G55" s="34"/>
      <c r="H55" s="34"/>
      <c r="I55" s="34"/>
    </row>
    <row r="56" spans="2:9">
      <c r="B56" s="34"/>
      <c r="C56" s="34"/>
      <c r="D56" s="34"/>
      <c r="E56" s="34"/>
      <c r="F56" s="34"/>
      <c r="G56" s="34"/>
      <c r="H56" s="34"/>
      <c r="I56" s="34"/>
    </row>
    <row r="57" spans="2:9">
      <c r="B57" s="34"/>
      <c r="C57" s="34"/>
      <c r="D57" s="34"/>
      <c r="E57" s="34"/>
      <c r="F57" s="34"/>
      <c r="G57" s="34"/>
      <c r="H57" s="34"/>
      <c r="I57" s="34"/>
    </row>
    <row r="58" spans="2:9">
      <c r="B58" s="34"/>
      <c r="C58" s="34"/>
      <c r="D58" s="34"/>
      <c r="E58" s="34"/>
      <c r="F58" s="34"/>
      <c r="G58" s="34"/>
      <c r="H58" s="34"/>
      <c r="I58" s="34"/>
    </row>
    <row r="59" spans="2:9">
      <c r="B59" s="34"/>
      <c r="C59" s="34"/>
      <c r="D59" s="34"/>
      <c r="E59" s="34"/>
      <c r="F59" s="34"/>
      <c r="G59" s="34"/>
      <c r="H59" s="34"/>
      <c r="I59" s="34"/>
    </row>
    <row r="60" spans="2:9">
      <c r="B60" s="34"/>
      <c r="C60" s="34"/>
      <c r="D60" s="34"/>
      <c r="E60" s="34"/>
      <c r="F60" s="34"/>
      <c r="G60" s="34"/>
      <c r="H60" s="34"/>
      <c r="I60" s="34"/>
    </row>
    <row r="61" spans="2:9">
      <c r="B61" s="34"/>
      <c r="C61" s="34"/>
      <c r="D61" s="34"/>
      <c r="E61" s="34"/>
      <c r="F61" s="34"/>
      <c r="G61" s="34"/>
      <c r="H61" s="34"/>
      <c r="I61" s="34"/>
    </row>
    <row r="62" spans="2:9">
      <c r="B62" s="34"/>
      <c r="C62" s="34"/>
      <c r="D62" s="34"/>
      <c r="E62" s="34"/>
      <c r="F62" s="34"/>
      <c r="G62" s="34"/>
      <c r="H62" s="34"/>
      <c r="I62" s="34"/>
    </row>
  </sheetData>
  <mergeCells count="3">
    <mergeCell ref="G2:I2"/>
    <mergeCell ref="B5:J5"/>
    <mergeCell ref="B2:E2"/>
  </mergeCells>
  <phoneticPr fontId="57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58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33203125" defaultRowHeight="13.2"/>
  <cols>
    <col min="1" max="1" width="15.44140625" customWidth="1"/>
    <col min="2" max="2" width="12.44140625" bestFit="1" customWidth="1"/>
    <col min="3" max="3" width="14.8867187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3" max="13" width="11.5546875" bestFit="1" customWidth="1"/>
    <col min="14" max="14" width="11.3320312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228" t="s">
        <v>58</v>
      </c>
      <c r="C2" s="228"/>
      <c r="D2" s="228"/>
      <c r="E2" s="228"/>
      <c r="F2" s="15"/>
      <c r="G2" s="228" t="s">
        <v>59</v>
      </c>
      <c r="H2" s="228"/>
      <c r="I2" s="228"/>
      <c r="J2" s="134"/>
      <c r="K2" s="134"/>
      <c r="L2" s="15"/>
    </row>
    <row r="3" spans="1:20" ht="13.8">
      <c r="A3" s="15" t="s">
        <v>18</v>
      </c>
      <c r="B3" s="17" t="s">
        <v>70</v>
      </c>
      <c r="C3" s="17" t="s">
        <v>27</v>
      </c>
      <c r="D3" s="17" t="s">
        <v>71</v>
      </c>
      <c r="E3" s="17" t="s">
        <v>63</v>
      </c>
      <c r="F3" s="17"/>
      <c r="G3" s="134" t="s">
        <v>64</v>
      </c>
      <c r="H3" s="134"/>
      <c r="I3" s="134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29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230" t="s">
        <v>75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</row>
    <row r="6" spans="1:20" ht="16.2">
      <c r="A6" s="15" t="s">
        <v>76</v>
      </c>
      <c r="B6" s="38">
        <v>1991.1479999999999</v>
      </c>
      <c r="C6" s="38">
        <v>26227.309000000001</v>
      </c>
      <c r="D6" s="145">
        <v>375.55383030479999</v>
      </c>
      <c r="E6" s="38">
        <f>SUM(B6:D6)</f>
        <v>28594.010830304804</v>
      </c>
      <c r="F6" s="38"/>
      <c r="G6" s="38">
        <f>K6-J6</f>
        <v>26609.028920468605</v>
      </c>
      <c r="H6" s="38">
        <v>12510.33</v>
      </c>
      <c r="I6" s="118">
        <f>G6-H6</f>
        <v>14098.698920468605</v>
      </c>
      <c r="J6" s="38">
        <v>377.90990983619997</v>
      </c>
      <c r="K6" s="38">
        <f>E6-L6</f>
        <v>26986.938830304804</v>
      </c>
      <c r="L6" s="38">
        <v>1607.0719999999999</v>
      </c>
    </row>
    <row r="7" spans="1:20" ht="16.2">
      <c r="A7" s="15" t="s">
        <v>77</v>
      </c>
      <c r="B7" s="38">
        <f>L6</f>
        <v>1607.0719999999999</v>
      </c>
      <c r="C7" s="38">
        <f>C23</f>
        <v>27092.798000000003</v>
      </c>
      <c r="D7" s="145">
        <f>D23</f>
        <v>620.64231943139998</v>
      </c>
      <c r="E7" s="38">
        <f>SUM(B7:D7)</f>
        <v>29320.512319431404</v>
      </c>
      <c r="F7" s="38"/>
      <c r="G7" s="38">
        <f>K7-J7</f>
        <v>27152.891032409003</v>
      </c>
      <c r="H7" s="38">
        <v>12989.041999999999</v>
      </c>
      <c r="I7" s="118">
        <f>G7-H7</f>
        <v>14163.849032409003</v>
      </c>
      <c r="J7" s="38">
        <f>J23</f>
        <v>616.76328702240005</v>
      </c>
      <c r="K7" s="38">
        <f>E7-L7</f>
        <v>27769.654319431404</v>
      </c>
      <c r="L7" s="38">
        <f>L22</f>
        <v>1550.8580000000002</v>
      </c>
      <c r="M7" s="137"/>
      <c r="N7" s="137"/>
      <c r="O7" s="137"/>
      <c r="P7" s="137"/>
      <c r="Q7" s="137"/>
      <c r="R7" s="137"/>
      <c r="S7" s="137"/>
      <c r="T7" s="137"/>
    </row>
    <row r="8" spans="1:20" s="138" customFormat="1" ht="16.2">
      <c r="A8" s="130" t="s">
        <v>37</v>
      </c>
      <c r="B8" s="209">
        <f>L7</f>
        <v>1550.8580000000002</v>
      </c>
      <c r="C8" s="209">
        <v>28800</v>
      </c>
      <c r="D8" s="210">
        <v>550</v>
      </c>
      <c r="E8" s="209">
        <f>SUM(B8:D8)</f>
        <v>30900.858</v>
      </c>
      <c r="F8" s="209"/>
      <c r="G8" s="209">
        <v>27150</v>
      </c>
      <c r="H8" s="209">
        <v>13250</v>
      </c>
      <c r="I8" s="200">
        <v>13900</v>
      </c>
      <c r="J8" s="209">
        <v>2300</v>
      </c>
      <c r="K8" s="209">
        <f>G8+J8</f>
        <v>29450</v>
      </c>
      <c r="L8" s="209">
        <f>E8-K8</f>
        <v>1450.8580000000002</v>
      </c>
    </row>
    <row r="9" spans="1:20" ht="13.8">
      <c r="A9" s="15"/>
      <c r="B9" s="38"/>
      <c r="C9" s="38"/>
      <c r="D9" s="38"/>
      <c r="E9" s="38"/>
      <c r="F9" s="38"/>
      <c r="G9" s="38"/>
      <c r="H9" s="38"/>
      <c r="I9" s="78"/>
      <c r="J9" s="38"/>
      <c r="K9" s="38"/>
      <c r="L9" s="38"/>
    </row>
    <row r="10" spans="1:20" ht="13.8">
      <c r="A10" s="30" t="s">
        <v>53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v>1607.0719999999999</v>
      </c>
      <c r="C11" s="6">
        <v>2375.654</v>
      </c>
      <c r="D11" s="6">
        <f>(20588.3*2204.622)/1000000</f>
        <v>45.389419122599996</v>
      </c>
      <c r="E11" s="6">
        <f t="shared" ref="E11:E22" si="0">SUM(B11:D11)</f>
        <v>4028.1154191225996</v>
      </c>
      <c r="F11" s="5"/>
      <c r="G11" s="5">
        <f>K11-J11</f>
        <v>2513.5540054601997</v>
      </c>
      <c r="H11" s="103">
        <v>1062.24</v>
      </c>
      <c r="I11" s="6">
        <f>G11-H11</f>
        <v>1451.3140054601997</v>
      </c>
      <c r="J11" s="6">
        <f>(5879.2*2204.622)/1000000</f>
        <v>12.961413662399998</v>
      </c>
      <c r="K11" s="6">
        <f>E11-L11</f>
        <v>2526.5154191225997</v>
      </c>
      <c r="L11" s="5">
        <v>1501.6</v>
      </c>
      <c r="M11" s="128"/>
      <c r="N11" s="86"/>
      <c r="P11" s="34"/>
    </row>
    <row r="12" spans="1:20" ht="13.8">
      <c r="A12" s="15" t="s">
        <v>40</v>
      </c>
      <c r="B12" s="5">
        <f>L11</f>
        <v>1501.6</v>
      </c>
      <c r="C12" s="6">
        <v>2324.6680000000001</v>
      </c>
      <c r="D12" s="6">
        <f>(16757.1*2204.622)/1000000</f>
        <v>36.943071316199998</v>
      </c>
      <c r="E12" s="6">
        <f t="shared" si="0"/>
        <v>3863.2110713162001</v>
      </c>
      <c r="F12" s="5"/>
      <c r="G12" s="5">
        <f t="shared" ref="G12:G22" si="1">K12-J12</f>
        <v>2250.4175343679999</v>
      </c>
      <c r="H12" s="103">
        <v>1064.6769999999999</v>
      </c>
      <c r="I12" s="6">
        <f t="shared" ref="I12:I22" si="2">G12-H12</f>
        <v>1185.740534368</v>
      </c>
      <c r="J12" s="6">
        <f>(6213.1*2204.622)/1000000</f>
        <v>13.6975369482</v>
      </c>
      <c r="K12" s="6">
        <f t="shared" ref="K12:K22" si="3">E12-L12</f>
        <v>2264.1150713162001</v>
      </c>
      <c r="L12" s="5">
        <v>1599.096</v>
      </c>
      <c r="M12" s="128"/>
      <c r="N12" s="86"/>
      <c r="P12" s="34"/>
    </row>
    <row r="13" spans="1:20" ht="13.8">
      <c r="A13" s="15" t="s">
        <v>42</v>
      </c>
      <c r="B13" s="5">
        <f t="shared" ref="B13:B21" si="4">L12</f>
        <v>1599.096</v>
      </c>
      <c r="C13" s="6">
        <v>2376.2370000000001</v>
      </c>
      <c r="D13" s="6">
        <f>(21905.7*2204.622)/1000000</f>
        <v>48.293788145399994</v>
      </c>
      <c r="E13" s="6">
        <f t="shared" si="0"/>
        <v>4023.6267881454</v>
      </c>
      <c r="F13" s="5"/>
      <c r="G13" s="5">
        <f t="shared" si="1"/>
        <v>2186.9834934009996</v>
      </c>
      <c r="H13" s="103">
        <v>1141.8820000000001</v>
      </c>
      <c r="I13" s="6">
        <f t="shared" si="2"/>
        <v>1045.1014934009995</v>
      </c>
      <c r="J13" s="6">
        <f>(5810.2*2204.622)/1000000</f>
        <v>12.809294744399999</v>
      </c>
      <c r="K13" s="6">
        <f t="shared" si="3"/>
        <v>2199.7927881453998</v>
      </c>
      <c r="L13" s="5">
        <v>1823.8340000000001</v>
      </c>
      <c r="M13" s="128"/>
      <c r="N13" s="86"/>
      <c r="P13" s="34"/>
    </row>
    <row r="14" spans="1:20" ht="13.8">
      <c r="A14" s="15" t="s">
        <v>43</v>
      </c>
      <c r="B14" s="5">
        <f t="shared" si="4"/>
        <v>1823.8340000000001</v>
      </c>
      <c r="C14" s="6">
        <v>2282.3240000000001</v>
      </c>
      <c r="D14" s="6">
        <f>(22995*2204.622)/1000000</f>
        <v>50.695282889999994</v>
      </c>
      <c r="E14" s="6">
        <f t="shared" si="0"/>
        <v>4156.8532828900006</v>
      </c>
      <c r="F14" s="5"/>
      <c r="G14" s="5">
        <f t="shared" si="1"/>
        <v>2117.2979197476006</v>
      </c>
      <c r="H14" s="131">
        <v>960.20299999999997</v>
      </c>
      <c r="I14" s="6">
        <f t="shared" si="2"/>
        <v>1157.0949197476007</v>
      </c>
      <c r="J14" s="6">
        <f>(5219.2*2204.622)/1000000</f>
        <v>11.506363142399998</v>
      </c>
      <c r="K14" s="6">
        <f t="shared" si="3"/>
        <v>2128.8042828900006</v>
      </c>
      <c r="L14" s="5">
        <v>2028.049</v>
      </c>
      <c r="M14" s="156"/>
      <c r="N14" s="86"/>
      <c r="O14" s="86"/>
      <c r="P14" s="34"/>
    </row>
    <row r="15" spans="1:20" ht="13.8">
      <c r="A15" s="15" t="s">
        <v>44</v>
      </c>
      <c r="B15" s="5">
        <f t="shared" si="4"/>
        <v>2028.049</v>
      </c>
      <c r="C15" s="6">
        <v>2288.2179999999998</v>
      </c>
      <c r="D15" s="6">
        <f>(15950.7*2204.622)/1000000</f>
        <v>35.165264135399994</v>
      </c>
      <c r="E15" s="6">
        <f t="shared" si="0"/>
        <v>4351.4322641354001</v>
      </c>
      <c r="F15" s="5"/>
      <c r="G15" s="5">
        <f t="shared" si="1"/>
        <v>2190.4027908488001</v>
      </c>
      <c r="H15" s="131">
        <v>888.49</v>
      </c>
      <c r="I15" s="6">
        <f t="shared" si="2"/>
        <v>1301.9127908488001</v>
      </c>
      <c r="J15" s="6">
        <f>(6450.3*2204.622)/1000000</f>
        <v>14.220473286599999</v>
      </c>
      <c r="K15" s="6">
        <f t="shared" si="3"/>
        <v>2204.6232641353999</v>
      </c>
      <c r="L15" s="5">
        <v>2146.8090000000002</v>
      </c>
      <c r="M15" s="156"/>
      <c r="N15" s="86"/>
      <c r="O15" s="86"/>
      <c r="P15" s="34"/>
    </row>
    <row r="16" spans="1:20" ht="13.8">
      <c r="A16" s="15" t="s">
        <v>46</v>
      </c>
      <c r="B16" s="5">
        <f t="shared" si="4"/>
        <v>2146.8090000000002</v>
      </c>
      <c r="C16" s="6">
        <v>2403.7959999999998</v>
      </c>
      <c r="D16" s="6">
        <f>(22598.7*2204.622)/1000000</f>
        <v>49.821591191399996</v>
      </c>
      <c r="E16" s="6">
        <f t="shared" si="0"/>
        <v>4600.4265911913999</v>
      </c>
      <c r="F16" s="5"/>
      <c r="G16" s="5">
        <f t="shared" si="1"/>
        <v>2133.1132490381997</v>
      </c>
      <c r="H16" s="131">
        <v>1026.1990000000001</v>
      </c>
      <c r="I16" s="6">
        <f t="shared" si="2"/>
        <v>1106.9142490381996</v>
      </c>
      <c r="J16" s="6">
        <f>(44790.6*2204.622)/1000000</f>
        <v>98.74634215319999</v>
      </c>
      <c r="K16" s="6">
        <f t="shared" si="3"/>
        <v>2231.8595911913999</v>
      </c>
      <c r="L16" s="5">
        <v>2368.567</v>
      </c>
      <c r="M16" s="156"/>
      <c r="N16" s="86"/>
      <c r="O16" s="86"/>
      <c r="P16" s="34"/>
    </row>
    <row r="17" spans="1:16" ht="13.8">
      <c r="A17" s="15" t="s">
        <v>47</v>
      </c>
      <c r="B17" s="5">
        <f t="shared" si="4"/>
        <v>2368.567</v>
      </c>
      <c r="C17" s="6">
        <v>2096.2080000000001</v>
      </c>
      <c r="D17" s="6">
        <f>(24996.9*2204.622)/1000000</f>
        <v>55.108715671800006</v>
      </c>
      <c r="E17" s="6">
        <f t="shared" si="0"/>
        <v>4519.8837156718</v>
      </c>
      <c r="F17" s="5"/>
      <c r="G17" s="5">
        <f t="shared" si="1"/>
        <v>2186.6918875420001</v>
      </c>
      <c r="H17" s="131">
        <v>1070.029</v>
      </c>
      <c r="I17" s="6">
        <f t="shared" si="2"/>
        <v>1116.6628875420001</v>
      </c>
      <c r="J17" s="6">
        <f>(10135.9*2204.622)/1000000</f>
        <v>22.345828129800001</v>
      </c>
      <c r="K17" s="6">
        <f t="shared" si="3"/>
        <v>2209.0377156718</v>
      </c>
      <c r="L17" s="5">
        <v>2310.846</v>
      </c>
      <c r="M17" s="156"/>
      <c r="N17" s="86"/>
      <c r="O17" s="86"/>
      <c r="P17" s="34"/>
    </row>
    <row r="18" spans="1:16" ht="13.8">
      <c r="A18" s="15" t="s">
        <v>48</v>
      </c>
      <c r="B18" s="5">
        <f t="shared" si="4"/>
        <v>2310.846</v>
      </c>
      <c r="C18" s="6">
        <v>2267.1660000000002</v>
      </c>
      <c r="D18" s="6">
        <f>(40370*2204.622)/1000000</f>
        <v>89.00059014</v>
      </c>
      <c r="E18" s="6">
        <f t="shared" si="0"/>
        <v>4667.0125901400006</v>
      </c>
      <c r="F18" s="5"/>
      <c r="G18" s="5">
        <f t="shared" si="1"/>
        <v>2385.4156363152006</v>
      </c>
      <c r="H18" s="131">
        <v>1076.011</v>
      </c>
      <c r="I18" s="6">
        <f t="shared" si="2"/>
        <v>1309.4046363152006</v>
      </c>
      <c r="J18" s="6">
        <f>(42508.4*2204.622)/1000000</f>
        <v>93.714953824800006</v>
      </c>
      <c r="K18" s="6">
        <f t="shared" si="3"/>
        <v>2479.1305901400005</v>
      </c>
      <c r="L18" s="5">
        <v>2187.8820000000001</v>
      </c>
      <c r="M18" s="156"/>
      <c r="N18" s="86"/>
      <c r="O18" s="86"/>
      <c r="P18" s="34"/>
    </row>
    <row r="19" spans="1:16" ht="13.8">
      <c r="A19" s="15" t="s">
        <v>49</v>
      </c>
      <c r="B19" s="5">
        <f t="shared" si="4"/>
        <v>2187.8820000000001</v>
      </c>
      <c r="C19" s="6">
        <v>2182.25</v>
      </c>
      <c r="D19" s="6">
        <f>(45970.5*2204.622)/1000000</f>
        <v>101.347575651</v>
      </c>
      <c r="E19" s="6">
        <f t="shared" si="0"/>
        <v>4471.4795756509993</v>
      </c>
      <c r="F19" s="5"/>
      <c r="G19" s="5">
        <f t="shared" si="1"/>
        <v>2231.1614918979994</v>
      </c>
      <c r="H19" s="131">
        <v>1266.837</v>
      </c>
      <c r="I19" s="6">
        <f t="shared" si="2"/>
        <v>964.32449189799945</v>
      </c>
      <c r="J19" s="6">
        <f>(52311.5*2204.622)/1000000</f>
        <v>115.327083753</v>
      </c>
      <c r="K19" s="6">
        <f t="shared" si="3"/>
        <v>2346.4885756509993</v>
      </c>
      <c r="L19" s="5">
        <v>2124.991</v>
      </c>
      <c r="M19" s="156"/>
      <c r="N19" s="86"/>
      <c r="O19" s="86"/>
      <c r="P19" s="34"/>
    </row>
    <row r="20" spans="1:16" ht="13.8">
      <c r="A20" s="15" t="s">
        <v>50</v>
      </c>
      <c r="B20" s="5">
        <f t="shared" si="4"/>
        <v>2124.991</v>
      </c>
      <c r="C20" s="6">
        <v>2303.0819999999999</v>
      </c>
      <c r="D20" s="6">
        <f>(33095.7*2204.622)/1000000</f>
        <v>72.963508325399999</v>
      </c>
      <c r="E20" s="6">
        <f t="shared" si="0"/>
        <v>4501.0365083254001</v>
      </c>
      <c r="F20" s="5"/>
      <c r="G20" s="5">
        <f t="shared" si="1"/>
        <v>2395.4271514970001</v>
      </c>
      <c r="H20" s="131">
        <v>1139.1510000000001</v>
      </c>
      <c r="I20" s="6">
        <f t="shared" si="2"/>
        <v>1256.276151497</v>
      </c>
      <c r="J20" s="6">
        <f>(44032.2*2204.622)/1000000</f>
        <v>97.074356828399985</v>
      </c>
      <c r="K20" s="6">
        <f t="shared" si="3"/>
        <v>2492.5015083254002</v>
      </c>
      <c r="L20" s="5">
        <v>2008.5349999999999</v>
      </c>
      <c r="M20" s="156"/>
      <c r="N20" s="86"/>
      <c r="O20" s="86"/>
      <c r="P20" s="34"/>
    </row>
    <row r="21" spans="1:16" ht="13.8">
      <c r="A21" s="15" t="s">
        <v>51</v>
      </c>
      <c r="B21" s="5">
        <f t="shared" si="4"/>
        <v>2008.5349999999999</v>
      </c>
      <c r="C21" s="100">
        <v>1991.846</v>
      </c>
      <c r="D21" s="6">
        <f>(6929.7*2204.622)/1000000</f>
        <v>15.277369073399997</v>
      </c>
      <c r="E21" s="6">
        <f t="shared" si="0"/>
        <v>4015.6583690734001</v>
      </c>
      <c r="F21" s="5"/>
      <c r="G21" s="5">
        <f t="shared" si="1"/>
        <v>2322.2227831693999</v>
      </c>
      <c r="H21" s="131">
        <v>1217.0319999999999</v>
      </c>
      <c r="I21" s="6">
        <f t="shared" si="2"/>
        <v>1105.1907831694</v>
      </c>
      <c r="J21" s="6">
        <f>(29032*2204.622)/1000000</f>
        <v>64.004585903999995</v>
      </c>
      <c r="K21" s="6">
        <f t="shared" si="3"/>
        <v>2386.2273690734</v>
      </c>
      <c r="L21" s="5">
        <v>1629.431</v>
      </c>
      <c r="M21" s="156"/>
      <c r="N21" s="86"/>
      <c r="O21" s="86"/>
      <c r="P21" s="34"/>
    </row>
    <row r="22" spans="1:16" ht="13.8">
      <c r="A22" s="15" t="s">
        <v>38</v>
      </c>
      <c r="B22" s="5">
        <v>1629.431</v>
      </c>
      <c r="C22" s="100">
        <v>2201.3490000000002</v>
      </c>
      <c r="D22" s="6">
        <f>(9360.5*2204.622)/1000000</f>
        <v>20.636364230999998</v>
      </c>
      <c r="E22" s="6">
        <f t="shared" si="0"/>
        <v>3851.416364231</v>
      </c>
      <c r="F22" s="5"/>
      <c r="G22" s="5">
        <f t="shared" si="1"/>
        <v>2240.2033095857996</v>
      </c>
      <c r="H22" s="131">
        <v>1076.2909999999999</v>
      </c>
      <c r="I22" s="6">
        <f t="shared" si="2"/>
        <v>1163.9123095857997</v>
      </c>
      <c r="J22" s="6">
        <f>(27376.6*2204.622)/1000000</f>
        <v>60.355054645199992</v>
      </c>
      <c r="K22" s="6">
        <f t="shared" si="3"/>
        <v>2300.5583642309998</v>
      </c>
      <c r="L22" s="5">
        <v>1550.8580000000002</v>
      </c>
      <c r="M22" s="156"/>
      <c r="N22" s="86"/>
      <c r="O22" s="86"/>
      <c r="P22" s="34"/>
    </row>
    <row r="23" spans="1:16" ht="13.8">
      <c r="A23" s="15" t="s">
        <v>29</v>
      </c>
      <c r="B23" s="5"/>
      <c r="C23" s="100">
        <f>SUM(C11:C22)</f>
        <v>27092.798000000003</v>
      </c>
      <c r="D23" s="6">
        <f>(281518.7*2204.622)/1000000</f>
        <v>620.64231943139998</v>
      </c>
      <c r="E23" s="6">
        <f>B11+C23+D23</f>
        <v>29320.512319431404</v>
      </c>
      <c r="F23" s="5"/>
      <c r="G23" s="5">
        <f>K23-J23</f>
        <v>27152.891252871203</v>
      </c>
      <c r="H23" s="131">
        <f>SUM(H11:H22)</f>
        <v>12989.041999999999</v>
      </c>
      <c r="I23" s="102">
        <f>G23-H23</f>
        <v>14163.849252871203</v>
      </c>
      <c r="J23" s="6">
        <f>(279759.2*2204.622)/1000000</f>
        <v>616.76328702240005</v>
      </c>
      <c r="K23" s="6">
        <f>SUM(K11:K22)</f>
        <v>27769.654539893603</v>
      </c>
      <c r="L23" s="5"/>
      <c r="O23" s="86"/>
      <c r="P23" s="34"/>
    </row>
    <row r="24" spans="1:16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O24" s="86"/>
      <c r="P24" s="34"/>
    </row>
    <row r="25" spans="1:16" ht="13.8">
      <c r="A25" s="30" t="s">
        <v>158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O25" s="86"/>
      <c r="P25" s="34"/>
    </row>
    <row r="26" spans="1:16" ht="13.8">
      <c r="A26" s="15" t="s">
        <v>39</v>
      </c>
      <c r="B26" s="5">
        <f>L22</f>
        <v>1550.8580000000002</v>
      </c>
      <c r="C26" s="6">
        <v>2543.453</v>
      </c>
      <c r="D26" s="6">
        <f>(13263.8*2204.622)/1000000</f>
        <v>29.241665283599996</v>
      </c>
      <c r="E26" s="6">
        <f>SUM(B26:D26)</f>
        <v>4123.5526652835997</v>
      </c>
      <c r="F26" s="5"/>
      <c r="G26" s="5">
        <f>K26-J26</f>
        <v>2508.8486039863997</v>
      </c>
      <c r="H26" s="144">
        <v>1227.0820000000001</v>
      </c>
      <c r="I26" s="6">
        <f t="shared" ref="I26" si="5">G26-H26</f>
        <v>1281.7666039863996</v>
      </c>
      <c r="J26" s="6">
        <f>(10242.6*2204.622)/1000000</f>
        <v>22.581061297199998</v>
      </c>
      <c r="K26" s="6">
        <f>E26-L26</f>
        <v>2531.4296652835997</v>
      </c>
      <c r="L26" s="6">
        <v>1592.123</v>
      </c>
      <c r="N26" s="34"/>
      <c r="O26" s="86"/>
      <c r="P26" s="34"/>
    </row>
    <row r="27" spans="1:16" ht="13.8">
      <c r="A27" s="15" t="s">
        <v>40</v>
      </c>
      <c r="B27" s="5">
        <f>L26</f>
        <v>1592.123</v>
      </c>
      <c r="C27" s="6">
        <v>2489.9409999999998</v>
      </c>
      <c r="D27" s="102">
        <f>(30494.4*2204.622)/1000000</f>
        <v>67.228625116799989</v>
      </c>
      <c r="E27" s="102">
        <f>SUM(B27:D27)</f>
        <v>4149.2926251168001</v>
      </c>
      <c r="F27" s="5"/>
      <c r="G27" s="78">
        <f>K27-J27</f>
        <v>2402.1522942078</v>
      </c>
      <c r="H27" s="144">
        <v>1191.5230000000001</v>
      </c>
      <c r="I27" s="102">
        <f>G27-H27</f>
        <v>1210.6292942077998</v>
      </c>
      <c r="J27" s="102">
        <f>(58509.5*2204.622)/1000000</f>
        <v>128.991330909</v>
      </c>
      <c r="K27" s="102">
        <f>E27-L27</f>
        <v>2531.1436251168002</v>
      </c>
      <c r="L27" s="6">
        <v>1618.1489999999999</v>
      </c>
      <c r="N27" s="34"/>
      <c r="O27" s="86"/>
      <c r="P27" s="34"/>
    </row>
    <row r="28" spans="1:16" ht="13.8">
      <c r="A28" s="15" t="s">
        <v>42</v>
      </c>
      <c r="B28" s="5">
        <f>L27</f>
        <v>1618.1489999999999</v>
      </c>
      <c r="C28" s="6">
        <v>2572.6219999999998</v>
      </c>
      <c r="D28" s="102">
        <f>(12364.4*2204.622)/1000000</f>
        <v>27.258828256799998</v>
      </c>
      <c r="E28" s="102">
        <f>SUM(B28:D28)</f>
        <v>4218.0298282568001</v>
      </c>
      <c r="F28" s="78"/>
      <c r="G28" s="78">
        <f>K28-J28</f>
        <v>2251.0520845650003</v>
      </c>
      <c r="H28" s="211">
        <v>1096.6990000000001</v>
      </c>
      <c r="I28" s="191">
        <f>G28-H28</f>
        <v>1154.3530845650002</v>
      </c>
      <c r="J28" s="102">
        <f>(126906.9*2204.622)/1000000</f>
        <v>279.78174369179993</v>
      </c>
      <c r="K28" s="102">
        <f>E28-L28</f>
        <v>2530.8338282568002</v>
      </c>
      <c r="L28" s="6">
        <v>1687.1959999999999</v>
      </c>
      <c r="N28" s="34"/>
      <c r="O28" s="86"/>
      <c r="P28" s="34"/>
    </row>
    <row r="29" spans="1:16" ht="13.8">
      <c r="A29" s="15" t="s">
        <v>43</v>
      </c>
      <c r="B29" s="5">
        <f>L28</f>
        <v>1687.1959999999999</v>
      </c>
      <c r="C29" s="6">
        <v>2526.6570000000002</v>
      </c>
      <c r="D29" s="102">
        <f>(13775.3*2204.622)/1000000</f>
        <v>30.369329436599998</v>
      </c>
      <c r="E29" s="102">
        <f>SUM(B29:D29)</f>
        <v>4244.2223294366004</v>
      </c>
      <c r="F29" s="78"/>
      <c r="G29" s="78">
        <f>K29-J29</f>
        <v>1958.7118062530008</v>
      </c>
      <c r="H29" s="211">
        <v>654.25386278320002</v>
      </c>
      <c r="I29" s="191">
        <f>G29-H29</f>
        <v>1304.4579434698007</v>
      </c>
      <c r="J29" s="102">
        <f>(212713.8*2204.622)/1000000</f>
        <v>468.95352318359994</v>
      </c>
      <c r="K29" s="102">
        <f>E29-L29</f>
        <v>2427.6653294366006</v>
      </c>
      <c r="L29" s="6">
        <v>1816.557</v>
      </c>
      <c r="N29" s="34"/>
      <c r="O29" s="86"/>
      <c r="P29" s="34"/>
    </row>
    <row r="30" spans="1:16" s="138" customFormat="1" ht="13.8">
      <c r="A30" s="130" t="s">
        <v>44</v>
      </c>
      <c r="B30" s="212">
        <f>L29</f>
        <v>1816.557</v>
      </c>
      <c r="C30" s="105">
        <v>2238.85</v>
      </c>
      <c r="D30" s="191">
        <f>(11981.2*2204.622)/1000000</f>
        <v>26.414017106399999</v>
      </c>
      <c r="E30" s="191">
        <f>SUM(B30:D30)</f>
        <v>4081.8210171064002</v>
      </c>
      <c r="F30" s="213"/>
      <c r="G30" s="213">
        <f>K30-J30</f>
        <v>1857.0721514552004</v>
      </c>
      <c r="H30" s="211" t="s">
        <v>78</v>
      </c>
      <c r="I30" s="191" t="s">
        <v>78</v>
      </c>
      <c r="J30" s="191">
        <f>(136249.6*2204.622)/1000000</f>
        <v>300.37886565119999</v>
      </c>
      <c r="K30" s="191">
        <f>E30-L30</f>
        <v>2157.4510171064003</v>
      </c>
      <c r="L30" s="105">
        <v>1924.37</v>
      </c>
      <c r="N30" s="194"/>
      <c r="O30" s="214"/>
      <c r="P30" s="194"/>
    </row>
    <row r="31" spans="1:16" ht="16.2">
      <c r="A31" s="79" t="s">
        <v>79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6" ht="14.4">
      <c r="A32" s="15" t="s">
        <v>69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1" ht="13.8">
      <c r="A33" s="20" t="s">
        <v>57</v>
      </c>
      <c r="B33" s="36">
        <f>Contents!A18</f>
        <v>45761</v>
      </c>
      <c r="K33" s="34"/>
    </row>
    <row r="34" spans="1:11">
      <c r="E34" s="34"/>
    </row>
    <row r="35" spans="1:11">
      <c r="C35" s="151"/>
      <c r="D35" s="151"/>
      <c r="E35" s="152"/>
      <c r="F35" s="151"/>
      <c r="G35" s="151"/>
      <c r="H35" s="151"/>
      <c r="I35" s="151"/>
      <c r="J35" s="151"/>
      <c r="K35" s="153"/>
    </row>
    <row r="36" spans="1:11">
      <c r="C36" s="151"/>
      <c r="D36" s="151"/>
      <c r="E36" s="152"/>
      <c r="F36" s="151"/>
      <c r="G36" s="151"/>
      <c r="H36" s="151"/>
      <c r="I36" s="151"/>
      <c r="J36" s="151"/>
      <c r="K36" s="153"/>
    </row>
    <row r="37" spans="1:11">
      <c r="C37" s="151"/>
      <c r="D37" s="151"/>
      <c r="E37" s="152"/>
      <c r="F37" s="151"/>
      <c r="G37" s="151"/>
      <c r="H37" s="151"/>
      <c r="I37" s="151"/>
      <c r="J37" s="151"/>
      <c r="K37" s="153"/>
    </row>
    <row r="38" spans="1:11">
      <c r="C38" s="151"/>
      <c r="D38" s="151"/>
      <c r="E38" s="152"/>
      <c r="F38" s="151"/>
      <c r="G38" s="151"/>
      <c r="H38" s="151"/>
      <c r="I38" s="151"/>
      <c r="J38" s="151"/>
      <c r="K38" s="153"/>
    </row>
    <row r="39" spans="1:11">
      <c r="C39" s="151"/>
      <c r="D39" s="151"/>
      <c r="E39" s="152"/>
      <c r="F39" s="151"/>
      <c r="G39" s="151"/>
      <c r="H39" s="151"/>
      <c r="I39" s="151"/>
      <c r="J39" s="151"/>
      <c r="K39" s="153"/>
    </row>
    <row r="40" spans="1:11">
      <c r="C40" s="151"/>
      <c r="D40" s="151"/>
      <c r="E40" s="152"/>
      <c r="F40" s="151"/>
      <c r="G40" s="151"/>
      <c r="H40" s="151"/>
      <c r="I40" s="151"/>
      <c r="J40" s="151"/>
      <c r="K40" s="153"/>
    </row>
    <row r="41" spans="1:11">
      <c r="C41" s="151"/>
      <c r="D41" s="151"/>
      <c r="E41" s="152"/>
      <c r="F41" s="151"/>
      <c r="G41" s="151"/>
      <c r="H41" s="151"/>
      <c r="I41" s="151"/>
      <c r="J41" s="151"/>
      <c r="K41" s="153"/>
    </row>
    <row r="42" spans="1:11">
      <c r="C42" s="151"/>
      <c r="D42" s="151"/>
      <c r="E42" s="152"/>
      <c r="F42" s="151"/>
      <c r="G42" s="151"/>
      <c r="H42" s="151"/>
      <c r="I42" s="151"/>
      <c r="J42" s="151"/>
      <c r="K42" s="153"/>
    </row>
    <row r="43" spans="1:11">
      <c r="C43" s="151"/>
      <c r="D43" s="151"/>
      <c r="E43" s="152"/>
      <c r="F43" s="151"/>
      <c r="G43" s="151"/>
      <c r="H43" s="151"/>
      <c r="I43" s="151"/>
      <c r="J43" s="151"/>
      <c r="K43" s="153"/>
    </row>
    <row r="44" spans="1:11">
      <c r="C44" s="151"/>
      <c r="D44" s="151"/>
      <c r="E44" s="152"/>
      <c r="F44" s="151"/>
      <c r="G44" s="151"/>
      <c r="H44" s="151"/>
      <c r="I44" s="151"/>
      <c r="J44" s="151"/>
      <c r="K44" s="153"/>
    </row>
    <row r="45" spans="1:11">
      <c r="C45" s="151"/>
      <c r="D45" s="151"/>
      <c r="E45" s="152"/>
      <c r="F45" s="151"/>
      <c r="G45" s="151"/>
      <c r="H45" s="151"/>
      <c r="I45" s="151"/>
      <c r="J45" s="151"/>
      <c r="K45" s="153"/>
    </row>
    <row r="46" spans="1:11">
      <c r="C46" s="151"/>
      <c r="D46" s="151"/>
      <c r="E46" s="152"/>
      <c r="F46" s="151"/>
      <c r="G46" s="151"/>
      <c r="H46" s="151"/>
      <c r="I46" s="151"/>
      <c r="J46" s="151"/>
      <c r="K46" s="153"/>
    </row>
    <row r="48" spans="1:11">
      <c r="C48" s="34"/>
      <c r="D48" s="34"/>
      <c r="E48" s="34"/>
      <c r="F48" s="34"/>
      <c r="G48" s="34"/>
      <c r="H48" s="34"/>
      <c r="I48" s="34"/>
      <c r="J48" s="34"/>
      <c r="K48" s="34"/>
    </row>
    <row r="49" spans="3:11">
      <c r="C49" s="34"/>
      <c r="D49" s="34"/>
      <c r="E49" s="34"/>
      <c r="F49" s="34"/>
      <c r="G49" s="34"/>
      <c r="H49" s="34"/>
      <c r="I49" s="34"/>
      <c r="J49" s="34"/>
      <c r="K49" s="34"/>
    </row>
    <row r="50" spans="3:11">
      <c r="C50" s="34"/>
      <c r="D50" s="34"/>
      <c r="E50" s="34"/>
      <c r="F50" s="34"/>
      <c r="G50" s="34"/>
      <c r="H50" s="34"/>
      <c r="I50" s="34"/>
      <c r="J50" s="34"/>
      <c r="K50" s="34"/>
    </row>
    <row r="51" spans="3:11">
      <c r="C51" s="34"/>
      <c r="D51" s="34"/>
      <c r="E51" s="34"/>
      <c r="F51" s="34"/>
      <c r="G51" s="34"/>
      <c r="H51" s="34"/>
      <c r="I51" s="34"/>
      <c r="J51" s="34"/>
      <c r="K51" s="34"/>
    </row>
    <row r="52" spans="3:11">
      <c r="C52" s="34"/>
      <c r="D52" s="34"/>
      <c r="E52" s="34"/>
      <c r="F52" s="34"/>
      <c r="G52" s="34"/>
      <c r="H52" s="34"/>
      <c r="I52" s="34"/>
      <c r="J52" s="34"/>
      <c r="K52" s="34"/>
    </row>
    <row r="53" spans="3:11">
      <c r="C53" s="34"/>
      <c r="D53" s="34"/>
      <c r="E53" s="34"/>
      <c r="F53" s="34"/>
      <c r="G53" s="34"/>
      <c r="H53" s="34"/>
      <c r="I53" s="34"/>
      <c r="J53" s="34"/>
      <c r="K53" s="34"/>
    </row>
    <row r="54" spans="3:11">
      <c r="C54" s="34"/>
      <c r="D54" s="34"/>
      <c r="E54" s="34"/>
      <c r="F54" s="34"/>
      <c r="G54" s="34"/>
      <c r="H54" s="34"/>
      <c r="I54" s="34"/>
      <c r="J54" s="34"/>
      <c r="K54" s="34"/>
    </row>
    <row r="55" spans="3:11">
      <c r="C55" s="34"/>
      <c r="D55" s="34"/>
      <c r="E55" s="34"/>
      <c r="F55" s="34"/>
      <c r="G55" s="34"/>
      <c r="H55" s="34"/>
      <c r="I55" s="34"/>
      <c r="J55" s="34"/>
      <c r="K55" s="34"/>
    </row>
    <row r="56" spans="3:11">
      <c r="C56" s="34"/>
      <c r="D56" s="34"/>
      <c r="E56" s="34"/>
      <c r="F56" s="34"/>
      <c r="G56" s="34"/>
      <c r="H56" s="34"/>
      <c r="I56" s="34"/>
      <c r="J56" s="34"/>
      <c r="K56" s="34"/>
    </row>
    <row r="57" spans="3:11">
      <c r="C57" s="34"/>
      <c r="D57" s="34"/>
      <c r="E57" s="34"/>
      <c r="F57" s="34"/>
      <c r="G57" s="34"/>
      <c r="H57" s="34"/>
      <c r="I57" s="34"/>
      <c r="J57" s="34"/>
      <c r="K57" s="34"/>
    </row>
    <row r="58" spans="3:11">
      <c r="C58" s="34"/>
      <c r="D58" s="34"/>
      <c r="E58" s="34"/>
      <c r="F58" s="34"/>
      <c r="G58" s="34"/>
      <c r="H58" s="34"/>
      <c r="I58" s="34"/>
      <c r="J58" s="34"/>
      <c r="K58" s="34"/>
    </row>
  </sheetData>
  <mergeCells count="3">
    <mergeCell ref="B5:L5"/>
    <mergeCell ref="G2:I2"/>
    <mergeCell ref="B2:E2"/>
  </mergeCells>
  <phoneticPr fontId="57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33203125" defaultRowHeight="13.2"/>
  <cols>
    <col min="1" max="1" width="15.44140625" customWidth="1"/>
    <col min="2" max="2" width="13.33203125" customWidth="1"/>
    <col min="3" max="3" width="12.3320312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10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228" t="s">
        <v>58</v>
      </c>
      <c r="C2" s="228"/>
      <c r="D2" s="228"/>
      <c r="E2" s="228"/>
      <c r="F2" s="69"/>
      <c r="G2" s="228" t="s">
        <v>59</v>
      </c>
      <c r="H2" s="228"/>
      <c r="I2" s="228"/>
      <c r="J2" s="228"/>
      <c r="K2" s="69"/>
      <c r="L2" s="15"/>
      <c r="M2" s="15"/>
      <c r="N2" s="15"/>
      <c r="O2" s="15"/>
    </row>
    <row r="3" spans="1:15" ht="13.8">
      <c r="A3" s="15" t="s">
        <v>18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80</v>
      </c>
      <c r="B4" s="23" t="s">
        <v>81</v>
      </c>
      <c r="C4" s="55" t="s">
        <v>27</v>
      </c>
      <c r="D4" s="25" t="s">
        <v>71</v>
      </c>
      <c r="E4" s="23" t="s">
        <v>82</v>
      </c>
      <c r="F4" s="24"/>
      <c r="G4" s="23" t="s">
        <v>83</v>
      </c>
      <c r="H4" s="23" t="s">
        <v>31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4">
      <c r="A5" s="15"/>
      <c r="B5" s="233" t="s">
        <v>86</v>
      </c>
      <c r="C5" s="233"/>
      <c r="D5" s="233"/>
      <c r="E5" s="233"/>
      <c r="F5" s="233"/>
      <c r="G5" s="233"/>
      <c r="H5" s="233"/>
      <c r="I5" s="233"/>
      <c r="J5" s="233"/>
      <c r="K5" s="233"/>
      <c r="L5" s="15"/>
      <c r="M5" s="15"/>
      <c r="N5" s="15"/>
      <c r="O5" s="15"/>
    </row>
    <row r="6" spans="1:15" ht="13.8">
      <c r="A6" s="15" t="s">
        <v>35</v>
      </c>
      <c r="B6" s="71">
        <v>395.42099999999999</v>
      </c>
      <c r="C6" s="71">
        <v>4415</v>
      </c>
      <c r="D6" s="122">
        <v>101.14</v>
      </c>
      <c r="E6" s="71">
        <f>B6+C6+D6</f>
        <v>4911.5610000000006</v>
      </c>
      <c r="F6" s="72"/>
      <c r="G6" s="71">
        <v>1389.82</v>
      </c>
      <c r="H6" s="123">
        <v>185.61</v>
      </c>
      <c r="I6" s="71">
        <f>J6-G6-H6</f>
        <v>2950.9960000000005</v>
      </c>
      <c r="J6" s="71">
        <f>E6-K6</f>
        <v>4526.4260000000004</v>
      </c>
      <c r="K6" s="124">
        <v>385.13499999999999</v>
      </c>
      <c r="L6" s="125"/>
      <c r="M6" s="125"/>
      <c r="N6" s="125"/>
      <c r="O6" s="15"/>
    </row>
    <row r="7" spans="1:15" ht="16.2">
      <c r="A7" s="15" t="s">
        <v>36</v>
      </c>
      <c r="B7" s="71">
        <f>K6</f>
        <v>385.13499999999999</v>
      </c>
      <c r="C7" s="71">
        <v>3644</v>
      </c>
      <c r="D7" s="122">
        <v>24.143999999999998</v>
      </c>
      <c r="E7" s="71">
        <f>B7+C7+D7</f>
        <v>4053.279</v>
      </c>
      <c r="F7" s="72"/>
      <c r="G7" s="71">
        <v>1371.923</v>
      </c>
      <c r="H7" s="123">
        <v>389.28699999999998</v>
      </c>
      <c r="I7" s="71">
        <v>1922</v>
      </c>
      <c r="J7" s="71">
        <f>SUM(G7:I7)</f>
        <v>3683.21</v>
      </c>
      <c r="K7" s="71">
        <f>E7-J7</f>
        <v>370.06899999999996</v>
      </c>
      <c r="L7" s="125"/>
      <c r="M7" s="15"/>
      <c r="N7" s="125"/>
      <c r="O7" s="15"/>
    </row>
    <row r="8" spans="1:15" s="138" customFormat="1" ht="16.2">
      <c r="A8" s="215" t="s">
        <v>37</v>
      </c>
      <c r="B8" s="216">
        <f>K7</f>
        <v>370.06899999999996</v>
      </c>
      <c r="C8" s="216">
        <v>4401</v>
      </c>
      <c r="D8" s="217">
        <v>50</v>
      </c>
      <c r="E8" s="216">
        <f>B8+C8+D8</f>
        <v>4821.0689999999995</v>
      </c>
      <c r="F8" s="218"/>
      <c r="G8" s="216">
        <v>1300</v>
      </c>
      <c r="H8" s="219">
        <v>250</v>
      </c>
      <c r="I8" s="216">
        <v>2821</v>
      </c>
      <c r="J8" s="216">
        <f>SUM(G8:I8)</f>
        <v>4371</v>
      </c>
      <c r="K8" s="216">
        <f>E8-J8</f>
        <v>450.06899999999951</v>
      </c>
      <c r="L8" s="130"/>
      <c r="M8" s="130"/>
      <c r="N8" s="130"/>
      <c r="O8" s="130"/>
    </row>
    <row r="9" spans="1:15" ht="16.2">
      <c r="A9" s="40" t="s">
        <v>87</v>
      </c>
      <c r="B9" s="15"/>
      <c r="C9" s="70"/>
      <c r="D9" s="70"/>
      <c r="E9" s="70"/>
      <c r="F9" s="70"/>
      <c r="G9" s="73"/>
      <c r="H9" s="70"/>
      <c r="I9" s="70"/>
      <c r="J9" s="70"/>
      <c r="K9" s="15"/>
      <c r="L9" s="15"/>
      <c r="M9" s="15"/>
      <c r="N9" s="15"/>
      <c r="O9" s="15"/>
    </row>
    <row r="10" spans="1:15" ht="14.4">
      <c r="A10" s="15" t="s">
        <v>88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4">
      <c r="A11" s="15" t="s">
        <v>89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3.8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228" t="s">
        <v>58</v>
      </c>
      <c r="C15" s="228"/>
      <c r="D15" s="228"/>
      <c r="E15" s="228"/>
      <c r="F15" s="15"/>
      <c r="G15" s="228" t="s">
        <v>59</v>
      </c>
      <c r="H15" s="228"/>
      <c r="I15" s="228"/>
      <c r="J15" s="15"/>
      <c r="K15" s="15"/>
      <c r="L15" s="15"/>
      <c r="M15" s="15"/>
      <c r="N15" s="15"/>
      <c r="O15" s="15"/>
    </row>
    <row r="16" spans="1:15" ht="13.8">
      <c r="A16" s="15" t="s">
        <v>18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5" t="s">
        <v>27</v>
      </c>
      <c r="D17" s="25" t="s">
        <v>71</v>
      </c>
      <c r="E17" s="23" t="s">
        <v>85</v>
      </c>
      <c r="F17" s="24"/>
      <c r="G17" s="71" t="s">
        <v>90</v>
      </c>
      <c r="H17" s="23" t="s">
        <v>31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233" t="s">
        <v>91</v>
      </c>
      <c r="C18" s="233"/>
      <c r="D18" s="233"/>
      <c r="E18" s="233"/>
      <c r="F18" s="233"/>
      <c r="G18" s="233"/>
      <c r="H18" s="233"/>
      <c r="I18" s="233"/>
      <c r="J18" s="233"/>
      <c r="K18" s="15"/>
      <c r="L18" s="15"/>
      <c r="M18" s="15"/>
      <c r="N18" s="15"/>
      <c r="O18" s="15"/>
    </row>
    <row r="19" spans="1:15" ht="13.8">
      <c r="A19" s="15" t="s">
        <v>35</v>
      </c>
      <c r="B19" s="71">
        <v>22.315999999999999</v>
      </c>
      <c r="C19" s="123">
        <v>589.51700000000005</v>
      </c>
      <c r="D19" s="122">
        <v>0</v>
      </c>
      <c r="E19" s="123">
        <f>B19+C19+D19</f>
        <v>611.83300000000008</v>
      </c>
      <c r="F19" s="72"/>
      <c r="G19" s="123">
        <f>E19-J19-H19</f>
        <v>526.202</v>
      </c>
      <c r="H19" s="123">
        <v>53.07</v>
      </c>
      <c r="I19" s="123">
        <f>SUM(G19:H19)</f>
        <v>579.27200000000005</v>
      </c>
      <c r="J19" s="71">
        <v>32.561</v>
      </c>
      <c r="K19" s="15"/>
      <c r="L19" s="125"/>
      <c r="M19" s="15"/>
      <c r="N19" s="15"/>
      <c r="O19" s="15"/>
    </row>
    <row r="20" spans="1:15" ht="16.2">
      <c r="A20" s="15" t="s">
        <v>36</v>
      </c>
      <c r="B20" s="71">
        <f>J19</f>
        <v>32.561</v>
      </c>
      <c r="C20" s="123">
        <v>568.43899999999996</v>
      </c>
      <c r="D20" s="122">
        <v>0.05</v>
      </c>
      <c r="E20" s="123">
        <f>B20+C20+D20</f>
        <v>601.04999999999995</v>
      </c>
      <c r="F20" s="72"/>
      <c r="G20" s="123">
        <f>E20-J20-H20</f>
        <v>515.82099999999991</v>
      </c>
      <c r="H20" s="123">
        <v>50.72</v>
      </c>
      <c r="I20" s="123">
        <f>SUM(G20:H20)</f>
        <v>566.54099999999994</v>
      </c>
      <c r="J20" s="71">
        <v>34.509</v>
      </c>
      <c r="K20" s="15"/>
      <c r="L20" s="125"/>
      <c r="M20" s="15"/>
      <c r="N20" s="15"/>
      <c r="O20" s="15"/>
    </row>
    <row r="21" spans="1:15" s="138" customFormat="1" ht="16.2">
      <c r="A21" s="215" t="s">
        <v>37</v>
      </c>
      <c r="B21" s="216">
        <f>J20</f>
        <v>34.509</v>
      </c>
      <c r="C21" s="219">
        <v>600</v>
      </c>
      <c r="D21" s="217">
        <v>0</v>
      </c>
      <c r="E21" s="219">
        <f>B21+C21+D21</f>
        <v>634.50900000000001</v>
      </c>
      <c r="F21" s="218"/>
      <c r="G21" s="219">
        <v>545</v>
      </c>
      <c r="H21" s="219">
        <v>50</v>
      </c>
      <c r="I21" s="219">
        <f>SUM(G21:H21)</f>
        <v>595</v>
      </c>
      <c r="J21" s="216">
        <f>E21-I21</f>
        <v>39.509000000000015</v>
      </c>
      <c r="K21" s="130"/>
      <c r="L21" s="130"/>
      <c r="M21" s="130"/>
      <c r="N21" s="130"/>
      <c r="O21" s="130"/>
    </row>
    <row r="22" spans="1:15" ht="16.2">
      <c r="A22" s="40" t="s">
        <v>87</v>
      </c>
      <c r="B22" s="15"/>
      <c r="C22" s="70"/>
      <c r="D22" s="70"/>
      <c r="E22" s="70"/>
      <c r="F22" s="70"/>
      <c r="G22" s="70"/>
      <c r="H22" s="70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92</v>
      </c>
      <c r="B23" s="72"/>
      <c r="C23" s="72"/>
      <c r="D23" s="72"/>
      <c r="E23" s="72"/>
      <c r="F23" s="72"/>
      <c r="G23" s="72"/>
      <c r="H23" s="72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228" t="s">
        <v>58</v>
      </c>
      <c r="C27" s="228"/>
      <c r="D27" s="228"/>
      <c r="E27" s="228"/>
      <c r="F27" s="15"/>
      <c r="G27" s="228" t="s">
        <v>59</v>
      </c>
      <c r="H27" s="228"/>
      <c r="I27" s="228"/>
      <c r="J27" s="15"/>
      <c r="K27" s="15"/>
      <c r="L27" s="15"/>
      <c r="M27" s="15"/>
      <c r="N27" s="15"/>
      <c r="O27" s="15"/>
    </row>
    <row r="28" spans="1:15" ht="13.8">
      <c r="A28" s="15" t="s">
        <v>18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27</v>
      </c>
      <c r="D29" s="25" t="s">
        <v>71</v>
      </c>
      <c r="E29" s="23" t="s">
        <v>85</v>
      </c>
      <c r="F29" s="24"/>
      <c r="G29" s="23" t="s">
        <v>64</v>
      </c>
      <c r="H29" s="23" t="s">
        <v>31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233" t="s">
        <v>75</v>
      </c>
      <c r="C30" s="233"/>
      <c r="D30" s="233"/>
      <c r="E30" s="233"/>
      <c r="F30" s="233"/>
      <c r="G30" s="233"/>
      <c r="H30" s="233"/>
      <c r="I30" s="233"/>
      <c r="J30" s="233"/>
      <c r="K30" s="15"/>
      <c r="L30" s="15"/>
      <c r="M30" s="15"/>
      <c r="N30" s="15"/>
      <c r="O30" s="15"/>
    </row>
    <row r="31" spans="1:15" ht="13.8">
      <c r="A31" s="15" t="s">
        <v>35</v>
      </c>
      <c r="B31" s="122">
        <v>49.698</v>
      </c>
      <c r="C31" s="123">
        <v>365.27800000000002</v>
      </c>
      <c r="D31" s="122">
        <v>15.945374023673997</v>
      </c>
      <c r="E31" s="126">
        <f>B31+C31+D31</f>
        <v>430.92137402367399</v>
      </c>
      <c r="F31" s="72"/>
      <c r="G31" s="123">
        <v>309.67673674592402</v>
      </c>
      <c r="H31" s="123">
        <v>71.126637277750007</v>
      </c>
      <c r="I31" s="123">
        <f>SUM(G31:H31)</f>
        <v>380.803374023674</v>
      </c>
      <c r="J31" s="123">
        <f>E31-I31</f>
        <v>50.117999999999995</v>
      </c>
      <c r="K31" s="15"/>
      <c r="L31" s="125"/>
      <c r="M31" s="15"/>
      <c r="N31" s="15"/>
      <c r="O31" s="15"/>
    </row>
    <row r="32" spans="1:15" ht="16.2">
      <c r="A32" s="15" t="s">
        <v>36</v>
      </c>
      <c r="B32" s="122">
        <f>J31</f>
        <v>50.117999999999995</v>
      </c>
      <c r="C32" s="123">
        <v>358.70499999999998</v>
      </c>
      <c r="D32" s="122">
        <v>1.9690000000000001</v>
      </c>
      <c r="E32" s="126">
        <f>B32+C32+D32</f>
        <v>410.79199999999997</v>
      </c>
      <c r="F32" s="72"/>
      <c r="G32" s="123">
        <v>338.37202418091601</v>
      </c>
      <c r="H32" s="123">
        <v>22.446000000000002</v>
      </c>
      <c r="I32" s="123">
        <f>SUM(G32:H32)</f>
        <v>360.81802418091604</v>
      </c>
      <c r="J32" s="123">
        <v>49.993000000000002</v>
      </c>
      <c r="K32" s="15"/>
      <c r="L32" s="15"/>
      <c r="M32" s="15"/>
      <c r="N32" s="15"/>
      <c r="O32" s="15"/>
    </row>
    <row r="33" spans="1:18" s="138" customFormat="1" ht="16.2">
      <c r="A33" s="215" t="s">
        <v>37</v>
      </c>
      <c r="B33" s="217">
        <f>J32</f>
        <v>49.993000000000002</v>
      </c>
      <c r="C33" s="219">
        <v>330</v>
      </c>
      <c r="D33" s="217">
        <v>5</v>
      </c>
      <c r="E33" s="220">
        <f>B33+C33+D33</f>
        <v>384.99299999999999</v>
      </c>
      <c r="F33" s="218"/>
      <c r="G33" s="219">
        <v>305</v>
      </c>
      <c r="H33" s="219">
        <v>30</v>
      </c>
      <c r="I33" s="219">
        <f>SUM(G33:H33)</f>
        <v>335</v>
      </c>
      <c r="J33" s="219">
        <f>E33-I33</f>
        <v>49.992999999999995</v>
      </c>
      <c r="K33" s="130"/>
      <c r="L33" s="130"/>
      <c r="M33" s="130"/>
      <c r="N33" s="130"/>
      <c r="O33" s="130"/>
    </row>
    <row r="34" spans="1:18" ht="16.2">
      <c r="A34" s="40" t="s">
        <v>87</v>
      </c>
      <c r="B34" s="15"/>
      <c r="C34" s="70"/>
      <c r="D34" s="70"/>
      <c r="E34" s="70"/>
      <c r="F34" s="70"/>
      <c r="G34" s="70"/>
      <c r="H34" s="70"/>
      <c r="I34" s="15"/>
      <c r="J34" s="15"/>
      <c r="K34" s="15"/>
      <c r="L34" s="15"/>
      <c r="M34" s="15"/>
      <c r="N34" s="15"/>
      <c r="O34" s="15"/>
      <c r="R34" s="108"/>
    </row>
    <row r="35" spans="1:18" ht="14.4">
      <c r="A35" s="15" t="s">
        <v>92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08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228" t="s">
        <v>14</v>
      </c>
      <c r="C39" s="228"/>
      <c r="D39" s="17" t="s">
        <v>15</v>
      </c>
      <c r="E39" s="228" t="s">
        <v>16</v>
      </c>
      <c r="F39" s="228"/>
      <c r="G39" s="228"/>
      <c r="H39" s="228"/>
      <c r="I39" s="15"/>
      <c r="J39" s="228" t="s">
        <v>59</v>
      </c>
      <c r="K39" s="228"/>
      <c r="L39" s="228"/>
      <c r="M39" s="228"/>
      <c r="N39" s="228"/>
      <c r="O39" s="69"/>
    </row>
    <row r="40" spans="1:18" ht="13.8">
      <c r="A40" s="15" t="s">
        <v>18</v>
      </c>
      <c r="B40" s="17" t="s">
        <v>19</v>
      </c>
      <c r="C40" s="17" t="s">
        <v>20</v>
      </c>
      <c r="D40" s="15"/>
      <c r="E40" s="17" t="s">
        <v>70</v>
      </c>
      <c r="F40" s="17"/>
      <c r="G40" s="17"/>
      <c r="H40" s="17"/>
      <c r="I40" s="15"/>
      <c r="J40" s="52" t="s">
        <v>90</v>
      </c>
      <c r="K40" s="17"/>
      <c r="L40" s="17" t="s">
        <v>23</v>
      </c>
      <c r="M40" s="17"/>
      <c r="N40" s="17"/>
      <c r="O40" s="17" t="s">
        <v>60</v>
      </c>
    </row>
    <row r="41" spans="1:18" ht="13.8">
      <c r="A41" s="21" t="s">
        <v>80</v>
      </c>
      <c r="B41" s="22"/>
      <c r="C41" s="22"/>
      <c r="D41" s="22"/>
      <c r="E41" s="23" t="s">
        <v>62</v>
      </c>
      <c r="F41" s="23" t="s">
        <v>27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30</v>
      </c>
      <c r="M41" s="25" t="s">
        <v>31</v>
      </c>
      <c r="N41" s="23" t="s">
        <v>63</v>
      </c>
      <c r="O41" s="23" t="s">
        <v>66</v>
      </c>
    </row>
    <row r="42" spans="1:18" ht="14.4">
      <c r="A42" s="15"/>
      <c r="B42" s="231" t="s">
        <v>94</v>
      </c>
      <c r="C42" s="232"/>
      <c r="D42" s="74" t="s">
        <v>95</v>
      </c>
      <c r="E42" s="234" t="s">
        <v>96</v>
      </c>
      <c r="F42" s="233"/>
      <c r="G42" s="233"/>
      <c r="H42" s="233"/>
      <c r="I42" s="233"/>
      <c r="J42" s="233"/>
      <c r="K42" s="233"/>
      <c r="L42" s="233"/>
      <c r="M42" s="233"/>
      <c r="N42" s="233"/>
      <c r="O42" s="232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35</v>
      </c>
      <c r="B44" s="71">
        <v>1448.5</v>
      </c>
      <c r="C44" s="71">
        <v>1381.4</v>
      </c>
      <c r="D44" s="71">
        <f>F44*1000/C44</f>
        <v>4011.7069639496162</v>
      </c>
      <c r="E44" s="71">
        <v>2360.2570000000001</v>
      </c>
      <c r="F44" s="71">
        <v>5541.7719999999999</v>
      </c>
      <c r="G44" s="123">
        <v>103.13172545378339</v>
      </c>
      <c r="H44" s="71">
        <f>SUM(E44:G44)</f>
        <v>8005.1607254537839</v>
      </c>
      <c r="I44" s="71"/>
      <c r="J44" s="71">
        <v>3298.5</v>
      </c>
      <c r="K44" s="71">
        <v>794.70279860000005</v>
      </c>
      <c r="L44" s="123">
        <f>N44-J44-K44-M44</f>
        <v>681.75480869735929</v>
      </c>
      <c r="M44" s="123">
        <v>1197.1171181564243</v>
      </c>
      <c r="N44" s="71">
        <f>H44-O44</f>
        <v>5972.0747254537837</v>
      </c>
      <c r="O44" s="71">
        <v>2033.086</v>
      </c>
      <c r="P44" s="108"/>
      <c r="Q44" s="108"/>
    </row>
    <row r="45" spans="1:18" ht="16.2">
      <c r="A45" s="15" t="s">
        <v>36</v>
      </c>
      <c r="B45" s="71">
        <v>1645</v>
      </c>
      <c r="C45" s="71">
        <v>1557</v>
      </c>
      <c r="D45" s="71">
        <f>F45*1000/C45</f>
        <v>3774.9261400128453</v>
      </c>
      <c r="E45" s="71">
        <f>O44</f>
        <v>2033.086</v>
      </c>
      <c r="F45" s="71">
        <v>5877.56</v>
      </c>
      <c r="G45" s="123">
        <v>104.31366757849419</v>
      </c>
      <c r="H45" s="71">
        <f>SUM(E45:G45)</f>
        <v>8014.9596675784951</v>
      </c>
      <c r="I45" s="71"/>
      <c r="J45" s="71">
        <v>3123.4</v>
      </c>
      <c r="K45" s="71">
        <v>654.23564369999997</v>
      </c>
      <c r="L45" s="123">
        <f>N45-J45-K45-M45</f>
        <v>1301.3553895999737</v>
      </c>
      <c r="M45" s="123">
        <v>1455.3466342785212</v>
      </c>
      <c r="N45" s="71">
        <f>H45-O45</f>
        <v>6534.3376675784948</v>
      </c>
      <c r="O45" s="71">
        <f>1480.622</f>
        <v>1480.6220000000001</v>
      </c>
      <c r="P45" s="108"/>
      <c r="Q45" s="108"/>
    </row>
    <row r="46" spans="1:18" s="138" customFormat="1" ht="16.2">
      <c r="A46" s="215" t="s">
        <v>37</v>
      </c>
      <c r="B46" s="216">
        <v>1801</v>
      </c>
      <c r="C46" s="216">
        <v>1758</v>
      </c>
      <c r="D46" s="216">
        <f>F46*1000/C46</f>
        <v>3667.8156996587031</v>
      </c>
      <c r="E46" s="216">
        <f>O45</f>
        <v>1480.6220000000001</v>
      </c>
      <c r="F46" s="216">
        <v>6448.02</v>
      </c>
      <c r="G46" s="219">
        <v>105</v>
      </c>
      <c r="H46" s="216">
        <f>SUM(E46:G46)</f>
        <v>8033.6420000000007</v>
      </c>
      <c r="I46" s="216"/>
      <c r="J46" s="216">
        <v>3095</v>
      </c>
      <c r="K46" s="216">
        <v>775</v>
      </c>
      <c r="L46" s="219">
        <v>1319</v>
      </c>
      <c r="M46" s="219">
        <v>1200</v>
      </c>
      <c r="N46" s="216">
        <f>SUM(J46:M46)</f>
        <v>6389</v>
      </c>
      <c r="O46" s="216">
        <f>H46-N46</f>
        <v>1644.6420000000007</v>
      </c>
      <c r="P46" s="221"/>
      <c r="Q46" s="221"/>
    </row>
    <row r="47" spans="1:18" ht="16.2">
      <c r="A47" s="40" t="s">
        <v>87</v>
      </c>
      <c r="B47" s="15"/>
      <c r="C47" s="70"/>
      <c r="D47" s="70"/>
      <c r="E47" s="70"/>
      <c r="F47" s="70"/>
      <c r="G47" s="70"/>
      <c r="H47" s="70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5">
        <f>Contents!A18</f>
        <v>45761</v>
      </c>
      <c r="C50" s="15"/>
      <c r="D50" s="15"/>
      <c r="E50" s="15"/>
      <c r="F50" s="15"/>
      <c r="G50" s="15"/>
      <c r="H50" s="15"/>
      <c r="I50" s="15"/>
      <c r="J50" s="125"/>
      <c r="K50" s="15"/>
      <c r="L50" s="15"/>
      <c r="M50" s="15"/>
      <c r="N50" s="15"/>
      <c r="O50" s="15"/>
    </row>
    <row r="51" spans="1:15" ht="18" customHeight="1">
      <c r="A51" s="76"/>
      <c r="B51" s="77"/>
      <c r="C51" s="77"/>
      <c r="D51" s="77"/>
      <c r="E51" s="77"/>
      <c r="F51" s="77"/>
      <c r="G51" s="77"/>
      <c r="H51" s="77"/>
      <c r="I51" s="77"/>
      <c r="J51" s="89"/>
      <c r="K51" s="77"/>
      <c r="L51" s="77"/>
      <c r="M51" s="77"/>
      <c r="N51" s="77"/>
      <c r="O51" s="77"/>
    </row>
    <row r="52" spans="1:15" ht="15.6">
      <c r="G52" s="60"/>
      <c r="H52" s="60"/>
    </row>
    <row r="53" spans="1:15" ht="15.6">
      <c r="G53" s="60"/>
      <c r="H53" s="60"/>
    </row>
    <row r="54" spans="1:15" ht="15.6">
      <c r="G54" s="60"/>
      <c r="H54" s="60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57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5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2" width="18.6640625" bestFit="1" customWidth="1"/>
    <col min="3" max="3" width="22.33203125" bestFit="1" customWidth="1"/>
    <col min="4" max="4" width="23.6640625" customWidth="1"/>
    <col min="5" max="5" width="25.44140625" customWidth="1"/>
    <col min="6" max="6" width="16.5546875" bestFit="1" customWidth="1"/>
    <col min="7" max="7" width="18.664062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44"/>
      <c r="D3" s="44"/>
      <c r="E3" s="44"/>
      <c r="F3" s="44"/>
      <c r="G3" s="44"/>
    </row>
    <row r="4" spans="1:10" ht="14.4">
      <c r="A4" s="45"/>
      <c r="B4" s="46" t="s">
        <v>106</v>
      </c>
      <c r="C4" s="46" t="s">
        <v>107</v>
      </c>
      <c r="D4" s="46" t="s">
        <v>108</v>
      </c>
      <c r="E4" s="46" t="s">
        <v>108</v>
      </c>
      <c r="F4" s="46" t="s">
        <v>109</v>
      </c>
      <c r="G4" s="46" t="s">
        <v>106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110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61"/>
    </row>
    <row r="7" spans="1:10" ht="13.8">
      <c r="A7" s="15" t="s">
        <v>111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61"/>
    </row>
    <row r="8" spans="1:10" ht="13.8">
      <c r="A8" s="15" t="s">
        <v>112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61"/>
    </row>
    <row r="9" spans="1:10" ht="13.8">
      <c r="A9" s="15" t="s">
        <v>113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61"/>
    </row>
    <row r="10" spans="1:10" ht="13.8">
      <c r="A10" s="15" t="s">
        <v>114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61"/>
    </row>
    <row r="11" spans="1:10" ht="13.8">
      <c r="A11" s="15" t="s">
        <v>115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61"/>
    </row>
    <row r="12" spans="1:10" ht="13.8">
      <c r="A12" s="15" t="s">
        <v>116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61"/>
    </row>
    <row r="13" spans="1:10" ht="13.8">
      <c r="A13" s="15" t="s">
        <v>117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61"/>
    </row>
    <row r="14" spans="1:10" ht="13.8">
      <c r="A14" s="15" t="s">
        <v>118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61"/>
    </row>
    <row r="15" spans="1:10" ht="13.8">
      <c r="A15" s="15" t="s">
        <v>119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61"/>
    </row>
    <row r="16" spans="1:10" ht="13.8">
      <c r="A16" s="15" t="s">
        <v>120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61"/>
    </row>
    <row r="17" spans="1:10" ht="13.8">
      <c r="A17" s="15" t="s">
        <v>121</v>
      </c>
      <c r="B17" s="47">
        <v>13.3</v>
      </c>
      <c r="C17" s="47">
        <v>243</v>
      </c>
      <c r="D17" s="91">
        <v>32.9</v>
      </c>
      <c r="E17" s="47">
        <v>32.9</v>
      </c>
      <c r="F17" s="47">
        <v>24.3</v>
      </c>
      <c r="G17" s="47">
        <v>25.9</v>
      </c>
      <c r="J17" s="61"/>
    </row>
    <row r="18" spans="1:10" ht="13.8">
      <c r="A18" s="15" t="s">
        <v>35</v>
      </c>
      <c r="B18" s="47">
        <v>14.2</v>
      </c>
      <c r="C18" s="91">
        <v>306</v>
      </c>
      <c r="D18" s="47">
        <v>27.8</v>
      </c>
      <c r="E18" s="47">
        <v>29.8</v>
      </c>
      <c r="F18" s="47">
        <v>26.8</v>
      </c>
      <c r="G18" s="91">
        <v>17.5</v>
      </c>
      <c r="H18" s="101"/>
      <c r="J18" s="61"/>
    </row>
    <row r="19" spans="1:10" ht="16.2">
      <c r="A19" s="15" t="s">
        <v>122</v>
      </c>
      <c r="B19" s="47">
        <v>12.4</v>
      </c>
      <c r="C19" s="47">
        <v>223</v>
      </c>
      <c r="D19" s="91">
        <v>21.2</v>
      </c>
      <c r="E19" s="47">
        <v>24.3</v>
      </c>
      <c r="F19" s="47">
        <v>26.9</v>
      </c>
      <c r="G19" s="91">
        <v>12.1</v>
      </c>
      <c r="H19" s="101"/>
      <c r="J19" s="61"/>
    </row>
    <row r="20" spans="1:10" ht="16.2">
      <c r="A20" s="130" t="s">
        <v>123</v>
      </c>
      <c r="B20" s="129">
        <v>9.9499999999999993</v>
      </c>
      <c r="C20" s="129">
        <v>225</v>
      </c>
      <c r="D20" s="222">
        <v>21.55</v>
      </c>
      <c r="E20" s="129">
        <v>19.899999999999999</v>
      </c>
      <c r="F20" s="129">
        <v>25.5</v>
      </c>
      <c r="G20" s="222">
        <v>12.3</v>
      </c>
      <c r="H20" s="101"/>
      <c r="J20" s="61"/>
    </row>
    <row r="21" spans="1:10" ht="13.8">
      <c r="A21" s="15"/>
      <c r="B21" s="127"/>
      <c r="C21" s="48"/>
      <c r="D21" s="49"/>
      <c r="E21" s="49"/>
      <c r="F21" s="48"/>
      <c r="G21" s="50"/>
      <c r="H21" s="41"/>
      <c r="J21" s="61"/>
    </row>
    <row r="22" spans="1:10" ht="13.8">
      <c r="A22" s="51" t="s">
        <v>53</v>
      </c>
      <c r="B22" s="47"/>
      <c r="C22" s="47"/>
      <c r="D22" s="47"/>
      <c r="E22" s="129"/>
      <c r="F22" s="47"/>
      <c r="G22" s="129"/>
    </row>
    <row r="23" spans="1:10" ht="13.8">
      <c r="A23" s="15" t="s">
        <v>38</v>
      </c>
      <c r="B23" s="47">
        <v>13.2</v>
      </c>
      <c r="C23" s="47">
        <v>242</v>
      </c>
      <c r="D23" s="47">
        <v>24.2</v>
      </c>
      <c r="E23" s="129">
        <v>25</v>
      </c>
      <c r="F23" s="47">
        <v>26.9</v>
      </c>
      <c r="G23" s="129">
        <v>12</v>
      </c>
    </row>
    <row r="24" spans="1:10" ht="13.8">
      <c r="A24" s="15" t="s">
        <v>39</v>
      </c>
      <c r="B24" s="47">
        <v>12.7</v>
      </c>
      <c r="C24" s="47">
        <v>233</v>
      </c>
      <c r="D24" s="47">
        <v>20</v>
      </c>
      <c r="E24" s="129">
        <v>23.7</v>
      </c>
      <c r="F24" s="47">
        <v>26.7</v>
      </c>
      <c r="G24" s="129">
        <v>13</v>
      </c>
    </row>
    <row r="25" spans="1:10" ht="13.8">
      <c r="A25" s="15" t="s">
        <v>40</v>
      </c>
      <c r="B25" s="47">
        <v>13</v>
      </c>
      <c r="C25" s="47">
        <v>227</v>
      </c>
      <c r="D25" s="47">
        <v>22.6</v>
      </c>
      <c r="E25" s="129">
        <v>25.6</v>
      </c>
      <c r="F25" s="47">
        <v>29.4</v>
      </c>
      <c r="G25" s="129">
        <v>12.2</v>
      </c>
    </row>
    <row r="26" spans="1:10" ht="13.8">
      <c r="A26" s="15" t="s">
        <v>42</v>
      </c>
      <c r="B26" s="47">
        <v>13.1</v>
      </c>
      <c r="C26" s="47">
        <v>209</v>
      </c>
      <c r="D26" s="47">
        <v>24</v>
      </c>
      <c r="E26" s="129">
        <v>23.9</v>
      </c>
      <c r="F26" s="47">
        <v>23.7</v>
      </c>
      <c r="G26" s="129">
        <v>13.4</v>
      </c>
    </row>
    <row r="27" spans="1:10" ht="13.8">
      <c r="A27" s="15" t="s">
        <v>43</v>
      </c>
      <c r="B27" s="47">
        <v>12.8</v>
      </c>
      <c r="C27" s="47">
        <v>174</v>
      </c>
      <c r="D27" s="47">
        <v>21.4</v>
      </c>
      <c r="E27" s="129">
        <v>24.4</v>
      </c>
      <c r="F27" s="47">
        <v>27.1</v>
      </c>
      <c r="G27" s="129">
        <v>12.1</v>
      </c>
    </row>
    <row r="28" spans="1:10" ht="13.8">
      <c r="A28" s="15" t="s">
        <v>44</v>
      </c>
      <c r="B28" s="47">
        <v>11.9</v>
      </c>
      <c r="C28" s="47">
        <v>177</v>
      </c>
      <c r="D28" s="47">
        <v>22.4</v>
      </c>
      <c r="E28" s="129">
        <v>22.8</v>
      </c>
      <c r="F28" s="47">
        <v>26.4</v>
      </c>
      <c r="G28" s="129">
        <v>12.3</v>
      </c>
    </row>
    <row r="29" spans="1:10" ht="13.8">
      <c r="A29" s="15" t="s">
        <v>46</v>
      </c>
      <c r="B29" s="47">
        <v>11.8</v>
      </c>
      <c r="C29" s="47" t="s">
        <v>78</v>
      </c>
      <c r="D29" s="47">
        <v>22.5</v>
      </c>
      <c r="E29" s="129">
        <v>21.6</v>
      </c>
      <c r="F29" s="47">
        <v>27</v>
      </c>
      <c r="G29" s="129">
        <v>11.5</v>
      </c>
    </row>
    <row r="30" spans="1:10" ht="13.8">
      <c r="A30" s="15" t="s">
        <v>47</v>
      </c>
      <c r="B30" s="47">
        <v>11.8</v>
      </c>
      <c r="C30" s="47" t="s">
        <v>78</v>
      </c>
      <c r="D30" s="47">
        <v>20</v>
      </c>
      <c r="E30" s="129">
        <v>21.9</v>
      </c>
      <c r="F30" s="47">
        <v>27.2</v>
      </c>
      <c r="G30" s="129">
        <v>12.1</v>
      </c>
    </row>
    <row r="31" spans="1:10" ht="13.8">
      <c r="A31" s="15" t="s">
        <v>48</v>
      </c>
      <c r="B31" s="47">
        <v>11.9</v>
      </c>
      <c r="C31" s="47" t="s">
        <v>78</v>
      </c>
      <c r="D31" s="47">
        <v>23</v>
      </c>
      <c r="E31" s="129">
        <v>25.1</v>
      </c>
      <c r="F31" s="47">
        <v>26.7</v>
      </c>
      <c r="G31" s="129">
        <v>12.2</v>
      </c>
    </row>
    <row r="32" spans="1:10" ht="13.8">
      <c r="A32" s="130" t="s">
        <v>49</v>
      </c>
      <c r="B32" s="129">
        <v>11.8</v>
      </c>
      <c r="C32" s="129" t="s">
        <v>78</v>
      </c>
      <c r="D32" s="47">
        <v>17</v>
      </c>
      <c r="E32" s="129">
        <v>20.6</v>
      </c>
      <c r="F32" s="129">
        <v>26.2</v>
      </c>
      <c r="G32" s="129">
        <v>12</v>
      </c>
    </row>
    <row r="33" spans="1:12" ht="13.8">
      <c r="A33" s="15" t="s">
        <v>50</v>
      </c>
      <c r="B33" s="47">
        <v>11.3</v>
      </c>
      <c r="C33" s="47" t="s">
        <v>78</v>
      </c>
      <c r="D33" s="47">
        <v>20.9</v>
      </c>
      <c r="E33" s="47">
        <v>20.3</v>
      </c>
      <c r="F33" s="47">
        <v>27.3</v>
      </c>
      <c r="G33" s="47">
        <v>12.2</v>
      </c>
    </row>
    <row r="34" spans="1:12" ht="13.8">
      <c r="A34" s="15" t="s">
        <v>51</v>
      </c>
      <c r="B34" s="47">
        <v>10.3</v>
      </c>
      <c r="C34" s="47">
        <v>226</v>
      </c>
      <c r="D34" s="47">
        <v>18</v>
      </c>
      <c r="E34" s="47">
        <v>20</v>
      </c>
      <c r="F34" s="47">
        <v>26.8</v>
      </c>
      <c r="G34" s="47">
        <v>12</v>
      </c>
    </row>
    <row r="35" spans="1:12" ht="13.8">
      <c r="A35" s="15"/>
      <c r="B35" s="47"/>
      <c r="C35" s="47"/>
      <c r="D35" s="47"/>
      <c r="E35" s="129"/>
      <c r="F35" s="47"/>
      <c r="G35" s="129"/>
    </row>
    <row r="36" spans="1:12" ht="13.8">
      <c r="A36" s="51" t="s">
        <v>158</v>
      </c>
      <c r="B36" s="47"/>
      <c r="C36" s="47"/>
      <c r="D36" s="47"/>
      <c r="E36" s="129"/>
      <c r="F36" s="47"/>
      <c r="G36" s="129"/>
    </row>
    <row r="37" spans="1:12" ht="13.8">
      <c r="A37" s="15" t="s">
        <v>38</v>
      </c>
      <c r="B37" s="47">
        <v>10.199999999999999</v>
      </c>
      <c r="C37" s="47">
        <v>229</v>
      </c>
      <c r="D37" s="47">
        <v>18.2</v>
      </c>
      <c r="E37" s="47">
        <v>19</v>
      </c>
      <c r="F37" s="47">
        <v>26.7</v>
      </c>
      <c r="G37" s="47">
        <v>12</v>
      </c>
      <c r="L37" s="61"/>
    </row>
    <row r="38" spans="1:12" ht="13.8">
      <c r="A38" s="15" t="s">
        <v>39</v>
      </c>
      <c r="B38" s="47">
        <v>9.91</v>
      </c>
      <c r="C38" s="47">
        <v>223</v>
      </c>
      <c r="D38" s="47">
        <v>21</v>
      </c>
      <c r="E38" s="47">
        <v>20.3</v>
      </c>
      <c r="F38" s="47">
        <v>26</v>
      </c>
      <c r="G38" s="47">
        <v>11.9</v>
      </c>
      <c r="L38" s="61"/>
    </row>
    <row r="39" spans="1:12" ht="13.8">
      <c r="A39" s="15" t="s">
        <v>40</v>
      </c>
      <c r="B39" s="47">
        <v>9.84</v>
      </c>
      <c r="C39" s="47">
        <v>221</v>
      </c>
      <c r="D39" s="47">
        <v>18.5</v>
      </c>
      <c r="E39" s="47">
        <v>19.7</v>
      </c>
      <c r="F39" s="47">
        <v>25.2</v>
      </c>
      <c r="G39" s="47">
        <v>11.7</v>
      </c>
      <c r="H39" s="47"/>
      <c r="L39" s="61"/>
    </row>
    <row r="40" spans="1:12" ht="13.8">
      <c r="A40" s="15" t="s">
        <v>42</v>
      </c>
      <c r="B40" s="47">
        <v>9.7899999999999991</v>
      </c>
      <c r="C40" s="47">
        <v>224</v>
      </c>
      <c r="D40" s="47">
        <v>21.5</v>
      </c>
      <c r="E40" s="47">
        <v>19.3</v>
      </c>
      <c r="F40" s="47">
        <v>23.9</v>
      </c>
      <c r="G40" s="47">
        <v>12.3</v>
      </c>
      <c r="L40" s="61"/>
    </row>
    <row r="41" spans="1:12" ht="13.8">
      <c r="A41" s="15" t="s">
        <v>43</v>
      </c>
      <c r="B41" s="47">
        <v>10</v>
      </c>
      <c r="C41" s="47">
        <v>217</v>
      </c>
      <c r="D41" s="47">
        <v>23.1</v>
      </c>
      <c r="E41" s="47">
        <v>20.100000000000001</v>
      </c>
      <c r="F41" s="47">
        <v>25.9</v>
      </c>
      <c r="G41" s="47">
        <v>12.8</v>
      </c>
      <c r="L41" s="61"/>
    </row>
    <row r="42" spans="1:12" s="138" customFormat="1" ht="13.8">
      <c r="A42" s="130" t="s">
        <v>44</v>
      </c>
      <c r="B42" s="129">
        <v>10.199999999999999</v>
      </c>
      <c r="C42" s="129">
        <v>250</v>
      </c>
      <c r="D42" s="129">
        <v>25.2</v>
      </c>
      <c r="E42" s="129">
        <v>20.9</v>
      </c>
      <c r="F42" s="129">
        <v>25.3</v>
      </c>
      <c r="G42" s="129">
        <v>12.5</v>
      </c>
      <c r="L42" s="223"/>
    </row>
    <row r="43" spans="1:12" ht="16.2">
      <c r="A43" s="69" t="s">
        <v>124</v>
      </c>
      <c r="B43" s="69"/>
      <c r="C43" s="69"/>
      <c r="D43" s="69"/>
      <c r="E43" s="69"/>
      <c r="F43" s="69"/>
      <c r="G43" s="69"/>
      <c r="H43" s="92"/>
    </row>
    <row r="44" spans="1:12" ht="14.4">
      <c r="A44" s="15" t="s">
        <v>125</v>
      </c>
      <c r="B44" s="15"/>
      <c r="C44" s="15"/>
      <c r="D44" s="15"/>
      <c r="E44" s="15"/>
      <c r="F44" s="15"/>
      <c r="G44" s="15"/>
    </row>
    <row r="45" spans="1:12" ht="13.8">
      <c r="A45" s="20" t="s">
        <v>57</v>
      </c>
      <c r="B45" s="36">
        <f>Contents!A18</f>
        <v>45761</v>
      </c>
      <c r="C45" s="15"/>
      <c r="D45" s="15"/>
      <c r="E45" s="15"/>
      <c r="F45" s="15"/>
      <c r="G45" s="15"/>
    </row>
  </sheetData>
  <phoneticPr fontId="57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6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2" width="11.5546875" customWidth="1"/>
    <col min="3" max="3" width="12.33203125" bestFit="1" customWidth="1"/>
    <col min="4" max="4" width="13.5546875" customWidth="1"/>
    <col min="5" max="5" width="11.5546875" customWidth="1"/>
    <col min="6" max="7" width="13.332031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2" t="s">
        <v>98</v>
      </c>
      <c r="B2" s="17" t="s">
        <v>126</v>
      </c>
      <c r="C2" s="17" t="s">
        <v>127</v>
      </c>
      <c r="D2" s="17" t="s">
        <v>128</v>
      </c>
      <c r="E2" s="53" t="s">
        <v>129</v>
      </c>
      <c r="F2" s="53" t="s">
        <v>130</v>
      </c>
      <c r="G2" s="17" t="s">
        <v>131</v>
      </c>
      <c r="H2" s="17" t="s">
        <v>132</v>
      </c>
      <c r="I2" s="54" t="s">
        <v>133</v>
      </c>
      <c r="K2" s="17"/>
      <c r="L2" s="17"/>
    </row>
    <row r="3" spans="1:13" ht="15.6" customHeight="1">
      <c r="A3" s="55" t="s">
        <v>105</v>
      </c>
      <c r="B3" s="23" t="s">
        <v>134</v>
      </c>
      <c r="C3" s="23" t="s">
        <v>135</v>
      </c>
      <c r="D3" s="23" t="s">
        <v>136</v>
      </c>
      <c r="E3" s="23" t="s">
        <v>136</v>
      </c>
      <c r="F3" s="23" t="s">
        <v>137</v>
      </c>
      <c r="G3" s="23" t="s">
        <v>138</v>
      </c>
      <c r="H3" s="23"/>
      <c r="I3" s="23" t="s">
        <v>139</v>
      </c>
    </row>
    <row r="4" spans="1:13" ht="14.4">
      <c r="A4" s="56" t="s">
        <v>140</v>
      </c>
      <c r="C4" s="57"/>
      <c r="D4" s="57"/>
      <c r="E4" s="57"/>
      <c r="F4" s="57"/>
      <c r="G4" s="57"/>
      <c r="H4" s="57"/>
      <c r="I4" s="57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  <c r="K5" s="61"/>
    </row>
    <row r="6" spans="1:13" ht="13.8">
      <c r="A6" s="15" t="s">
        <v>110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161"/>
      <c r="L6" s="61"/>
      <c r="M6" s="61"/>
    </row>
    <row r="7" spans="1:13" ht="13.8">
      <c r="A7" s="15" t="s">
        <v>111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161"/>
      <c r="L7" s="61"/>
      <c r="M7" s="61"/>
    </row>
    <row r="8" spans="1:13" ht="13.8">
      <c r="A8" s="15" t="s">
        <v>112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161"/>
      <c r="L8" s="61"/>
      <c r="M8" s="61"/>
    </row>
    <row r="9" spans="1:13" ht="13.8">
      <c r="A9" s="15" t="s">
        <v>113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161"/>
      <c r="L9" s="61"/>
      <c r="M9" s="61"/>
    </row>
    <row r="10" spans="1:13" ht="13.8">
      <c r="A10" s="15" t="s">
        <v>114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161"/>
      <c r="L10" s="61"/>
      <c r="M10" s="61"/>
    </row>
    <row r="11" spans="1:13" ht="13.8">
      <c r="A11" s="15" t="s">
        <v>115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161"/>
      <c r="L11" s="61"/>
      <c r="M11" s="61"/>
    </row>
    <row r="12" spans="1:13" ht="13.8">
      <c r="A12" s="15" t="s">
        <v>116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161"/>
      <c r="L12" s="61"/>
      <c r="M12" s="61"/>
    </row>
    <row r="13" spans="1:13" ht="13.8">
      <c r="A13" s="15" t="s">
        <v>117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161"/>
      <c r="L13" s="61"/>
      <c r="M13" s="61"/>
    </row>
    <row r="14" spans="1:13" ht="13.8">
      <c r="A14" s="15" t="s">
        <v>118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161"/>
      <c r="L14" s="61"/>
      <c r="M14" s="61"/>
    </row>
    <row r="15" spans="1:13" ht="13.8">
      <c r="A15" s="15" t="s">
        <v>119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65.599999999999994</v>
      </c>
      <c r="G15" s="47">
        <v>39.47</v>
      </c>
      <c r="H15" s="47">
        <v>35.75</v>
      </c>
      <c r="I15" s="47">
        <v>38.369999999999997</v>
      </c>
      <c r="K15" s="161"/>
      <c r="L15" s="136"/>
      <c r="M15" s="61"/>
    </row>
    <row r="16" spans="1:13" ht="13.8">
      <c r="A16" s="15" t="s">
        <v>120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99.4</v>
      </c>
      <c r="G16" s="47">
        <v>53.88</v>
      </c>
      <c r="H16" s="47">
        <v>55.89</v>
      </c>
      <c r="I16" s="47">
        <v>54.98</v>
      </c>
      <c r="K16" s="161"/>
      <c r="L16" s="136"/>
      <c r="M16" s="61"/>
    </row>
    <row r="17" spans="1:13" ht="13.8">
      <c r="A17" s="15" t="s">
        <v>121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106.8</v>
      </c>
      <c r="G17" s="47">
        <v>64.28</v>
      </c>
      <c r="H17" s="47">
        <v>82</v>
      </c>
      <c r="I17" s="47">
        <v>81.84</v>
      </c>
      <c r="K17" s="161"/>
      <c r="L17" s="136"/>
      <c r="M17" s="61"/>
    </row>
    <row r="18" spans="1:13" ht="13.8">
      <c r="A18" s="15" t="s">
        <v>35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96.5</v>
      </c>
      <c r="G18" s="47">
        <v>61.62</v>
      </c>
      <c r="H18" s="47">
        <v>84.25</v>
      </c>
      <c r="I18" s="47">
        <v>76.95</v>
      </c>
      <c r="K18" s="161"/>
      <c r="L18" s="136"/>
      <c r="M18" s="61"/>
    </row>
    <row r="19" spans="1:13" ht="16.2">
      <c r="A19" s="15" t="s">
        <v>141</v>
      </c>
      <c r="B19" s="47">
        <v>47.28</v>
      </c>
      <c r="C19" s="47">
        <v>78.94</v>
      </c>
      <c r="D19" s="47">
        <v>58.65</v>
      </c>
      <c r="E19" s="47">
        <v>55.48</v>
      </c>
      <c r="F19" s="91">
        <v>80.099999999999994</v>
      </c>
      <c r="G19" s="47" t="s">
        <v>78</v>
      </c>
      <c r="H19" s="47">
        <v>55.041249999999998</v>
      </c>
      <c r="I19" s="47">
        <v>53.968000000000004</v>
      </c>
      <c r="K19" s="161"/>
      <c r="L19" s="136"/>
      <c r="M19" s="61"/>
    </row>
    <row r="20" spans="1:13" s="138" customFormat="1" ht="16.2">
      <c r="A20" s="130" t="s">
        <v>142</v>
      </c>
      <c r="B20" s="129">
        <v>45</v>
      </c>
      <c r="C20" s="129">
        <v>77</v>
      </c>
      <c r="D20" s="129">
        <v>62</v>
      </c>
      <c r="E20" s="129">
        <v>52</v>
      </c>
      <c r="F20" s="222">
        <v>78</v>
      </c>
      <c r="G20" s="222" t="s">
        <v>78</v>
      </c>
      <c r="H20" s="222">
        <v>51</v>
      </c>
      <c r="I20" s="222">
        <v>50</v>
      </c>
      <c r="K20" s="161"/>
      <c r="L20" s="223"/>
      <c r="M20" s="223"/>
    </row>
    <row r="21" spans="1:13" ht="13.8">
      <c r="A21" s="148"/>
      <c r="B21" s="147"/>
      <c r="C21" s="147"/>
      <c r="D21" s="147"/>
      <c r="E21" s="147"/>
      <c r="F21" s="147"/>
      <c r="G21" s="147"/>
      <c r="H21" s="147"/>
      <c r="I21" s="147"/>
    </row>
    <row r="22" spans="1:13" ht="13.8">
      <c r="A22" s="30" t="s">
        <v>53</v>
      </c>
      <c r="B22" s="47"/>
      <c r="C22" s="47"/>
      <c r="D22" s="47"/>
      <c r="E22" s="47"/>
      <c r="F22" s="47"/>
      <c r="G22" s="47"/>
      <c r="H22" s="47"/>
      <c r="I22" s="47"/>
    </row>
    <row r="23" spans="1:13" ht="13.8">
      <c r="A23" s="15" t="s">
        <v>39</v>
      </c>
      <c r="B23" s="47">
        <v>56.599999999999994</v>
      </c>
      <c r="C23" s="47">
        <v>92</v>
      </c>
      <c r="D23" s="47">
        <v>64.75</v>
      </c>
      <c r="E23" s="47">
        <v>65.1875</v>
      </c>
      <c r="F23" s="47">
        <v>83.25</v>
      </c>
      <c r="G23" s="47" t="s">
        <v>78</v>
      </c>
      <c r="H23" s="91">
        <v>90</v>
      </c>
      <c r="I23" s="47">
        <v>65.17</v>
      </c>
      <c r="K23" s="61"/>
      <c r="M23" s="61"/>
    </row>
    <row r="24" spans="1:13" ht="13.8">
      <c r="A24" s="15" t="s">
        <v>40</v>
      </c>
      <c r="B24" s="47">
        <v>53.39</v>
      </c>
      <c r="C24" s="47">
        <v>86.38</v>
      </c>
      <c r="D24" s="47">
        <v>62.25</v>
      </c>
      <c r="E24" s="47">
        <v>61.63</v>
      </c>
      <c r="F24" s="47">
        <v>81.5</v>
      </c>
      <c r="G24" s="47" t="s">
        <v>78</v>
      </c>
      <c r="H24" s="91" t="s">
        <v>78</v>
      </c>
      <c r="I24" s="47">
        <v>57.024999999999999</v>
      </c>
      <c r="K24" s="61"/>
      <c r="M24" s="61"/>
    </row>
    <row r="25" spans="1:13" ht="13.8">
      <c r="A25" s="15" t="s">
        <v>42</v>
      </c>
      <c r="B25" s="47">
        <v>52.33</v>
      </c>
      <c r="C25" s="47">
        <v>83.1</v>
      </c>
      <c r="D25" s="47">
        <v>58.6</v>
      </c>
      <c r="E25" s="47">
        <v>59.45</v>
      </c>
      <c r="F25" s="47">
        <v>77.8</v>
      </c>
      <c r="G25" s="47" t="s">
        <v>78</v>
      </c>
      <c r="H25" s="91">
        <v>65</v>
      </c>
      <c r="I25" s="47">
        <v>50.67</v>
      </c>
      <c r="K25" s="61"/>
      <c r="M25" s="61"/>
    </row>
    <row r="26" spans="1:13" ht="13.8">
      <c r="A26" s="15" t="s">
        <v>43</v>
      </c>
      <c r="B26" s="47">
        <v>49.1</v>
      </c>
      <c r="C26" s="47">
        <v>79.5</v>
      </c>
      <c r="D26" s="47">
        <v>58.13</v>
      </c>
      <c r="E26" s="47">
        <v>57.25</v>
      </c>
      <c r="F26" s="47">
        <v>76.5</v>
      </c>
      <c r="G26" s="47" t="s">
        <v>78</v>
      </c>
      <c r="H26" s="91" t="s">
        <v>78</v>
      </c>
      <c r="I26" s="47" t="s">
        <v>78</v>
      </c>
      <c r="K26" s="61"/>
      <c r="M26" s="61"/>
    </row>
    <row r="27" spans="1:13" ht="13.8">
      <c r="A27" s="15" t="s">
        <v>44</v>
      </c>
      <c r="B27" s="47">
        <v>47.33</v>
      </c>
      <c r="C27" s="47">
        <v>76.5</v>
      </c>
      <c r="D27" s="47">
        <v>57.38</v>
      </c>
      <c r="E27" s="47">
        <v>53.06</v>
      </c>
      <c r="F27" s="47">
        <v>76.75</v>
      </c>
      <c r="G27" s="47" t="s">
        <v>78</v>
      </c>
      <c r="H27" s="91">
        <v>45.33</v>
      </c>
      <c r="I27" s="47">
        <v>52.5</v>
      </c>
      <c r="K27" s="61"/>
      <c r="M27" s="61"/>
    </row>
    <row r="28" spans="1:13" ht="13.8">
      <c r="A28" s="15" t="s">
        <v>46</v>
      </c>
      <c r="B28" s="47">
        <v>46.57</v>
      </c>
      <c r="C28" s="47">
        <v>79.95</v>
      </c>
      <c r="D28" s="47">
        <v>57.45</v>
      </c>
      <c r="E28" s="47">
        <v>55.55</v>
      </c>
      <c r="F28" s="47">
        <v>76</v>
      </c>
      <c r="G28" s="47" t="s">
        <v>78</v>
      </c>
      <c r="H28" s="91" t="s">
        <v>78</v>
      </c>
      <c r="I28" s="47">
        <v>52</v>
      </c>
      <c r="K28" s="61"/>
      <c r="M28" s="61"/>
    </row>
    <row r="29" spans="1:13" ht="13.8">
      <c r="A29" s="15" t="s">
        <v>47</v>
      </c>
      <c r="B29" s="47">
        <v>45.1325</v>
      </c>
      <c r="C29" s="47">
        <v>77.25</v>
      </c>
      <c r="D29" s="47">
        <v>56.06</v>
      </c>
      <c r="E29" s="47">
        <v>54.38</v>
      </c>
      <c r="F29" s="47">
        <v>75.13</v>
      </c>
      <c r="G29" s="47" t="s">
        <v>78</v>
      </c>
      <c r="H29" s="91">
        <v>41</v>
      </c>
      <c r="I29" s="47">
        <v>52.17</v>
      </c>
      <c r="K29" s="61"/>
      <c r="M29" s="61"/>
    </row>
    <row r="30" spans="1:13" ht="13.8">
      <c r="A30" s="15" t="s">
        <v>48</v>
      </c>
      <c r="B30" s="47">
        <v>43.302</v>
      </c>
      <c r="C30" s="47">
        <v>74.55</v>
      </c>
      <c r="D30" s="47">
        <v>54.6</v>
      </c>
      <c r="E30" s="47">
        <v>52.75</v>
      </c>
      <c r="F30" s="47">
        <v>73.8</v>
      </c>
      <c r="G30" s="47" t="s">
        <v>78</v>
      </c>
      <c r="H30" s="91">
        <v>42</v>
      </c>
      <c r="I30" s="47">
        <v>48.875</v>
      </c>
      <c r="K30" s="61"/>
      <c r="M30" s="61"/>
    </row>
    <row r="31" spans="1:13" ht="13.8">
      <c r="A31" s="15" t="s">
        <v>49</v>
      </c>
      <c r="B31" s="47">
        <v>42.51</v>
      </c>
      <c r="C31" s="47">
        <v>74.38</v>
      </c>
      <c r="D31" s="47">
        <v>58.88</v>
      </c>
      <c r="E31" s="47">
        <v>51.31</v>
      </c>
      <c r="F31" s="47">
        <v>77.5</v>
      </c>
      <c r="G31" s="47" t="s">
        <v>78</v>
      </c>
      <c r="H31" s="91">
        <v>46</v>
      </c>
      <c r="I31" s="47">
        <v>54.1</v>
      </c>
      <c r="K31" s="61"/>
      <c r="M31" s="61"/>
    </row>
    <row r="32" spans="1:13" ht="13.8">
      <c r="A32" s="15" t="s">
        <v>50</v>
      </c>
      <c r="B32" s="47">
        <v>45.57</v>
      </c>
      <c r="C32" s="47">
        <v>77.94</v>
      </c>
      <c r="D32" s="47">
        <v>59.69</v>
      </c>
      <c r="E32" s="47">
        <v>54.75</v>
      </c>
      <c r="F32" s="47">
        <v>79</v>
      </c>
      <c r="G32" s="47" t="s">
        <v>78</v>
      </c>
      <c r="H32" s="91">
        <v>55</v>
      </c>
      <c r="I32" s="91">
        <v>54.5</v>
      </c>
      <c r="K32" s="61"/>
      <c r="M32" s="61"/>
    </row>
    <row r="33" spans="1:13" ht="13.8">
      <c r="A33" s="15" t="s">
        <v>51</v>
      </c>
      <c r="B33" s="47">
        <v>42.51</v>
      </c>
      <c r="C33" s="47">
        <v>72.95</v>
      </c>
      <c r="D33" s="47">
        <v>58.1</v>
      </c>
      <c r="E33" s="47">
        <v>51.05</v>
      </c>
      <c r="F33" s="47">
        <v>78.8</v>
      </c>
      <c r="G33" s="47" t="s">
        <v>78</v>
      </c>
      <c r="H33" s="91">
        <v>56</v>
      </c>
      <c r="I33" s="91">
        <v>52.67</v>
      </c>
      <c r="K33" s="61"/>
      <c r="M33" s="61"/>
    </row>
    <row r="34" spans="1:13" ht="13.8">
      <c r="A34" s="15" t="s">
        <v>38</v>
      </c>
      <c r="B34" s="47">
        <v>43.04</v>
      </c>
      <c r="C34" s="47">
        <v>72.75</v>
      </c>
      <c r="D34" s="47">
        <v>57.9375</v>
      </c>
      <c r="E34" s="47">
        <v>49.4375</v>
      </c>
      <c r="F34" s="47">
        <v>79.25</v>
      </c>
      <c r="G34" s="47" t="s">
        <v>78</v>
      </c>
      <c r="H34" s="91" t="s">
        <v>78</v>
      </c>
      <c r="I34" s="91" t="s">
        <v>78</v>
      </c>
      <c r="K34" s="61"/>
      <c r="M34" s="61"/>
    </row>
    <row r="35" spans="1:13" ht="13.8">
      <c r="A35" s="15"/>
      <c r="B35" s="47"/>
      <c r="C35" s="47"/>
      <c r="D35" s="47"/>
      <c r="E35" s="47"/>
      <c r="F35" s="47"/>
      <c r="G35" s="47"/>
      <c r="H35" s="47"/>
      <c r="I35" s="47"/>
      <c r="K35" s="61"/>
      <c r="M35" s="61"/>
    </row>
    <row r="36" spans="1:13" ht="13.8">
      <c r="A36" s="30" t="s">
        <v>158</v>
      </c>
      <c r="B36" s="47"/>
      <c r="C36" s="47"/>
      <c r="D36" s="47"/>
      <c r="E36" s="47"/>
      <c r="F36" s="47"/>
      <c r="G36" s="47"/>
      <c r="H36" s="47"/>
      <c r="I36" s="47"/>
      <c r="J36" s="101"/>
      <c r="K36" s="61"/>
      <c r="M36" s="61"/>
    </row>
    <row r="37" spans="1:13" ht="13.8">
      <c r="A37" s="15" t="s">
        <v>39</v>
      </c>
      <c r="B37" s="47">
        <v>44.3</v>
      </c>
      <c r="C37" s="47">
        <v>75.06</v>
      </c>
      <c r="D37" s="47">
        <v>59.5</v>
      </c>
      <c r="E37" s="47">
        <v>50.69</v>
      </c>
      <c r="F37" s="47">
        <v>79.13</v>
      </c>
      <c r="G37" s="47" t="s">
        <v>78</v>
      </c>
      <c r="H37" s="91" t="s">
        <v>78</v>
      </c>
      <c r="I37" s="47">
        <v>49.625</v>
      </c>
      <c r="J37" s="136"/>
      <c r="K37" s="61"/>
      <c r="M37" s="61"/>
    </row>
    <row r="38" spans="1:13" ht="13.8">
      <c r="A38" s="15" t="s">
        <v>40</v>
      </c>
      <c r="B38" s="47">
        <v>45.604999999999997</v>
      </c>
      <c r="C38" s="47">
        <v>76.349999999999994</v>
      </c>
      <c r="D38" s="47">
        <v>59.7</v>
      </c>
      <c r="E38" s="47">
        <v>51.45</v>
      </c>
      <c r="F38" s="47">
        <v>78.2</v>
      </c>
      <c r="G38" s="47" t="s">
        <v>78</v>
      </c>
      <c r="H38" s="91" t="s">
        <v>78</v>
      </c>
      <c r="I38" s="47" t="s">
        <v>78</v>
      </c>
      <c r="J38" s="136"/>
      <c r="K38" s="61"/>
      <c r="M38" s="61"/>
    </row>
    <row r="39" spans="1:13" ht="13.8">
      <c r="A39" s="15" t="s">
        <v>42</v>
      </c>
      <c r="B39" s="47">
        <v>42.48</v>
      </c>
      <c r="C39" s="47">
        <v>71.56</v>
      </c>
      <c r="D39" s="47">
        <v>58.13</v>
      </c>
      <c r="E39" s="47">
        <v>46.94</v>
      </c>
      <c r="F39" s="47">
        <v>78.25</v>
      </c>
      <c r="G39" s="47" t="s">
        <v>78</v>
      </c>
      <c r="H39" s="91">
        <v>55</v>
      </c>
      <c r="I39" s="47" t="s">
        <v>78</v>
      </c>
      <c r="J39" s="136"/>
      <c r="K39" s="61"/>
      <c r="M39" s="61"/>
    </row>
    <row r="40" spans="1:13" ht="13.8">
      <c r="A40" s="15" t="s">
        <v>159</v>
      </c>
      <c r="B40" s="47">
        <v>43.305999999999997</v>
      </c>
      <c r="C40" s="47">
        <v>75.349999999999994</v>
      </c>
      <c r="D40" s="47">
        <v>59.5</v>
      </c>
      <c r="E40" s="47">
        <v>49.8</v>
      </c>
      <c r="F40" s="47">
        <v>79.599999999999994</v>
      </c>
      <c r="G40" s="47" t="s">
        <v>78</v>
      </c>
      <c r="H40" s="91">
        <v>45.5</v>
      </c>
      <c r="I40" s="47" t="s">
        <v>78</v>
      </c>
      <c r="J40" s="136"/>
      <c r="K40" s="61"/>
      <c r="M40" s="61"/>
    </row>
    <row r="41" spans="1:13" ht="13.8">
      <c r="A41" s="15" t="s">
        <v>44</v>
      </c>
      <c r="B41" s="47">
        <v>44.497500000000002</v>
      </c>
      <c r="C41" s="47">
        <v>77.19</v>
      </c>
      <c r="D41" s="47">
        <v>60.88</v>
      </c>
      <c r="E41" s="47">
        <v>50.81</v>
      </c>
      <c r="F41" s="47">
        <v>80.25</v>
      </c>
      <c r="G41" s="47" t="s">
        <v>78</v>
      </c>
      <c r="H41" s="91" t="s">
        <v>78</v>
      </c>
      <c r="I41" s="47">
        <v>57</v>
      </c>
      <c r="J41" s="136"/>
      <c r="K41" s="61"/>
      <c r="M41" s="61"/>
    </row>
    <row r="42" spans="1:13" ht="13.8">
      <c r="A42" s="15" t="s">
        <v>46</v>
      </c>
      <c r="B42" s="47">
        <v>41.994999999999997</v>
      </c>
      <c r="C42" s="47">
        <v>74.13</v>
      </c>
      <c r="D42" s="47">
        <v>60.3125</v>
      </c>
      <c r="E42" s="47">
        <v>47.88</v>
      </c>
      <c r="F42" s="47">
        <v>78.88</v>
      </c>
      <c r="G42" s="47" t="s">
        <v>78</v>
      </c>
      <c r="H42" s="91" t="s">
        <v>78</v>
      </c>
      <c r="I42" s="47">
        <v>50.33</v>
      </c>
      <c r="J42" s="136"/>
      <c r="K42" s="61"/>
      <c r="M42" s="61"/>
    </row>
    <row r="43" spans="1:13" ht="16.2">
      <c r="A43" s="79" t="s">
        <v>143</v>
      </c>
      <c r="B43" s="109"/>
      <c r="C43" s="109"/>
      <c r="D43" s="109"/>
      <c r="E43" s="109"/>
      <c r="F43" s="109"/>
      <c r="G43" s="109"/>
      <c r="H43" s="109"/>
      <c r="I43" s="110"/>
    </row>
    <row r="44" spans="1:13" ht="16.2">
      <c r="A44" s="15" t="s">
        <v>144</v>
      </c>
      <c r="B44" s="59"/>
      <c r="C44" s="59"/>
      <c r="D44" s="59"/>
      <c r="E44" s="59"/>
      <c r="F44" s="59"/>
      <c r="G44" s="59"/>
      <c r="H44" s="59"/>
      <c r="I44" s="59"/>
    </row>
    <row r="45" spans="1:13" ht="14.4">
      <c r="A45" s="15" t="s">
        <v>145</v>
      </c>
      <c r="B45" s="15"/>
      <c r="C45" s="15"/>
      <c r="D45" s="15"/>
      <c r="E45" s="15"/>
      <c r="F45" s="59"/>
      <c r="G45" s="15"/>
      <c r="H45" s="15"/>
      <c r="I45" s="15"/>
    </row>
    <row r="46" spans="1:13" ht="13.8">
      <c r="A46" s="20" t="s">
        <v>57</v>
      </c>
      <c r="B46" s="36">
        <f>Contents!A18</f>
        <v>45761</v>
      </c>
      <c r="C46" s="15"/>
      <c r="D46" s="15"/>
      <c r="E46" s="15"/>
      <c r="F46" s="15"/>
      <c r="G46" s="15"/>
      <c r="H46" s="15"/>
      <c r="I46" s="15"/>
    </row>
    <row r="47" spans="1:13" ht="15.6">
      <c r="C47" s="60"/>
      <c r="G47" s="60"/>
      <c r="H47" s="60"/>
      <c r="I47" s="60"/>
    </row>
    <row r="48" spans="1:13">
      <c r="B48" s="92"/>
      <c r="C48" s="92"/>
      <c r="D48" s="92"/>
      <c r="E48" s="92"/>
      <c r="F48" s="92"/>
      <c r="G48" s="92"/>
      <c r="H48" s="92"/>
      <c r="I48" s="92"/>
    </row>
    <row r="49" spans="2:9" ht="15.6">
      <c r="B49" s="85"/>
      <c r="C49" s="85"/>
      <c r="D49" s="85"/>
      <c r="E49" s="85"/>
      <c r="F49" s="85"/>
      <c r="G49" s="85"/>
      <c r="H49" s="60"/>
      <c r="I49" s="60"/>
    </row>
    <row r="50" spans="2:9" ht="15.6">
      <c r="B50" s="92"/>
      <c r="C50" s="60"/>
      <c r="G50" s="60"/>
      <c r="H50" s="60"/>
      <c r="I50" s="60"/>
    </row>
    <row r="51" spans="2:9" ht="15.6">
      <c r="C51" s="60"/>
      <c r="G51" s="60"/>
      <c r="H51" s="60"/>
      <c r="I51" s="60"/>
    </row>
    <row r="52" spans="2:9" ht="15.6">
      <c r="C52" s="60"/>
      <c r="G52" s="60"/>
      <c r="H52" s="60"/>
      <c r="I52" s="60"/>
    </row>
    <row r="53" spans="2:9" ht="15.6">
      <c r="C53" s="60"/>
      <c r="G53" s="60"/>
      <c r="H53" s="60"/>
      <c r="I53" s="60"/>
    </row>
    <row r="54" spans="2:9" ht="15.6">
      <c r="C54" s="60"/>
      <c r="G54" s="60"/>
      <c r="H54" s="60"/>
      <c r="I54" s="60"/>
    </row>
    <row r="55" spans="2:9" ht="15.6">
      <c r="C55" s="60"/>
      <c r="G55" s="60"/>
      <c r="H55" s="60"/>
      <c r="I55" s="60"/>
    </row>
    <row r="56" spans="2:9" ht="15.6">
      <c r="C56" s="60"/>
      <c r="G56" s="60"/>
      <c r="H56" s="60"/>
      <c r="I56" s="60"/>
    </row>
    <row r="57" spans="2:9" ht="15.6">
      <c r="C57" s="60"/>
      <c r="G57" s="60"/>
      <c r="H57" s="60"/>
      <c r="I57" s="60"/>
    </row>
    <row r="58" spans="2:9" ht="15.6">
      <c r="C58" s="60"/>
      <c r="G58" s="60"/>
      <c r="H58" s="60"/>
      <c r="I58" s="60"/>
    </row>
    <row r="59" spans="2:9" ht="15.6">
      <c r="C59" s="60"/>
      <c r="G59" s="60"/>
      <c r="H59" s="60"/>
      <c r="I59" s="60"/>
    </row>
    <row r="60" spans="2:9" ht="15.6">
      <c r="C60" s="60"/>
      <c r="G60" s="60"/>
      <c r="H60" s="60"/>
      <c r="I60" s="60"/>
    </row>
    <row r="61" spans="2:9" ht="15.6">
      <c r="C61" s="60"/>
      <c r="G61" s="60"/>
      <c r="H61" s="60"/>
      <c r="I61" s="60"/>
    </row>
    <row r="62" spans="2:9" ht="15.6">
      <c r="C62" s="60"/>
      <c r="G62" s="60"/>
      <c r="H62" s="60"/>
      <c r="I62" s="60"/>
    </row>
    <row r="63" spans="2:9" ht="15.6">
      <c r="C63" s="60"/>
      <c r="H63" s="60"/>
      <c r="I63" s="60"/>
    </row>
    <row r="64" spans="2:9" ht="15.6">
      <c r="C64" s="60"/>
      <c r="H64" s="60"/>
      <c r="I64" s="60"/>
    </row>
    <row r="65" spans="3:9" ht="15.6">
      <c r="C65" s="60"/>
      <c r="F65" s="61"/>
      <c r="H65" s="60"/>
      <c r="I65" s="60"/>
    </row>
    <row r="66" spans="3:9" ht="15.6">
      <c r="F66" s="61"/>
      <c r="H66" s="60"/>
      <c r="I66" s="60"/>
    </row>
  </sheetData>
  <phoneticPr fontId="57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6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664062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126</v>
      </c>
      <c r="C2" s="62" t="s">
        <v>127</v>
      </c>
      <c r="D2" s="62" t="s">
        <v>128</v>
      </c>
      <c r="E2" s="62" t="s">
        <v>130</v>
      </c>
      <c r="F2" s="17" t="s">
        <v>146</v>
      </c>
      <c r="G2" s="17" t="s">
        <v>147</v>
      </c>
      <c r="AB2" s="63"/>
    </row>
    <row r="3" spans="1:28" ht="15.6" customHeight="1">
      <c r="A3" s="14" t="s">
        <v>105</v>
      </c>
      <c r="B3" s="23" t="s">
        <v>148</v>
      </c>
      <c r="C3" s="23" t="s">
        <v>149</v>
      </c>
      <c r="D3" s="23" t="s">
        <v>150</v>
      </c>
      <c r="E3" s="23" t="s">
        <v>151</v>
      </c>
      <c r="F3" s="23" t="s">
        <v>152</v>
      </c>
      <c r="G3" s="23" t="s">
        <v>153</v>
      </c>
      <c r="AB3" s="63"/>
    </row>
    <row r="4" spans="1:28" ht="14.4">
      <c r="A4" s="56" t="s">
        <v>154</v>
      </c>
      <c r="C4" s="57"/>
      <c r="D4" s="57"/>
      <c r="E4" s="57"/>
      <c r="F4" s="57"/>
      <c r="G4" s="57"/>
      <c r="AB4" s="63"/>
    </row>
    <row r="5" spans="1:28" ht="13.8">
      <c r="A5" s="15"/>
      <c r="B5" s="15"/>
      <c r="C5" s="15"/>
      <c r="D5" s="15"/>
      <c r="E5" s="15"/>
      <c r="F5" s="15"/>
      <c r="G5" s="15"/>
      <c r="AB5" s="63"/>
    </row>
    <row r="6" spans="1:28" ht="13.8">
      <c r="A6" s="15" t="s">
        <v>110</v>
      </c>
      <c r="B6" s="58">
        <v>345.52</v>
      </c>
      <c r="C6" s="58">
        <v>273.83999999999997</v>
      </c>
      <c r="D6" s="58">
        <v>219.72</v>
      </c>
      <c r="E6" s="50" t="s">
        <v>78</v>
      </c>
      <c r="F6" s="58">
        <v>263.63</v>
      </c>
      <c r="G6" s="58">
        <v>240.65</v>
      </c>
      <c r="H6" s="61"/>
      <c r="I6" s="61"/>
      <c r="J6" s="61"/>
      <c r="AB6" s="63"/>
    </row>
    <row r="7" spans="1:28" ht="13.8">
      <c r="A7" s="15" t="s">
        <v>111</v>
      </c>
      <c r="B7" s="58">
        <v>393.53</v>
      </c>
      <c r="C7" s="58">
        <v>275.13</v>
      </c>
      <c r="D7" s="58">
        <v>246.75</v>
      </c>
      <c r="E7" s="50" t="s">
        <v>78</v>
      </c>
      <c r="F7" s="58">
        <v>307.58999999999997</v>
      </c>
      <c r="G7" s="58">
        <v>265.68</v>
      </c>
      <c r="H7" s="61"/>
      <c r="I7" s="61"/>
      <c r="J7" s="61"/>
      <c r="AB7" s="63"/>
    </row>
    <row r="8" spans="1:28" ht="13.8">
      <c r="A8" s="15" t="s">
        <v>112</v>
      </c>
      <c r="B8" s="58">
        <v>468.11</v>
      </c>
      <c r="C8" s="58">
        <v>331.52</v>
      </c>
      <c r="D8" s="58">
        <v>241.57</v>
      </c>
      <c r="E8" s="50" t="s">
        <v>78</v>
      </c>
      <c r="F8" s="58">
        <v>354.22</v>
      </c>
      <c r="G8" s="58">
        <v>329.31</v>
      </c>
      <c r="H8" s="61"/>
      <c r="I8" s="61"/>
      <c r="J8" s="61"/>
      <c r="AB8" s="63"/>
    </row>
    <row r="9" spans="1:28" ht="13.8">
      <c r="A9" s="15" t="s">
        <v>113</v>
      </c>
      <c r="B9" s="58">
        <v>489.94</v>
      </c>
      <c r="C9" s="58">
        <v>377.71</v>
      </c>
      <c r="D9" s="58">
        <v>238.87</v>
      </c>
      <c r="E9" s="50" t="s">
        <v>78</v>
      </c>
      <c r="F9" s="58">
        <v>359.7</v>
      </c>
      <c r="G9" s="58">
        <v>337.23</v>
      </c>
      <c r="H9" s="61"/>
      <c r="I9" s="61"/>
      <c r="J9" s="61"/>
      <c r="AB9" s="63"/>
    </row>
    <row r="10" spans="1:28" ht="13.8">
      <c r="A10" s="15" t="s">
        <v>114</v>
      </c>
      <c r="B10" s="58">
        <v>368.49</v>
      </c>
      <c r="C10" s="58">
        <v>304.27</v>
      </c>
      <c r="D10" s="58">
        <v>209.97</v>
      </c>
      <c r="E10" s="50" t="s">
        <v>78</v>
      </c>
      <c r="F10" s="58">
        <v>301.2</v>
      </c>
      <c r="G10" s="58">
        <v>256.58</v>
      </c>
      <c r="H10" s="61"/>
      <c r="I10" s="61"/>
      <c r="J10" s="61"/>
      <c r="AB10" s="63"/>
    </row>
    <row r="11" spans="1:28" ht="13.8">
      <c r="A11" s="15" t="s">
        <v>115</v>
      </c>
      <c r="B11" s="58">
        <v>324.56</v>
      </c>
      <c r="C11" s="58">
        <v>261.19</v>
      </c>
      <c r="D11" s="58">
        <v>153.16999999999999</v>
      </c>
      <c r="E11" s="50" t="s">
        <v>78</v>
      </c>
      <c r="F11" s="58">
        <v>262.2</v>
      </c>
      <c r="G11" s="58">
        <v>260.23</v>
      </c>
      <c r="H11" s="61"/>
      <c r="I11" s="61"/>
      <c r="J11" s="61"/>
      <c r="AB11" s="63"/>
    </row>
    <row r="12" spans="1:28" ht="13.8">
      <c r="A12" s="15" t="s">
        <v>116</v>
      </c>
      <c r="B12" s="58">
        <v>316.88</v>
      </c>
      <c r="C12" s="58">
        <v>208.61</v>
      </c>
      <c r="D12" s="58">
        <v>145.1</v>
      </c>
      <c r="E12" s="50" t="s">
        <v>78</v>
      </c>
      <c r="F12" s="58">
        <v>267.94</v>
      </c>
      <c r="G12" s="58">
        <v>282.49</v>
      </c>
      <c r="H12" s="61"/>
      <c r="I12" s="61"/>
      <c r="J12" s="61"/>
      <c r="AB12" s="63"/>
    </row>
    <row r="13" spans="1:28" ht="13.8">
      <c r="A13" s="15" t="s">
        <v>117</v>
      </c>
      <c r="B13" s="58">
        <v>345.02</v>
      </c>
      <c r="C13" s="58">
        <v>260.88</v>
      </c>
      <c r="D13" s="58">
        <v>173.53</v>
      </c>
      <c r="E13" s="50" t="s">
        <v>78</v>
      </c>
      <c r="F13" s="58">
        <v>291.14999999999998</v>
      </c>
      <c r="G13" s="58">
        <v>239.15</v>
      </c>
      <c r="H13" s="61"/>
      <c r="I13" s="61"/>
      <c r="J13" s="61"/>
    </row>
    <row r="14" spans="1:28" ht="13.8">
      <c r="A14" s="15" t="s">
        <v>118</v>
      </c>
      <c r="B14" s="58">
        <v>308.27999999999997</v>
      </c>
      <c r="C14" s="58">
        <v>228.64</v>
      </c>
      <c r="D14" s="58">
        <v>164.16</v>
      </c>
      <c r="E14" s="50" t="s">
        <v>78</v>
      </c>
      <c r="F14" s="58">
        <v>272.38</v>
      </c>
      <c r="G14" s="58">
        <v>225.77</v>
      </c>
      <c r="H14" s="61"/>
      <c r="I14" s="61"/>
      <c r="J14" s="61"/>
    </row>
    <row r="15" spans="1:28" ht="13.8">
      <c r="A15" s="15" t="s">
        <v>119</v>
      </c>
      <c r="B15" s="58">
        <v>299.5</v>
      </c>
      <c r="C15" s="58">
        <v>247.04</v>
      </c>
      <c r="D15" s="58">
        <v>187.7</v>
      </c>
      <c r="E15" s="50" t="s">
        <v>78</v>
      </c>
      <c r="F15" s="58">
        <v>273.99</v>
      </c>
      <c r="G15" s="58">
        <v>245.88</v>
      </c>
      <c r="H15" s="61"/>
      <c r="I15" s="61"/>
      <c r="J15" s="61"/>
    </row>
    <row r="16" spans="1:28" ht="13.8">
      <c r="A16" s="15" t="s">
        <v>120</v>
      </c>
      <c r="B16" s="58">
        <v>392.31</v>
      </c>
      <c r="C16" s="58">
        <v>375.51</v>
      </c>
      <c r="D16" s="88">
        <v>246.22</v>
      </c>
      <c r="E16" s="50" t="s">
        <v>78</v>
      </c>
      <c r="F16" s="58">
        <v>351.87</v>
      </c>
      <c r="G16" s="58">
        <v>288.12</v>
      </c>
      <c r="H16" s="61"/>
      <c r="I16" s="61"/>
      <c r="J16" s="61"/>
    </row>
    <row r="17" spans="1:13" ht="13.8">
      <c r="A17" s="15" t="s">
        <v>121</v>
      </c>
      <c r="B17" s="58">
        <v>439.81</v>
      </c>
      <c r="C17" s="58">
        <v>355.33</v>
      </c>
      <c r="D17" s="58">
        <v>279.98</v>
      </c>
      <c r="E17" s="50" t="s">
        <v>78</v>
      </c>
      <c r="F17" s="58">
        <v>439.1</v>
      </c>
      <c r="G17" s="58">
        <v>332.21</v>
      </c>
      <c r="H17" s="61"/>
      <c r="I17" s="61"/>
      <c r="J17" s="61"/>
    </row>
    <row r="18" spans="1:13" ht="13.8">
      <c r="A18" s="15" t="s">
        <v>35</v>
      </c>
      <c r="B18" s="58">
        <v>451.91</v>
      </c>
      <c r="C18" s="58">
        <v>379.13</v>
      </c>
      <c r="D18" s="58">
        <v>244.34</v>
      </c>
      <c r="E18" s="50" t="s">
        <v>78</v>
      </c>
      <c r="F18" s="58">
        <v>431.34</v>
      </c>
      <c r="G18" s="88">
        <v>359.06</v>
      </c>
      <c r="H18" s="61"/>
      <c r="I18" s="61"/>
      <c r="J18" s="61"/>
    </row>
    <row r="19" spans="1:13" ht="16.2">
      <c r="A19" s="15" t="s">
        <v>141</v>
      </c>
      <c r="B19" s="58">
        <v>384.11</v>
      </c>
      <c r="C19" s="58">
        <v>343.08</v>
      </c>
      <c r="D19" s="58">
        <v>194.19</v>
      </c>
      <c r="E19" s="50" t="s">
        <v>78</v>
      </c>
      <c r="F19" s="58">
        <v>378.28</v>
      </c>
      <c r="G19" s="88">
        <v>297.39368181818185</v>
      </c>
      <c r="H19" s="61"/>
      <c r="I19" s="61"/>
      <c r="J19" s="61"/>
    </row>
    <row r="20" spans="1:13" s="138" customFormat="1" ht="16.2">
      <c r="A20" s="130" t="s">
        <v>142</v>
      </c>
      <c r="B20" s="224">
        <v>300</v>
      </c>
      <c r="C20" s="224">
        <v>290</v>
      </c>
      <c r="D20" s="224">
        <v>170</v>
      </c>
      <c r="E20" s="225" t="s">
        <v>78</v>
      </c>
      <c r="F20" s="224">
        <v>275</v>
      </c>
      <c r="G20" s="226">
        <v>200</v>
      </c>
      <c r="H20" s="223"/>
      <c r="I20" s="223"/>
      <c r="J20" s="223"/>
    </row>
    <row r="21" spans="1:13" ht="13.8">
      <c r="A21" s="148"/>
      <c r="B21" s="147"/>
      <c r="C21" s="147"/>
      <c r="D21" s="147"/>
      <c r="E21" s="147"/>
      <c r="F21" s="147"/>
      <c r="G21" s="147"/>
      <c r="H21" s="147"/>
      <c r="I21" s="147"/>
      <c r="J21" s="65"/>
      <c r="K21" s="65"/>
      <c r="L21" s="65"/>
      <c r="M21" s="65"/>
    </row>
    <row r="22" spans="1:13" ht="13.8">
      <c r="A22" s="30" t="s">
        <v>53</v>
      </c>
      <c r="B22" s="88"/>
      <c r="C22" s="58"/>
      <c r="D22" s="58"/>
      <c r="E22" s="50"/>
      <c r="F22" s="58"/>
      <c r="G22" s="58"/>
      <c r="H22" s="47"/>
      <c r="I22" s="61"/>
    </row>
    <row r="23" spans="1:13" ht="13.8">
      <c r="A23" s="15" t="s">
        <v>39</v>
      </c>
      <c r="B23" s="88">
        <v>416.16</v>
      </c>
      <c r="C23" s="58">
        <v>348.75</v>
      </c>
      <c r="D23" s="58">
        <v>229.16500000000002</v>
      </c>
      <c r="E23" s="50" t="s">
        <v>78</v>
      </c>
      <c r="F23" s="58">
        <v>407.1</v>
      </c>
      <c r="G23" s="58">
        <v>325</v>
      </c>
      <c r="H23" s="47"/>
      <c r="I23" s="61"/>
    </row>
    <row r="24" spans="1:13" ht="13.8">
      <c r="A24" s="15" t="s">
        <v>40</v>
      </c>
      <c r="B24" s="88">
        <v>464.27</v>
      </c>
      <c r="C24" s="58">
        <v>350</v>
      </c>
      <c r="D24" s="58">
        <v>266.67</v>
      </c>
      <c r="E24" s="50" t="s">
        <v>78</v>
      </c>
      <c r="F24" s="58">
        <v>441.77</v>
      </c>
      <c r="G24" s="88">
        <v>348.33</v>
      </c>
      <c r="H24" s="47"/>
      <c r="I24" s="61"/>
    </row>
    <row r="25" spans="1:13" ht="13.8">
      <c r="A25" s="15" t="s">
        <v>42</v>
      </c>
      <c r="B25" s="88">
        <v>440.6</v>
      </c>
      <c r="C25" s="58">
        <v>358.75</v>
      </c>
      <c r="D25" s="58">
        <v>270</v>
      </c>
      <c r="E25" s="50" t="s">
        <v>78</v>
      </c>
      <c r="F25" s="58">
        <v>395.04999999999995</v>
      </c>
      <c r="G25" s="88">
        <v>365</v>
      </c>
      <c r="H25" s="47"/>
      <c r="I25" s="61"/>
    </row>
    <row r="26" spans="1:13" ht="13.8">
      <c r="A26" s="15" t="s">
        <v>43</v>
      </c>
      <c r="B26" s="88">
        <v>378.4</v>
      </c>
      <c r="C26" s="58">
        <v>352.5</v>
      </c>
      <c r="D26" s="58">
        <v>270</v>
      </c>
      <c r="E26" s="50" t="s">
        <v>78</v>
      </c>
      <c r="F26" s="58">
        <v>349.3</v>
      </c>
      <c r="G26" s="88">
        <v>365</v>
      </c>
      <c r="H26" s="47"/>
      <c r="I26" s="61"/>
    </row>
    <row r="27" spans="1:13" ht="13.8">
      <c r="A27" s="15" t="s">
        <v>44</v>
      </c>
      <c r="B27" s="88">
        <v>363.625</v>
      </c>
      <c r="C27" s="58">
        <v>355</v>
      </c>
      <c r="D27" s="58">
        <v>210</v>
      </c>
      <c r="E27" s="50" t="s">
        <v>78</v>
      </c>
      <c r="F27" s="58">
        <v>357.75</v>
      </c>
      <c r="G27" s="88" t="s">
        <v>78</v>
      </c>
      <c r="H27" s="47"/>
      <c r="I27" s="61"/>
    </row>
    <row r="28" spans="1:13" ht="13.8">
      <c r="A28" s="15" t="s">
        <v>46</v>
      </c>
      <c r="B28" s="88">
        <v>361.75</v>
      </c>
      <c r="C28" s="58">
        <v>343.33</v>
      </c>
      <c r="D28" s="58">
        <v>140</v>
      </c>
      <c r="E28" s="50" t="s">
        <v>78</v>
      </c>
      <c r="F28" s="58">
        <v>348.34</v>
      </c>
      <c r="G28" s="88">
        <v>331</v>
      </c>
      <c r="H28" s="47"/>
      <c r="I28" s="61"/>
    </row>
    <row r="29" spans="1:13" ht="13.8">
      <c r="A29" s="15" t="s">
        <v>47</v>
      </c>
      <c r="B29" s="88">
        <v>357.67500000000001</v>
      </c>
      <c r="C29" s="58">
        <v>333.75</v>
      </c>
      <c r="D29" s="58">
        <v>142.5</v>
      </c>
      <c r="E29" s="50" t="s">
        <v>78</v>
      </c>
      <c r="F29" s="58">
        <v>357.17500000000001</v>
      </c>
      <c r="G29" s="88">
        <v>292.5</v>
      </c>
      <c r="H29" s="47"/>
      <c r="I29" s="61"/>
    </row>
    <row r="30" spans="1:13" ht="13.8">
      <c r="A30" s="15" t="s">
        <v>48</v>
      </c>
      <c r="B30" s="88">
        <v>388.65</v>
      </c>
      <c r="C30" s="58">
        <v>330</v>
      </c>
      <c r="D30" s="58">
        <v>170</v>
      </c>
      <c r="E30" s="50" t="s">
        <v>78</v>
      </c>
      <c r="F30" s="58">
        <v>411.82</v>
      </c>
      <c r="G30" s="88">
        <v>259</v>
      </c>
      <c r="H30" s="47"/>
      <c r="I30" s="61"/>
    </row>
    <row r="31" spans="1:13" ht="13.8">
      <c r="A31" s="15" t="s">
        <v>49</v>
      </c>
      <c r="B31" s="88">
        <v>384.1</v>
      </c>
      <c r="C31" s="58" t="s">
        <v>78</v>
      </c>
      <c r="D31" s="58">
        <v>166.25</v>
      </c>
      <c r="E31" s="50" t="s">
        <v>78</v>
      </c>
      <c r="F31" s="58">
        <v>416.6</v>
      </c>
      <c r="G31" s="88">
        <v>253.54249999999999</v>
      </c>
      <c r="H31" s="47"/>
      <c r="I31" s="61"/>
    </row>
    <row r="32" spans="1:13" ht="13.8">
      <c r="A32" s="15" t="s">
        <v>50</v>
      </c>
      <c r="B32" s="88">
        <v>364.3</v>
      </c>
      <c r="C32" s="58">
        <v>335</v>
      </c>
      <c r="D32" s="58">
        <v>155</v>
      </c>
      <c r="E32" s="50" t="s">
        <v>78</v>
      </c>
      <c r="F32" s="58">
        <v>387.87</v>
      </c>
      <c r="G32" s="88">
        <v>250.833</v>
      </c>
      <c r="H32" s="47"/>
      <c r="I32" s="61"/>
    </row>
    <row r="33" spans="1:10" ht="13.8">
      <c r="A33" s="15" t="s">
        <v>51</v>
      </c>
      <c r="B33" s="88">
        <v>343.4</v>
      </c>
      <c r="C33" s="58" t="s">
        <v>78</v>
      </c>
      <c r="D33" s="58">
        <v>154.5</v>
      </c>
      <c r="E33" s="50" t="s">
        <v>78</v>
      </c>
      <c r="F33" s="58">
        <v>341.42500000000001</v>
      </c>
      <c r="G33" s="88">
        <v>244.5</v>
      </c>
      <c r="H33" s="47"/>
      <c r="I33" s="61"/>
    </row>
    <row r="34" spans="1:10" ht="13.8">
      <c r="A34" s="15" t="s">
        <v>38</v>
      </c>
      <c r="B34" s="88">
        <v>346.33749999999998</v>
      </c>
      <c r="C34" s="58">
        <v>323.75</v>
      </c>
      <c r="D34" s="58">
        <v>156.25</v>
      </c>
      <c r="E34" s="50" t="s">
        <v>78</v>
      </c>
      <c r="F34" s="58">
        <v>325.10000000000002</v>
      </c>
      <c r="G34" s="88">
        <v>236.625</v>
      </c>
      <c r="H34" s="47"/>
      <c r="I34" s="61"/>
    </row>
    <row r="35" spans="1:10" ht="13.8">
      <c r="A35" s="15"/>
      <c r="B35" s="88"/>
      <c r="C35" s="58"/>
      <c r="D35" s="58"/>
      <c r="E35" s="50"/>
      <c r="F35" s="58"/>
      <c r="G35" s="58"/>
      <c r="H35" s="47"/>
      <c r="I35" s="61"/>
    </row>
    <row r="36" spans="1:10" ht="13.8">
      <c r="A36" s="30" t="s">
        <v>158</v>
      </c>
      <c r="B36" s="88"/>
      <c r="C36" s="58"/>
      <c r="D36" s="58"/>
      <c r="E36" s="50"/>
      <c r="F36" s="58"/>
      <c r="G36" s="58"/>
      <c r="H36" s="47"/>
      <c r="I36" s="61"/>
    </row>
    <row r="37" spans="1:10" ht="13.8">
      <c r="A37" s="15" t="s">
        <v>39</v>
      </c>
      <c r="B37" s="88">
        <v>342.85</v>
      </c>
      <c r="C37" s="58">
        <v>322.5</v>
      </c>
      <c r="D37" s="58">
        <v>173.75</v>
      </c>
      <c r="E37" s="50" t="s">
        <v>78</v>
      </c>
      <c r="F37" s="58">
        <v>314.27499999999998</v>
      </c>
      <c r="G37" s="58">
        <v>240</v>
      </c>
      <c r="H37" s="47"/>
      <c r="I37" s="61"/>
    </row>
    <row r="38" spans="1:10" ht="13.8">
      <c r="A38" s="15" t="s">
        <v>40</v>
      </c>
      <c r="B38" s="88">
        <v>316.17500000000001</v>
      </c>
      <c r="C38" s="58">
        <v>315</v>
      </c>
      <c r="D38" s="58">
        <v>177.5</v>
      </c>
      <c r="E38" s="50" t="s">
        <v>78</v>
      </c>
      <c r="F38" s="58">
        <v>283.17500000000001</v>
      </c>
      <c r="G38" s="58">
        <v>225</v>
      </c>
      <c r="H38" s="47"/>
      <c r="I38" s="61"/>
    </row>
    <row r="39" spans="1:10" ht="13.8">
      <c r="A39" s="15" t="s">
        <v>42</v>
      </c>
      <c r="B39" s="88">
        <v>303.63299999999998</v>
      </c>
      <c r="C39" s="58">
        <v>301.25</v>
      </c>
      <c r="D39" s="58">
        <v>175</v>
      </c>
      <c r="E39" s="50" t="s">
        <v>78</v>
      </c>
      <c r="F39" s="58">
        <v>275.89999999999998</v>
      </c>
      <c r="G39" s="58">
        <v>268.33</v>
      </c>
      <c r="H39" s="47"/>
      <c r="I39" s="61"/>
    </row>
    <row r="40" spans="1:10" ht="13.8">
      <c r="A40" s="15" t="s">
        <v>43</v>
      </c>
      <c r="B40" s="88">
        <v>316.97000000000003</v>
      </c>
      <c r="C40" s="58">
        <v>272.5</v>
      </c>
      <c r="D40" s="58">
        <v>173</v>
      </c>
      <c r="E40" s="50" t="s">
        <v>78</v>
      </c>
      <c r="F40" s="58">
        <v>288.92</v>
      </c>
      <c r="G40" s="58">
        <v>266.5</v>
      </c>
      <c r="H40" s="47"/>
      <c r="I40" s="61"/>
    </row>
    <row r="41" spans="1:10" ht="13.8">
      <c r="A41" s="15" t="s">
        <v>44</v>
      </c>
      <c r="B41" s="88">
        <v>304.77499999999998</v>
      </c>
      <c r="C41" s="58">
        <v>265</v>
      </c>
      <c r="D41" s="58">
        <v>182.5</v>
      </c>
      <c r="E41" s="50" t="s">
        <v>78</v>
      </c>
      <c r="F41" s="58">
        <v>288.52499999999998</v>
      </c>
      <c r="G41" s="58">
        <v>255.625</v>
      </c>
      <c r="H41" s="47"/>
      <c r="I41" s="61"/>
    </row>
    <row r="42" spans="1:10" ht="13.8">
      <c r="A42" s="15" t="s">
        <v>46</v>
      </c>
      <c r="B42" s="88">
        <v>303.8</v>
      </c>
      <c r="C42" s="58">
        <v>265</v>
      </c>
      <c r="D42" s="58">
        <v>156.25</v>
      </c>
      <c r="E42" s="50" t="s">
        <v>78</v>
      </c>
      <c r="F42" s="58">
        <v>304.39999999999998</v>
      </c>
      <c r="G42" s="58">
        <v>250.625</v>
      </c>
      <c r="H42" s="47"/>
      <c r="I42" s="61"/>
    </row>
    <row r="43" spans="1:10" ht="16.2">
      <c r="A43" s="79" t="s">
        <v>155</v>
      </c>
      <c r="B43" s="111"/>
      <c r="C43" s="111"/>
      <c r="D43" s="111"/>
      <c r="E43" s="111"/>
      <c r="F43" s="111"/>
      <c r="G43" s="111"/>
      <c r="I43" s="64"/>
    </row>
    <row r="44" spans="1:10" ht="16.2">
      <c r="A44" s="40" t="s">
        <v>156</v>
      </c>
      <c r="B44" s="66"/>
      <c r="C44" s="66"/>
      <c r="D44" s="66"/>
      <c r="E44" s="66"/>
      <c r="F44" s="66"/>
      <c r="G44" s="66"/>
      <c r="I44" s="64"/>
      <c r="J44" s="64"/>
    </row>
    <row r="45" spans="1:10" ht="14.4">
      <c r="A45" s="15" t="s">
        <v>157</v>
      </c>
      <c r="B45" s="15"/>
      <c r="C45" s="15"/>
      <c r="D45" s="15"/>
      <c r="E45" s="15"/>
      <c r="F45" s="66"/>
      <c r="G45" s="66"/>
      <c r="I45" s="64"/>
      <c r="J45" s="64"/>
    </row>
    <row r="46" spans="1:10" ht="13.8">
      <c r="A46" s="20" t="s">
        <v>57</v>
      </c>
      <c r="B46" s="36">
        <f>Contents!A18</f>
        <v>45761</v>
      </c>
      <c r="C46" s="15"/>
      <c r="D46" s="15"/>
      <c r="E46" s="15"/>
      <c r="F46" s="66"/>
      <c r="G46" s="66"/>
      <c r="I46" s="67"/>
      <c r="J46" s="67"/>
    </row>
    <row r="47" spans="1:10" ht="13.8">
      <c r="F47" s="66"/>
      <c r="G47" s="66"/>
      <c r="I47" s="67"/>
      <c r="J47" s="67"/>
    </row>
    <row r="48" spans="1:10" ht="13.8">
      <c r="B48" s="150"/>
      <c r="F48" s="66"/>
      <c r="G48" s="66"/>
      <c r="I48" s="64"/>
      <c r="J48" s="64"/>
    </row>
    <row r="49" spans="2:10">
      <c r="B49" s="90"/>
      <c r="C49" s="92"/>
      <c r="D49" s="92"/>
      <c r="E49" s="92"/>
      <c r="F49" s="92"/>
      <c r="G49" s="92"/>
      <c r="I49" s="64"/>
      <c r="J49" s="64"/>
    </row>
    <row r="50" spans="2:10">
      <c r="I50" s="64"/>
      <c r="J50" s="64"/>
    </row>
    <row r="51" spans="2:10">
      <c r="B51" s="90"/>
      <c r="I51" s="64"/>
      <c r="J51" s="64"/>
    </row>
    <row r="52" spans="2:10">
      <c r="I52" s="64"/>
      <c r="J52" s="64"/>
    </row>
    <row r="53" spans="2:10">
      <c r="I53" s="64"/>
      <c r="J53" s="64"/>
    </row>
    <row r="55" spans="2:10">
      <c r="I55" s="68"/>
      <c r="J55" s="68"/>
    </row>
    <row r="56" spans="2:10">
      <c r="I56" s="68"/>
      <c r="J56" s="68"/>
    </row>
  </sheetData>
  <phoneticPr fontId="57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0FE9-59A3-42EC-BDE6-4487BDDC0986}">
  <dimension ref="A1:E18"/>
  <sheetViews>
    <sheetView workbookViewId="0"/>
  </sheetViews>
  <sheetFormatPr defaultRowHeight="13.2"/>
  <cols>
    <col min="1" max="1" width="9.109375" style="185"/>
    <col min="2" max="2" width="14.6640625" customWidth="1"/>
    <col min="3" max="3" width="23.5546875" customWidth="1"/>
    <col min="4" max="4" width="16.33203125" customWidth="1"/>
  </cols>
  <sheetData>
    <row r="1" spans="1:5" s="189" customFormat="1">
      <c r="A1" s="188" t="s">
        <v>173</v>
      </c>
      <c r="B1" s="189" t="s">
        <v>174</v>
      </c>
      <c r="C1" s="189" t="s">
        <v>175</v>
      </c>
      <c r="D1" s="189" t="s">
        <v>28</v>
      </c>
      <c r="E1" s="189" t="s">
        <v>185</v>
      </c>
    </row>
    <row r="2" spans="1:5">
      <c r="A2" s="185">
        <v>45200</v>
      </c>
      <c r="B2" s="149">
        <v>285.58499999999998</v>
      </c>
      <c r="C2" s="149">
        <v>479.607389475194</v>
      </c>
      <c r="D2" s="187">
        <v>615.56701177722994</v>
      </c>
    </row>
    <row r="3" spans="1:5">
      <c r="A3" s="185">
        <v>45231</v>
      </c>
      <c r="B3" s="149">
        <v>291.03399999999999</v>
      </c>
      <c r="C3" s="149">
        <v>393.27605421242981</v>
      </c>
      <c r="D3" s="187">
        <v>541.81378711001196</v>
      </c>
    </row>
    <row r="4" spans="1:5">
      <c r="A4" s="185">
        <v>45261</v>
      </c>
      <c r="B4" s="149">
        <v>343.26499999999999</v>
      </c>
      <c r="C4" s="149">
        <v>387.38659135639398</v>
      </c>
      <c r="D4" s="187">
        <v>615.06060996141593</v>
      </c>
    </row>
    <row r="5" spans="1:5">
      <c r="A5" s="185">
        <v>45292</v>
      </c>
      <c r="B5" s="149">
        <v>376.209</v>
      </c>
      <c r="C5" s="149">
        <v>325.24523106996008</v>
      </c>
      <c r="D5" s="187">
        <v>520.24023199973999</v>
      </c>
    </row>
    <row r="6" spans="1:5">
      <c r="A6" s="185">
        <v>45323</v>
      </c>
      <c r="B6" s="149">
        <v>296.27300000000002</v>
      </c>
      <c r="C6" s="149">
        <v>458.43690162562791</v>
      </c>
      <c r="D6" s="187">
        <v>602.92283966474395</v>
      </c>
      <c r="E6" s="187"/>
    </row>
    <row r="7" spans="1:5">
      <c r="A7" s="185">
        <v>45352</v>
      </c>
      <c r="B7" s="149">
        <v>325.76883856009903</v>
      </c>
      <c r="C7" s="149">
        <v>575.04492797388889</v>
      </c>
      <c r="D7" s="187">
        <v>741.71000653707995</v>
      </c>
    </row>
    <row r="8" spans="1:5">
      <c r="A8" s="185">
        <v>45383</v>
      </c>
      <c r="B8" s="149">
        <v>360.59799999999899</v>
      </c>
      <c r="C8" s="149">
        <v>466.00356670448497</v>
      </c>
      <c r="D8" s="187">
        <v>672.71016870084395</v>
      </c>
    </row>
    <row r="9" spans="1:5">
      <c r="A9" s="185">
        <v>45413</v>
      </c>
      <c r="B9" s="149">
        <v>397.09800000000001</v>
      </c>
      <c r="C9" s="149">
        <v>359.08798756029802</v>
      </c>
      <c r="D9" s="187">
        <v>653.21160440051597</v>
      </c>
    </row>
    <row r="10" spans="1:5">
      <c r="A10" s="185">
        <v>45444</v>
      </c>
      <c r="B10" s="149">
        <v>386.01971469880004</v>
      </c>
      <c r="C10" s="149">
        <v>262.75035128619993</v>
      </c>
      <c r="D10" s="187">
        <v>497.20038238490588</v>
      </c>
    </row>
    <row r="11" spans="1:5">
      <c r="A11" s="185">
        <v>45474</v>
      </c>
      <c r="B11" s="149">
        <v>545.69499999999994</v>
      </c>
      <c r="C11" s="149">
        <v>334.63198508274172</v>
      </c>
      <c r="D11" s="187">
        <v>693.78393586316179</v>
      </c>
    </row>
    <row r="12" spans="1:5">
      <c r="A12" s="185">
        <v>45505</v>
      </c>
      <c r="B12" s="149">
        <v>439.95800000000003</v>
      </c>
      <c r="C12" s="149">
        <v>300.25477443764993</v>
      </c>
      <c r="D12" s="187">
        <v>578.75841205144798</v>
      </c>
    </row>
    <row r="13" spans="1:5">
      <c r="A13" s="185">
        <v>45536</v>
      </c>
      <c r="B13" s="149">
        <v>289.39400000000001</v>
      </c>
      <c r="C13" s="149">
        <v>380.41985573253783</v>
      </c>
      <c r="D13" s="187">
        <v>518.48314777159987</v>
      </c>
    </row>
    <row r="14" spans="1:5">
      <c r="A14" s="185">
        <v>45566</v>
      </c>
      <c r="B14" s="149">
        <v>453.93000000000006</v>
      </c>
      <c r="C14" s="149">
        <v>391.91786503621393</v>
      </c>
      <c r="D14" s="187">
        <v>682.9662935913459</v>
      </c>
    </row>
    <row r="15" spans="1:5">
      <c r="A15" s="185">
        <v>45597</v>
      </c>
      <c r="B15" s="149">
        <v>410.09699999999998</v>
      </c>
      <c r="C15" s="149">
        <v>391.95051090735001</v>
      </c>
      <c r="D15" s="187">
        <v>653.27046782446996</v>
      </c>
    </row>
    <row r="16" spans="1:5">
      <c r="A16" s="185">
        <v>45627</v>
      </c>
      <c r="B16" s="149">
        <v>524.08900000000006</v>
      </c>
      <c r="C16" s="149">
        <v>369.12389903693384</v>
      </c>
      <c r="D16" s="187">
        <v>721.0767229742379</v>
      </c>
    </row>
    <row r="17" spans="1:5">
      <c r="A17" s="185">
        <v>45658</v>
      </c>
      <c r="B17" s="149">
        <v>192.60624313210002</v>
      </c>
      <c r="C17" s="149">
        <v>371.83156888487196</v>
      </c>
      <c r="D17" s="187">
        <v>444.86683016908393</v>
      </c>
    </row>
    <row r="18" spans="1:5">
      <c r="A18" s="185">
        <v>45689</v>
      </c>
      <c r="D18" s="187">
        <v>313.58552146879993</v>
      </c>
      <c r="E18" s="187">
        <v>418.74369343737402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purl.org/dc/terms/"/>
    <ds:schemaRef ds:uri="http://schemas.microsoft.com/office/2006/documentManagement/types"/>
    <ds:schemaRef ds:uri="c49de858-f9fd-4eb6-bcba-50396646711f"/>
    <ds:schemaRef ds:uri="http://schemas.openxmlformats.org/package/2006/metadata/core-properties"/>
    <ds:schemaRef ds:uri="7818c5c2-d41f-4dce-801c-4e3595afcb3f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soybeans, canola, sunflowerseed, biofuel, prices</cp:keywords>
  <dc:description/>
  <cp:lastModifiedBy>Bukowski, Maria - REE-ERS</cp:lastModifiedBy>
  <cp:revision/>
  <dcterms:created xsi:type="dcterms:W3CDTF">2001-11-13T16:22:15Z</dcterms:created>
  <dcterms:modified xsi:type="dcterms:W3CDTF">2025-04-14T15:04:08Z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