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5/OCS-24A January 2025/"/>
    </mc:Choice>
  </mc:AlternateContent>
  <xr:revisionPtr revIDLastSave="3867" documentId="13_ncr:1_{8F989980-0F84-478B-802D-B52337D91AA0}" xr6:coauthVersionLast="47" xr6:coauthVersionMax="47" xr10:uidLastSave="{C16922C0-C284-49B8-A72D-C2BA94AA1755}"/>
  <bookViews>
    <workbookView xWindow="28680" yWindow="-120" windowWidth="29040" windowHeight="15720" tabRatio="855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99" r:id="rId9"/>
    <sheet name="Figure 2" sheetId="208" r:id="rId10"/>
    <sheet name="Figure 1sa" sheetId="204" r:id="rId11"/>
    <sheet name="Figure 2sa" sheetId="206" r:id="rId12"/>
  </sheets>
  <definedNames>
    <definedName name="_xlnm._FilterDatabase" localSheetId="11" hidden="1">'Figure 2sa'!$A$1:$G$1</definedName>
    <definedName name="_xlnm.Print_Area" localSheetId="1">'Table 1'!$A$1:$N$35</definedName>
    <definedName name="_xlnm.Print_Area" localSheetId="7">'Table 10'!$A$1:$G$41</definedName>
    <definedName name="_xlnm.Print_Area" localSheetId="2">'Table 2'!$A$1:$J$29</definedName>
    <definedName name="_xlnm.Print_Area" localSheetId="3">'Table 3'!$A$1:$L$42</definedName>
    <definedName name="_xlnm.Print_Area" localSheetId="5">'Table 8'!$A$1:$G$40</definedName>
    <definedName name="_xlnm.Print_Area" localSheetId="6">'Table 9'!$A$1:$I$42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C7" i="2"/>
  <c r="B26" i="2"/>
  <c r="M33" i="1" l="1"/>
  <c r="H33" i="1"/>
  <c r="M14" i="1"/>
  <c r="K27" i="9" l="1"/>
  <c r="G27" i="9"/>
  <c r="J27" i="9"/>
  <c r="E27" i="9"/>
  <c r="D27" i="9"/>
  <c r="H27" i="2" l="1"/>
  <c r="I27" i="2"/>
  <c r="D27" i="2"/>
  <c r="E27" i="2"/>
  <c r="I3" i="208"/>
  <c r="I4" i="208"/>
  <c r="I5" i="208" l="1"/>
  <c r="I2" i="208"/>
  <c r="I6" i="208"/>
  <c r="G27" i="2"/>
  <c r="L32" i="1" l="1"/>
  <c r="G33" i="1"/>
  <c r="G32" i="1"/>
  <c r="I26" i="9" l="1"/>
  <c r="J31" i="1"/>
  <c r="J32" i="1"/>
  <c r="J33" i="1" s="1"/>
  <c r="B12" i="206" l="1"/>
  <c r="C12" i="206"/>
  <c r="D12" i="206"/>
  <c r="E12" i="206"/>
  <c r="F12" i="206"/>
  <c r="G12" i="206"/>
  <c r="E33" i="1" l="1"/>
  <c r="L33" i="1"/>
  <c r="B27" i="2"/>
  <c r="B27" i="9"/>
  <c r="H13" i="206"/>
  <c r="H12" i="206"/>
  <c r="H11" i="206"/>
  <c r="H10" i="206"/>
  <c r="H9" i="206"/>
  <c r="H8" i="206"/>
  <c r="H7" i="206"/>
  <c r="H6" i="206"/>
  <c r="H5" i="206"/>
  <c r="H4" i="206"/>
  <c r="H3" i="206"/>
  <c r="H2" i="206"/>
  <c r="K33" i="1" l="1"/>
  <c r="G8" i="9"/>
  <c r="H26" i="2" l="1"/>
  <c r="D26" i="2"/>
  <c r="D26" i="9" l="1"/>
  <c r="G31" i="1"/>
  <c r="J26" i="9"/>
  <c r="L31" i="1"/>
  <c r="J22" i="9" l="1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E26" i="2" l="1"/>
  <c r="I26" i="2" s="1"/>
  <c r="G26" i="2" s="1"/>
  <c r="B26" i="9"/>
  <c r="E26" i="9" s="1"/>
  <c r="K26" i="9" s="1"/>
  <c r="G26" i="9" s="1"/>
  <c r="H23" i="9"/>
  <c r="J23" i="9" l="1"/>
  <c r="D23" i="9"/>
  <c r="C23" i="9"/>
  <c r="E22" i="9"/>
  <c r="K22" i="9" s="1"/>
  <c r="G22" i="9" s="1"/>
  <c r="I22" i="9" s="1"/>
  <c r="E21" i="9"/>
  <c r="K21" i="9" s="1"/>
  <c r="G21" i="9" s="1"/>
  <c r="I21" i="9" s="1"/>
  <c r="E20" i="9"/>
  <c r="K20" i="9" s="1"/>
  <c r="G20" i="9" s="1"/>
  <c r="I20" i="9" s="1"/>
  <c r="E19" i="9"/>
  <c r="K19" i="9" s="1"/>
  <c r="G19" i="9" s="1"/>
  <c r="I19" i="9" s="1"/>
  <c r="E18" i="9"/>
  <c r="K18" i="9" s="1"/>
  <c r="G18" i="9" s="1"/>
  <c r="I18" i="9" s="1"/>
  <c r="E17" i="9"/>
  <c r="K17" i="9" s="1"/>
  <c r="G17" i="9" s="1"/>
  <c r="I17" i="9" s="1"/>
  <c r="E16" i="9"/>
  <c r="K16" i="9" s="1"/>
  <c r="G16" i="9" s="1"/>
  <c r="I16" i="9" s="1"/>
  <c r="E15" i="9"/>
  <c r="K15" i="9" s="1"/>
  <c r="G15" i="9" s="1"/>
  <c r="I15" i="9" s="1"/>
  <c r="E14" i="9"/>
  <c r="K14" i="9" s="1"/>
  <c r="G14" i="9" s="1"/>
  <c r="I14" i="9" s="1"/>
  <c r="E13" i="9"/>
  <c r="K13" i="9" s="1"/>
  <c r="G13" i="9" s="1"/>
  <c r="I13" i="9" s="1"/>
  <c r="E12" i="9"/>
  <c r="K12" i="9" s="1"/>
  <c r="G12" i="9" s="1"/>
  <c r="I12" i="9" s="1"/>
  <c r="E11" i="9"/>
  <c r="K11" i="9" s="1"/>
  <c r="G11" i="9" s="1"/>
  <c r="I11" i="9" s="1"/>
  <c r="L7" i="9"/>
  <c r="B11" i="2"/>
  <c r="J7" i="2"/>
  <c r="H23" i="2"/>
  <c r="D23" i="2"/>
  <c r="D7" i="2" s="1"/>
  <c r="C23" i="2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G16" i="2" s="1"/>
  <c r="H15" i="2"/>
  <c r="D15" i="2"/>
  <c r="B15" i="2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E14" i="2" l="1"/>
  <c r="I14" i="2" s="1"/>
  <c r="G14" i="2"/>
  <c r="E23" i="9"/>
  <c r="K23" i="9"/>
  <c r="G23" i="9" s="1"/>
  <c r="I23" i="9" s="1"/>
  <c r="J7" i="9"/>
  <c r="C7" i="9"/>
  <c r="D7" i="9"/>
  <c r="E23" i="2"/>
  <c r="E18" i="2"/>
  <c r="I18" i="2" s="1"/>
  <c r="G18" i="2" s="1"/>
  <c r="E13" i="2"/>
  <c r="I13" i="2" s="1"/>
  <c r="G13" i="2" s="1"/>
  <c r="E17" i="2"/>
  <c r="I17" i="2" s="1"/>
  <c r="G17" i="2" s="1"/>
  <c r="E21" i="2"/>
  <c r="I21" i="2" s="1"/>
  <c r="G21" i="2" s="1"/>
  <c r="E7" i="2"/>
  <c r="G7" i="2" s="1"/>
  <c r="E22" i="2"/>
  <c r="I22" i="2" s="1"/>
  <c r="G22" i="2" s="1"/>
  <c r="E15" i="2"/>
  <c r="I15" i="2" s="1"/>
  <c r="G15" i="2" s="1"/>
  <c r="E19" i="2"/>
  <c r="I19" i="2" s="1"/>
  <c r="G19" i="2" s="1"/>
  <c r="E8" i="2"/>
  <c r="E6" i="9"/>
  <c r="E14" i="1"/>
  <c r="E18" i="1"/>
  <c r="I31" i="3"/>
  <c r="I32" i="3"/>
  <c r="L6" i="1"/>
  <c r="G6" i="1"/>
  <c r="J6" i="1"/>
  <c r="I7" i="2" l="1"/>
  <c r="E11" i="2"/>
  <c r="I11" i="2" s="1"/>
  <c r="I23" i="2" s="1"/>
  <c r="L30" i="1"/>
  <c r="J30" i="1"/>
  <c r="G11" i="2" l="1"/>
  <c r="G23" i="2" s="1"/>
  <c r="G27" i="1"/>
  <c r="G7" i="1" s="1"/>
  <c r="G30" i="1"/>
  <c r="N7" i="1" l="1"/>
  <c r="L27" i="1"/>
  <c r="L7" i="1" s="1"/>
  <c r="E26" i="1"/>
  <c r="L25" i="1"/>
  <c r="J25" i="1"/>
  <c r="G25" i="1"/>
  <c r="L24" i="1"/>
  <c r="J24" i="1"/>
  <c r="G24" i="1"/>
  <c r="L23" i="1"/>
  <c r="J23" i="1"/>
  <c r="G23" i="1"/>
  <c r="E22" i="1"/>
  <c r="L21" i="1"/>
  <c r="J21" i="1"/>
  <c r="G21" i="1"/>
  <c r="L20" i="1"/>
  <c r="J20" i="1"/>
  <c r="G20" i="1"/>
  <c r="L19" i="1"/>
  <c r="J19" i="1"/>
  <c r="G19" i="1"/>
  <c r="L17" i="1"/>
  <c r="J17" i="1"/>
  <c r="G17" i="1"/>
  <c r="L16" i="1"/>
  <c r="J16" i="1"/>
  <c r="G16" i="1"/>
  <c r="L15" i="1"/>
  <c r="J15" i="1"/>
  <c r="G15" i="1"/>
  <c r="L13" i="1"/>
  <c r="J13" i="1"/>
  <c r="G13" i="1"/>
  <c r="L12" i="1"/>
  <c r="J12" i="1"/>
  <c r="G12" i="1"/>
  <c r="L11" i="1"/>
  <c r="J11" i="1"/>
  <c r="G11" i="1"/>
  <c r="E7" i="1"/>
  <c r="G26" i="1" l="1"/>
  <c r="H26" i="1" s="1"/>
  <c r="M26" i="1" s="1"/>
  <c r="L18" i="1"/>
  <c r="J14" i="1"/>
  <c r="J22" i="1"/>
  <c r="G14" i="1"/>
  <c r="G18" i="1"/>
  <c r="H18" i="1" s="1"/>
  <c r="M18" i="1" s="1"/>
  <c r="L14" i="1"/>
  <c r="J18" i="1"/>
  <c r="H14" i="1"/>
  <c r="K14" i="1" s="1"/>
  <c r="G22" i="1"/>
  <c r="H22" i="1" s="1"/>
  <c r="M22" i="1" s="1"/>
  <c r="J26" i="1"/>
  <c r="J27" i="1" s="1"/>
  <c r="J7" i="1" s="1"/>
  <c r="E8" i="1"/>
  <c r="L26" i="1"/>
  <c r="L22" i="1"/>
  <c r="K26" i="1" l="1"/>
  <c r="K18" i="1"/>
  <c r="K22" i="1"/>
  <c r="D46" i="3" l="1"/>
  <c r="O45" i="3"/>
  <c r="D8" i="1" l="1"/>
  <c r="D7" i="1" l="1"/>
  <c r="D6" i="1"/>
  <c r="B7" i="9"/>
  <c r="E7" i="9" s="1"/>
  <c r="K7" i="9" s="1"/>
  <c r="G7" i="9" s="1"/>
  <c r="H44" i="3"/>
  <c r="N44" i="3" s="1"/>
  <c r="L44" i="3" s="1"/>
  <c r="D45" i="3"/>
  <c r="D44" i="3"/>
  <c r="E31" i="3"/>
  <c r="B20" i="3"/>
  <c r="E20" i="3" s="1"/>
  <c r="G20" i="3" s="1"/>
  <c r="I20" i="3" s="1"/>
  <c r="E19" i="3"/>
  <c r="G19" i="3" s="1"/>
  <c r="I19" i="3" s="1"/>
  <c r="J7" i="3"/>
  <c r="B7" i="3"/>
  <c r="E7" i="3" s="1"/>
  <c r="E6" i="3"/>
  <c r="J6" i="3" s="1"/>
  <c r="I6" i="3" s="1"/>
  <c r="K7" i="3" l="1"/>
  <c r="I33" i="3" l="1"/>
  <c r="I8" i="2" l="1"/>
  <c r="J8" i="3"/>
  <c r="K8" i="9" l="1"/>
  <c r="B8" i="9" l="1"/>
  <c r="K6" i="9" l="1"/>
  <c r="G6" i="9" s="1"/>
  <c r="I6" i="9" s="1"/>
  <c r="E6" i="2"/>
  <c r="I6" i="2" s="1"/>
  <c r="B36" i="1"/>
  <c r="N46" i="3"/>
  <c r="G6" i="2" l="1"/>
  <c r="H6" i="1" l="1"/>
  <c r="M6" i="1" s="1"/>
  <c r="K6" i="1" l="1"/>
  <c r="M8" i="1" l="1"/>
  <c r="I21" i="3" l="1"/>
  <c r="B43" i="6" l="1"/>
  <c r="B43" i="5"/>
  <c r="B42" i="4"/>
  <c r="B50" i="3"/>
  <c r="B30" i="9"/>
  <c r="B30" i="2"/>
  <c r="H7" i="1" l="1"/>
  <c r="E45" i="3"/>
  <c r="H45" i="3" s="1"/>
  <c r="N45" i="3" s="1"/>
  <c r="M7" i="1" l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E46" i="3" l="1"/>
  <c r="H46" i="3" s="1"/>
  <c r="O46" i="3" s="1"/>
  <c r="L45" i="3"/>
  <c r="K7" i="1" l="1"/>
  <c r="J8" i="2" l="1"/>
  <c r="I7" i="9" l="1"/>
  <c r="B32" i="3" l="1"/>
  <c r="E32" i="3" s="1"/>
  <c r="J31" i="3"/>
</calcChain>
</file>

<file path=xl/sharedStrings.xml><?xml version="1.0" encoding="utf-8"?>
<sst xmlns="http://schemas.openxmlformats.org/spreadsheetml/2006/main" count="511" uniqueCount="191">
  <si>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</si>
  <si>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</si>
  <si>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</si>
  <si>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</si>
  <si>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</si>
  <si>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</si>
  <si>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</si>
  <si>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</si>
  <si>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</si>
  <si>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</si>
  <si>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</si>
  <si>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</si>
  <si>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</si>
  <si>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</si>
  <si>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</si>
  <si>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</si>
  <si>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</si>
  <si>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</si>
  <si>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</si>
  <si>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</si>
  <si>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</si>
  <si>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</si>
  <si>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</si>
  <si>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</si>
  <si>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</si>
  <si>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</si>
  <si>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</si>
  <si>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</si>
  <si>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</si>
  <si>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</si>
  <si>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</si>
  <si>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</si>
  <si>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</si>
  <si>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</si>
  <si>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</si>
  <si>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2022/23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</si>
  <si>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</si>
  <si>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</si>
  <si>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</si>
  <si>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</si>
  <si>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</si>
  <si>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</si>
  <si>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</si>
  <si>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</si>
  <si>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</si>
  <si>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</si>
  <si>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</si>
  <si>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</si>
  <si>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</si>
  <si>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>June</t>
  </si>
  <si>
    <t>July</t>
  </si>
  <si>
    <t>August</t>
  </si>
  <si>
    <t xml:space="preserve">  June–August</t>
  </si>
  <si>
    <t>2023/24</t>
  </si>
  <si>
    <t xml:space="preserve"> March-May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</si>
  <si>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</si>
  <si>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</si>
  <si>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</si>
  <si>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</si>
  <si>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</si>
  <si>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</si>
  <si>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</si>
  <si>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</si>
  <si>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</si>
  <si>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</si>
  <si>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</si>
  <si>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</si>
  <si>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</si>
  <si>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</si>
  <si>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</si>
  <si>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</si>
  <si>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</si>
  <si>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</si>
  <si>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</si>
  <si>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</si>
  <si>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</si>
  <si>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</si>
  <si>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</si>
  <si>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</si>
  <si>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</si>
  <si>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</si>
  <si>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</si>
  <si>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</si>
  <si>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</si>
  <si>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</si>
  <si>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</si>
  <si>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</si>
  <si>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</si>
  <si>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</si>
  <si>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</si>
  <si>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</si>
  <si>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</si>
  <si>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</si>
  <si>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</si>
  <si>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</si>
  <si>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</si>
  <si>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</si>
  <si>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</si>
  <si>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</si>
  <si>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</si>
  <si>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</si>
  <si>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</si>
  <si>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</si>
  <si>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</si>
  <si>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</si>
  <si>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</si>
  <si>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</si>
  <si>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</si>
  <si>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</si>
  <si>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</si>
  <si>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</si>
  <si>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</si>
  <si>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</si>
  <si>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</si>
  <si>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</si>
  <si>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</si>
  <si>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</si>
  <si>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</si>
  <si>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</si>
  <si>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</si>
  <si>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</si>
  <si>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</si>
  <si>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>2023/24</t>
    </r>
    <r>
      <rPr>
        <vertAlign val="superscript"/>
        <sz val="11"/>
        <rFont val="Arial"/>
        <family val="2"/>
      </rPr>
      <t>4</t>
    </r>
  </si>
  <si>
    <r>
      <t>2024/25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</si>
  <si>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</si>
  <si>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</si>
  <si>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</si>
  <si>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</si>
  <si>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</si>
  <si>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</si>
  <si>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</si>
  <si>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</si>
  <si>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</si>
  <si>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</si>
  <si>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</si>
  <si>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</si>
  <si>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</si>
  <si>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</si>
  <si>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</si>
  <si>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</si>
  <si>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</si>
  <si>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</si>
  <si>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t>2024/25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</si>
  <si>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</si>
  <si>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</si>
  <si>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</si>
  <si>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</si>
  <si>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</si>
  <si>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</si>
  <si>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</si>
  <si>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</si>
  <si>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</si>
  <si>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</si>
  <si>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</si>
  <si>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</si>
  <si>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</si>
  <si>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</si>
  <si>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</si>
  <si>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2024/25</t>
  </si>
  <si>
    <t>Mexico</t>
  </si>
  <si>
    <t>Colombia</t>
  </si>
  <si>
    <t>Dominican Republic</t>
  </si>
  <si>
    <t>Monthly date</t>
  </si>
  <si>
    <t>Date</t>
  </si>
  <si>
    <t>Phillipines</t>
  </si>
  <si>
    <t>Canada</t>
  </si>
  <si>
    <t>EU</t>
  </si>
  <si>
    <t>Vietnam</t>
  </si>
  <si>
    <t>Venezuela</t>
  </si>
  <si>
    <t>Ecuador</t>
  </si>
  <si>
    <t>Guatemala</t>
  </si>
  <si>
    <t>Brazil, Paranagua, FOB</t>
  </si>
  <si>
    <t>United States, Gulf, FOB</t>
  </si>
  <si>
    <t>ROW</t>
  </si>
  <si>
    <t>MY 2022/23</t>
  </si>
  <si>
    <t>MY 2023/24</t>
  </si>
  <si>
    <t>Average (MY 2018/19–MY 2022/23)</t>
  </si>
  <si>
    <t>Argentina, Up River, FOB</t>
  </si>
  <si>
    <t>Soybean oil exports</t>
  </si>
  <si>
    <t>Marketing year</t>
  </si>
  <si>
    <t>Oilseed, Copra</t>
  </si>
  <si>
    <t>Oilseed, Cottonseed</t>
  </si>
  <si>
    <t>Oilseed, Palm Kernel</t>
  </si>
  <si>
    <t>Oilseed, Peanut</t>
  </si>
  <si>
    <t>Oilseed, Rapeseed</t>
  </si>
  <si>
    <t>Oilseed, Soybean</t>
  </si>
  <si>
    <t>Oilseed, Sunflowerseed</t>
  </si>
  <si>
    <t>Other seeds</t>
  </si>
  <si>
    <t>2024/25*</t>
  </si>
  <si>
    <t>Marketing year (October -September), metric tons  (MT)</t>
  </si>
  <si>
    <t>Soybean oil vs. palm oil price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</si>
</sst>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0.000"/>
    <numFmt numFmtId="178" formatCode="#,##0.000"/>
    <numFmt numFmtId="179" formatCode="mmm\.\ yy"/>
  </numFmts>
  <fonts count="1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8">
    <xf numFmtId="0" fontId="0" fillId="0" borderId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54" fillId="0" borderId="0"/>
    <xf numFmtId="0" fontId="54" fillId="0" borderId="0"/>
    <xf numFmtId="0" fontId="54" fillId="0" borderId="0"/>
    <xf numFmtId="0" fontId="65" fillId="0" borderId="0"/>
    <xf numFmtId="9" fontId="5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67" fillId="0" borderId="0"/>
    <xf numFmtId="0" fontId="52" fillId="0" borderId="0"/>
    <xf numFmtId="0" fontId="51" fillId="0" borderId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43" fontId="49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47" fillId="0" borderId="0"/>
    <xf numFmtId="0" fontId="46" fillId="0" borderId="0"/>
    <xf numFmtId="43" fontId="46" fillId="0" borderId="0" applyFont="0" applyFill="0" applyBorder="0" applyAlignment="0" applyProtection="0"/>
    <xf numFmtId="0" fontId="45" fillId="0" borderId="0"/>
    <xf numFmtId="44" fontId="53" fillId="0" borderId="0" applyFont="0" applyFill="0" applyBorder="0" applyAlignment="0" applyProtection="0"/>
    <xf numFmtId="0" fontId="44" fillId="0" borderId="0"/>
    <xf numFmtId="0" fontId="43" fillId="0" borderId="0"/>
    <xf numFmtId="0" fontId="42" fillId="0" borderId="0"/>
    <xf numFmtId="0" fontId="41" fillId="0" borderId="0"/>
    <xf numFmtId="43" fontId="40" fillId="0" borderId="0" applyFont="0" applyFill="0" applyBorder="0" applyAlignment="0" applyProtection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43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74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75" fillId="0" borderId="8" applyNumberFormat="0" applyFont="0" applyProtection="0">
      <alignment wrapText="1"/>
    </xf>
    <xf numFmtId="43" fontId="12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75" fillId="0" borderId="0" applyNumberFormat="0" applyProtection="0">
      <alignment vertical="top" wrapText="1"/>
    </xf>
    <xf numFmtId="0" fontId="75" fillId="0" borderId="9" applyNumberFormat="0" applyProtection="0">
      <alignment vertical="top" wrapText="1"/>
    </xf>
    <xf numFmtId="0" fontId="77" fillId="0" borderId="7" applyNumberFormat="0" applyProtection="0">
      <alignment wrapText="1"/>
    </xf>
    <xf numFmtId="0" fontId="77" fillId="0" borderId="10" applyNumberFormat="0" applyProtection="0">
      <alignment horizontal="left" wrapText="1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11" applyNumberFormat="0" applyProtection="0">
      <alignment wrapText="1"/>
    </xf>
    <xf numFmtId="0" fontId="75" fillId="0" borderId="12" applyNumberFormat="0" applyFont="0" applyFill="0" applyProtection="0">
      <alignment wrapText="1"/>
    </xf>
    <xf numFmtId="0" fontId="77" fillId="0" borderId="13" applyNumberFormat="0" applyFill="0" applyProtection="0">
      <alignment wrapText="1"/>
    </xf>
    <xf numFmtId="0" fontId="79" fillId="0" borderId="0" applyNumberFormat="0" applyProtection="0">
      <alignment horizontal="left"/>
    </xf>
    <xf numFmtId="0" fontId="80" fillId="0" borderId="0" applyNumberFormat="0" applyFill="0" applyBorder="0" applyAlignment="0" applyProtection="0"/>
    <xf numFmtId="0" fontId="81" fillId="0" borderId="7" applyNumberFormat="0" applyFill="0" applyAlignment="0" applyProtection="0"/>
    <xf numFmtId="0" fontId="82" fillId="0" borderId="14" applyNumberFormat="0" applyFill="0" applyAlignment="0" applyProtection="0"/>
    <xf numFmtId="0" fontId="83" fillId="0" borderId="15" applyNumberFormat="0" applyFill="0" applyAlignment="0" applyProtection="0"/>
    <xf numFmtId="0" fontId="83" fillId="0" borderId="0" applyNumberFormat="0" applyFill="0" applyBorder="0" applyAlignment="0" applyProtection="0"/>
    <xf numFmtId="0" fontId="84" fillId="3" borderId="0" applyNumberFormat="0" applyBorder="0" applyAlignment="0" applyProtection="0"/>
    <xf numFmtId="0" fontId="85" fillId="4" borderId="0" applyNumberFormat="0" applyBorder="0" applyAlignment="0" applyProtection="0"/>
    <xf numFmtId="0" fontId="86" fillId="5" borderId="0" applyNumberFormat="0" applyBorder="0" applyAlignment="0" applyProtection="0"/>
    <xf numFmtId="0" fontId="87" fillId="6" borderId="16" applyNumberFormat="0" applyAlignment="0" applyProtection="0"/>
    <xf numFmtId="0" fontId="88" fillId="7" borderId="17" applyNumberFormat="0" applyAlignment="0" applyProtection="0"/>
    <xf numFmtId="0" fontId="89" fillId="7" borderId="16" applyNumberFormat="0" applyAlignment="0" applyProtection="0"/>
    <xf numFmtId="0" fontId="90" fillId="0" borderId="18" applyNumberFormat="0" applyFill="0" applyAlignment="0" applyProtection="0"/>
    <xf numFmtId="0" fontId="91" fillId="8" borderId="19" applyNumberFormat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1" applyNumberFormat="0" applyFill="0" applyAlignment="0" applyProtection="0"/>
    <xf numFmtId="0" fontId="95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95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95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95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95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95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3" fillId="55" borderId="32" applyNumberFormat="0" applyFont="0" applyAlignment="0" applyProtection="0"/>
    <xf numFmtId="0" fontId="53" fillId="55" borderId="40" applyNumberFormat="0" applyFont="0" applyAlignment="0" applyProtection="0"/>
    <xf numFmtId="0" fontId="105" fillId="52" borderId="39" applyNumberFormat="0" applyAlignment="0" applyProtection="0"/>
    <xf numFmtId="0" fontId="11" fillId="9" borderId="20" applyNumberFormat="0" applyFont="0" applyAlignment="0" applyProtection="0"/>
    <xf numFmtId="0" fontId="105" fillId="52" borderId="31" applyNumberFormat="0" applyAlignment="0" applyProtection="0"/>
    <xf numFmtId="0" fontId="96" fillId="0" borderId="0"/>
    <xf numFmtId="0" fontId="11" fillId="23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95" fillId="33" borderId="0" applyNumberFormat="0" applyBorder="0" applyAlignment="0" applyProtection="0"/>
    <xf numFmtId="43" fontId="98" fillId="0" borderId="0" applyFont="0" applyFill="0" applyBorder="0" applyAlignment="0" applyProtection="0"/>
    <xf numFmtId="0" fontId="95" fillId="29" borderId="0" applyNumberFormat="0" applyBorder="0" applyAlignment="0" applyProtection="0"/>
    <xf numFmtId="43" fontId="11" fillId="0" borderId="0" applyFont="0" applyFill="0" applyBorder="0" applyAlignment="0" applyProtection="0"/>
    <xf numFmtId="0" fontId="95" fillId="25" borderId="0" applyNumberFormat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95" fillId="21" borderId="0" applyNumberFormat="0" applyBorder="0" applyAlignment="0" applyProtection="0"/>
    <xf numFmtId="43" fontId="98" fillId="0" borderId="0" applyFont="0" applyFill="0" applyBorder="0" applyAlignment="0" applyProtection="0"/>
    <xf numFmtId="0" fontId="95" fillId="17" borderId="0" applyNumberFormat="0" applyBorder="0" applyAlignment="0" applyProtection="0"/>
    <xf numFmtId="43" fontId="98" fillId="0" borderId="0" applyFont="0" applyFill="0" applyBorder="0" applyAlignment="0" applyProtection="0"/>
    <xf numFmtId="0" fontId="95" fillId="13" borderId="0" applyNumberFormat="0" applyBorder="0" applyAlignment="0" applyProtection="0"/>
    <xf numFmtId="43" fontId="98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9" fillId="5" borderId="0" applyNumberFormat="0" applyBorder="0" applyAlignment="0" applyProtection="0"/>
    <xf numFmtId="0" fontId="96" fillId="0" borderId="0"/>
    <xf numFmtId="0" fontId="96" fillId="0" borderId="0"/>
    <xf numFmtId="0" fontId="53" fillId="0" borderId="0">
      <alignment vertical="center"/>
    </xf>
    <xf numFmtId="0" fontId="11" fillId="0" borderId="0"/>
    <xf numFmtId="0" fontId="11" fillId="9" borderId="20" applyNumberFormat="0" applyFont="0" applyAlignment="0" applyProtection="0"/>
    <xf numFmtId="0" fontId="100" fillId="0" borderId="0" applyNumberForma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01" fillId="0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95" fillId="21" borderId="0" applyNumberFormat="0" applyBorder="0" applyAlignment="0" applyProtection="0"/>
    <xf numFmtId="0" fontId="95" fillId="25" borderId="0" applyNumberFormat="0" applyBorder="0" applyAlignment="0" applyProtection="0"/>
    <xf numFmtId="0" fontId="95" fillId="33" borderId="0" applyNumberFormat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1" fillId="0" borderId="0"/>
    <xf numFmtId="0" fontId="96" fillId="0" borderId="0"/>
    <xf numFmtId="0" fontId="101" fillId="0" borderId="0"/>
    <xf numFmtId="0" fontId="11" fillId="0" borderId="0"/>
    <xf numFmtId="0" fontId="11" fillId="9" borderId="20" applyNumberFormat="0" applyFont="0" applyAlignment="0" applyProtection="0"/>
    <xf numFmtId="0" fontId="11" fillId="9" borderId="20" applyNumberFormat="0" applyFont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95" fillId="21" borderId="0" applyNumberFormat="0" applyBorder="0" applyAlignment="0" applyProtection="0"/>
    <xf numFmtId="0" fontId="95" fillId="25" borderId="0" applyNumberFormat="0" applyBorder="0" applyAlignment="0" applyProtection="0"/>
    <xf numFmtId="0" fontId="95" fillId="33" borderId="0" applyNumberFormat="0" applyBorder="0" applyAlignment="0" applyProtection="0"/>
    <xf numFmtId="0" fontId="11" fillId="0" borderId="0"/>
    <xf numFmtId="0" fontId="11" fillId="9" borderId="20" applyNumberFormat="0" applyFont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43" fontId="11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9" borderId="20" applyNumberFormat="0" applyFont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2" borderId="0" applyNumberFormat="0" applyBorder="0" applyAlignment="0" applyProtection="0"/>
    <xf numFmtId="0" fontId="98" fillId="37" borderId="0" applyNumberFormat="0" applyBorder="0" applyAlignment="0" applyProtection="0"/>
    <xf numFmtId="0" fontId="98" fillId="40" borderId="0" applyNumberFormat="0" applyBorder="0" applyAlignment="0" applyProtection="0"/>
    <xf numFmtId="0" fontId="98" fillId="43" borderId="0" applyNumberFormat="0" applyBorder="0" applyAlignment="0" applyProtection="0"/>
    <xf numFmtId="0" fontId="103" fillId="44" borderId="0" applyNumberFormat="0" applyBorder="0" applyAlignment="0" applyProtection="0"/>
    <xf numFmtId="0" fontId="103" fillId="41" borderId="0" applyNumberFormat="0" applyBorder="0" applyAlignment="0" applyProtection="0"/>
    <xf numFmtId="0" fontId="103" fillId="42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51" borderId="0" applyNumberFormat="0" applyBorder="0" applyAlignment="0" applyProtection="0"/>
    <xf numFmtId="0" fontId="104" fillId="35" borderId="0" applyNumberFormat="0" applyBorder="0" applyAlignment="0" applyProtection="0"/>
    <xf numFmtId="0" fontId="105" fillId="52" borderId="22" applyNumberFormat="0" applyAlignment="0" applyProtection="0"/>
    <xf numFmtId="0" fontId="106" fillId="53" borderId="23" applyNumberFormat="0" applyAlignment="0" applyProtection="0"/>
    <xf numFmtId="43" fontId="53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8" fillId="36" borderId="0" applyNumberFormat="0" applyBorder="0" applyAlignment="0" applyProtection="0"/>
    <xf numFmtId="0" fontId="109" fillId="0" borderId="24" applyNumberFormat="0" applyFill="0" applyAlignment="0" applyProtection="0"/>
    <xf numFmtId="0" fontId="110" fillId="0" borderId="25" applyNumberFormat="0" applyFill="0" applyAlignment="0" applyProtection="0"/>
    <xf numFmtId="0" fontId="111" fillId="0" borderId="26" applyNumberFormat="0" applyFill="0" applyAlignment="0" applyProtection="0"/>
    <xf numFmtId="0" fontId="111" fillId="0" borderId="0" applyNumberFormat="0" applyFill="0" applyBorder="0" applyAlignment="0" applyProtection="0"/>
    <xf numFmtId="0" fontId="112" fillId="39" borderId="22" applyNumberFormat="0" applyAlignment="0" applyProtection="0"/>
    <xf numFmtId="0" fontId="113" fillId="0" borderId="27" applyNumberFormat="0" applyFill="0" applyAlignment="0" applyProtection="0"/>
    <xf numFmtId="0" fontId="114" fillId="54" borderId="0" applyNumberFormat="0" applyBorder="0" applyAlignment="0" applyProtection="0"/>
    <xf numFmtId="0" fontId="53" fillId="0" borderId="0"/>
    <xf numFmtId="0" fontId="53" fillId="55" borderId="28" applyNumberFormat="0" applyFont="0" applyAlignment="0" applyProtection="0"/>
    <xf numFmtId="0" fontId="53" fillId="55" borderId="28" applyNumberFormat="0" applyFont="0" applyAlignment="0" applyProtection="0"/>
    <xf numFmtId="0" fontId="115" fillId="52" borderId="29" applyNumberFormat="0" applyAlignment="0" applyProtection="0"/>
    <xf numFmtId="9" fontId="53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30" applyNumberFormat="0" applyFill="0" applyAlignment="0" applyProtection="0"/>
    <xf numFmtId="0" fontId="118" fillId="0" borderId="0" applyNumberFormat="0" applyFill="0" applyBorder="0" applyAlignment="0" applyProtection="0"/>
    <xf numFmtId="0" fontId="11" fillId="0" borderId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96" fillId="0" borderId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9" borderId="20" applyNumberFormat="0" applyFont="0" applyAlignment="0" applyProtection="0"/>
    <xf numFmtId="0" fontId="100" fillId="0" borderId="0" applyNumberForma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9" borderId="20" applyNumberFormat="0" applyFont="0" applyAlignment="0" applyProtection="0"/>
    <xf numFmtId="0" fontId="11" fillId="9" borderId="20" applyNumberFormat="0" applyFont="0" applyAlignment="0" applyProtection="0"/>
    <xf numFmtId="0" fontId="11" fillId="0" borderId="0"/>
    <xf numFmtId="0" fontId="11" fillId="9" borderId="20" applyNumberFormat="0" applyFont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9" borderId="20" applyNumberFormat="0" applyFont="0" applyAlignment="0" applyProtection="0"/>
    <xf numFmtId="0" fontId="112" fillId="39" borderId="39" applyNumberFormat="0" applyAlignment="0" applyProtection="0"/>
    <xf numFmtId="0" fontId="53" fillId="55" borderId="36" applyNumberFormat="0" applyFont="0" applyAlignment="0" applyProtection="0"/>
    <xf numFmtId="0" fontId="115" fillId="52" borderId="37" applyNumberFormat="0" applyAlignment="0" applyProtection="0"/>
    <xf numFmtId="0" fontId="115" fillId="52" borderId="41" applyNumberFormat="0" applyAlignment="0" applyProtection="0"/>
    <xf numFmtId="0" fontId="117" fillId="0" borderId="42" applyNumberFormat="0" applyFill="0" applyAlignment="0" applyProtection="0"/>
    <xf numFmtId="0" fontId="117" fillId="0" borderId="34" applyNumberFormat="0" applyFill="0" applyAlignment="0" applyProtection="0"/>
    <xf numFmtId="0" fontId="53" fillId="55" borderId="40" applyNumberFormat="0" applyFont="0" applyAlignment="0" applyProtection="0"/>
    <xf numFmtId="0" fontId="105" fillId="52" borderId="35" applyNumberFormat="0" applyAlignment="0" applyProtection="0"/>
    <xf numFmtId="0" fontId="53" fillId="55" borderId="32" applyNumberFormat="0" applyFont="0" applyAlignment="0" applyProtection="0"/>
    <xf numFmtId="0" fontId="117" fillId="0" borderId="38" applyNumberFormat="0" applyFill="0" applyAlignment="0" applyProtection="0"/>
    <xf numFmtId="0" fontId="112" fillId="39" borderId="31" applyNumberFormat="0" applyAlignment="0" applyProtection="0"/>
    <xf numFmtId="0" fontId="53" fillId="55" borderId="36" applyNumberFormat="0" applyFont="0" applyAlignment="0" applyProtection="0"/>
    <xf numFmtId="0" fontId="115" fillId="52" borderId="33" applyNumberFormat="0" applyAlignment="0" applyProtection="0"/>
    <xf numFmtId="0" fontId="112" fillId="39" borderId="35" applyNumberFormat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2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20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20" applyNumberFormat="0" applyFont="0" applyAlignment="0" applyProtection="0"/>
    <xf numFmtId="0" fontId="1" fillId="9" borderId="20" applyNumberFormat="0" applyFont="0" applyAlignment="0" applyProtection="0"/>
    <xf numFmtId="0" fontId="1" fillId="0" borderId="0"/>
    <xf numFmtId="0" fontId="1" fillId="9" borderId="2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20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20" applyNumberFormat="0" applyFont="0" applyAlignment="0" applyProtection="0"/>
    <xf numFmtId="0" fontId="1" fillId="9" borderId="20" applyNumberFormat="0" applyFont="0" applyAlignment="0" applyProtection="0"/>
    <xf numFmtId="0" fontId="1" fillId="0" borderId="0"/>
    <xf numFmtId="0" fontId="1" fillId="9" borderId="2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20" applyNumberFormat="0" applyFont="0" applyAlignment="0" applyProtection="0"/>
    <xf numFmtId="0" fontId="105" fillId="52" borderId="44" applyNumberFormat="0" applyAlignment="0" applyProtection="0"/>
    <xf numFmtId="0" fontId="112" fillId="39" borderId="44" applyNumberFormat="0" applyAlignment="0" applyProtection="0"/>
    <xf numFmtId="0" fontId="53" fillId="55" borderId="45" applyNumberFormat="0" applyFont="0" applyAlignment="0" applyProtection="0"/>
    <xf numFmtId="0" fontId="53" fillId="55" borderId="45" applyNumberFormat="0" applyFont="0" applyAlignment="0" applyProtection="0"/>
    <xf numFmtId="0" fontId="115" fillId="52" borderId="46" applyNumberFormat="0" applyAlignment="0" applyProtection="0"/>
    <xf numFmtId="0" fontId="117" fillId="0" borderId="47" applyNumberFormat="0" applyFill="0" applyAlignment="0" applyProtection="0"/>
  </cellStyleXfs>
  <cellXfs count="190">
    <xf numFmtId="0" fontId="0" fillId="0" borderId="0" xfId="0"/>
    <xf numFmtId="0" fontId="54" fillId="0" borderId="0" xfId="8"/>
    <xf numFmtId="0" fontId="55" fillId="0" borderId="0" xfId="8" applyFont="1"/>
    <xf numFmtId="0" fontId="60" fillId="0" borderId="0" xfId="8" applyFont="1"/>
    <xf numFmtId="0" fontId="61" fillId="0" borderId="0" xfId="8" applyFont="1"/>
    <xf numFmtId="169" fontId="62" fillId="0" borderId="0" xfId="1" applyNumberFormat="1" applyFont="1" applyFill="1" applyBorder="1" applyAlignment="1">
      <alignment horizontal="center"/>
    </xf>
    <xf numFmtId="169" fontId="62" fillId="0" borderId="0" xfId="1" applyNumberFormat="1" applyFont="1" applyFill="1" applyBorder="1" applyAlignment="1">
      <alignment horizontal="right" indent="1"/>
    </xf>
    <xf numFmtId="0" fontId="68" fillId="0" borderId="0" xfId="7" applyFont="1" applyAlignment="1">
      <alignment horizontal="left"/>
    </xf>
    <xf numFmtId="0" fontId="69" fillId="0" borderId="0" xfId="5" applyFont="1" applyAlignment="1" applyProtection="1"/>
    <xf numFmtId="14" fontId="68" fillId="0" borderId="0" xfId="7" applyNumberFormat="1" applyFont="1" applyAlignment="1">
      <alignment horizontal="left"/>
    </xf>
    <xf numFmtId="0" fontId="69" fillId="0" borderId="0" xfId="4" applyFont="1" applyAlignment="1" applyProtection="1"/>
    <xf numFmtId="0" fontId="62" fillId="0" borderId="0" xfId="7" quotePrefix="1" applyFont="1" applyAlignment="1">
      <alignment horizontal="left"/>
    </xf>
    <xf numFmtId="0" fontId="62" fillId="0" borderId="0" xfId="8" applyFont="1" applyAlignment="1">
      <alignment wrapText="1"/>
    </xf>
    <xf numFmtId="169" fontId="62" fillId="0" borderId="0" xfId="1" applyNumberFormat="1" applyFont="1" applyFill="1" applyBorder="1" applyAlignment="1">
      <alignment horizontal="right"/>
    </xf>
    <xf numFmtId="0" fontId="62" fillId="0" borderId="1" xfId="0" applyFont="1" applyBorder="1"/>
    <xf numFmtId="0" fontId="62" fillId="0" borderId="0" xfId="0" applyFont="1"/>
    <xf numFmtId="0" fontId="62" fillId="0" borderId="2" xfId="0" applyFont="1" applyBorder="1" applyAlignment="1">
      <alignment horizontal="right"/>
    </xf>
    <xf numFmtId="0" fontId="62" fillId="0" borderId="0" xfId="0" applyFont="1" applyAlignment="1">
      <alignment horizontal="center"/>
    </xf>
    <xf numFmtId="0" fontId="0" fillId="0" borderId="2" xfId="0" applyBorder="1"/>
    <xf numFmtId="0" fontId="62" fillId="0" borderId="2" xfId="0" applyFont="1" applyBorder="1" applyAlignment="1">
      <alignment horizontal="left"/>
    </xf>
    <xf numFmtId="0" fontId="62" fillId="0" borderId="0" xfId="0" applyFont="1" applyAlignment="1">
      <alignment horizontal="right"/>
    </xf>
    <xf numFmtId="16" fontId="62" fillId="0" borderId="1" xfId="0" quotePrefix="1" applyNumberFormat="1" applyFont="1" applyBorder="1"/>
    <xf numFmtId="16" fontId="62" fillId="0" borderId="1" xfId="0" applyNumberFormat="1" applyFont="1" applyBorder="1"/>
    <xf numFmtId="0" fontId="62" fillId="0" borderId="1" xfId="0" applyFont="1" applyBorder="1" applyAlignment="1">
      <alignment horizontal="center"/>
    </xf>
    <xf numFmtId="0" fontId="62" fillId="0" borderId="1" xfId="0" applyFont="1" applyBorder="1" applyAlignment="1">
      <alignment horizontal="right"/>
    </xf>
    <xf numFmtId="0" fontId="62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3" fillId="0" borderId="0" xfId="0" quotePrefix="1" applyFont="1" applyAlignment="1">
      <alignment horizontal="right"/>
    </xf>
    <xf numFmtId="164" fontId="62" fillId="0" borderId="0" xfId="1" applyNumberFormat="1" applyFont="1" applyFill="1" applyBorder="1"/>
    <xf numFmtId="164" fontId="62" fillId="0" borderId="0" xfId="1" applyNumberFormat="1" applyFont="1" applyFill="1" applyBorder="1" applyAlignment="1">
      <alignment horizontal="right"/>
    </xf>
    <xf numFmtId="0" fontId="68" fillId="0" borderId="0" xfId="0" applyFont="1"/>
    <xf numFmtId="169" fontId="62" fillId="0" borderId="0" xfId="1" quotePrefix="1" applyNumberFormat="1" applyFont="1" applyFill="1" applyBorder="1" applyAlignment="1">
      <alignment horizontal="right"/>
    </xf>
    <xf numFmtId="164" fontId="62" fillId="0" borderId="0" xfId="1" applyNumberFormat="1" applyFont="1" applyFill="1" applyBorder="1" applyAlignment="1">
      <alignment horizontal="center"/>
    </xf>
    <xf numFmtId="164" fontId="62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62" fillId="0" borderId="0" xfId="1" applyNumberFormat="1" applyFont="1" applyFill="1"/>
    <xf numFmtId="14" fontId="62" fillId="0" borderId="0" xfId="0" applyNumberFormat="1" applyFont="1" applyAlignment="1">
      <alignment horizontal="left"/>
    </xf>
    <xf numFmtId="3" fontId="62" fillId="0" borderId="0" xfId="1" applyNumberFormat="1" applyFont="1" applyFill="1" applyAlignment="1">
      <alignment horizontal="right" indent="1"/>
    </xf>
    <xf numFmtId="3" fontId="62" fillId="0" borderId="0" xfId="1" applyNumberFormat="1" applyFont="1" applyFill="1" applyAlignment="1">
      <alignment horizontal="center"/>
    </xf>
    <xf numFmtId="169" fontId="62" fillId="0" borderId="0" xfId="1" applyNumberFormat="1" applyFont="1" applyFill="1" applyBorder="1" applyAlignment="1">
      <alignment horizontal="right" indent="2"/>
    </xf>
    <xf numFmtId="0" fontId="64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2" fillId="0" borderId="1" xfId="1" applyNumberFormat="1" applyFont="1" applyFill="1" applyBorder="1" applyAlignment="1">
      <alignment horizontal="right"/>
    </xf>
    <xf numFmtId="16" fontId="62" fillId="0" borderId="0" xfId="0" applyNumberFormat="1" applyFont="1"/>
    <xf numFmtId="0" fontId="63" fillId="0" borderId="0" xfId="0" applyFont="1" applyAlignment="1">
      <alignment horizontal="center"/>
    </xf>
    <xf numFmtId="2" fontId="62" fillId="0" borderId="0" xfId="0" applyNumberFormat="1" applyFont="1" applyAlignment="1">
      <alignment horizontal="right" indent="2"/>
    </xf>
    <xf numFmtId="43" fontId="62" fillId="0" borderId="0" xfId="1" quotePrefix="1" applyFont="1" applyFill="1" applyBorder="1" applyAlignment="1">
      <alignment horizontal="center"/>
    </xf>
    <xf numFmtId="166" fontId="62" fillId="0" borderId="0" xfId="1" quotePrefix="1" applyNumberFormat="1" applyFont="1" applyFill="1" applyBorder="1" applyAlignment="1">
      <alignment horizontal="center"/>
    </xf>
    <xf numFmtId="43" fontId="62" fillId="0" borderId="0" xfId="1" applyFont="1" applyFill="1" applyBorder="1" applyAlignment="1">
      <alignment horizontal="center"/>
    </xf>
    <xf numFmtId="0" fontId="68" fillId="0" borderId="0" xfId="0" quotePrefix="1" applyFont="1"/>
    <xf numFmtId="0" fontId="62" fillId="0" borderId="0" xfId="0" applyFont="1" applyAlignment="1">
      <alignment horizontal="left"/>
    </xf>
    <xf numFmtId="0" fontId="62" fillId="0" borderId="0" xfId="0" applyFont="1" applyAlignment="1">
      <alignment horizontal="left" indent="1"/>
    </xf>
    <xf numFmtId="0" fontId="62" fillId="0" borderId="3" xfId="0" applyFont="1" applyBorder="1" applyAlignment="1">
      <alignment horizontal="center"/>
    </xf>
    <xf numFmtId="0" fontId="62" fillId="0" borderId="1" xfId="0" applyFont="1" applyBorder="1" applyAlignment="1">
      <alignment horizontal="left"/>
    </xf>
    <xf numFmtId="0" fontId="63" fillId="0" borderId="3" xfId="0" quotePrefix="1" applyFont="1" applyBorder="1"/>
    <xf numFmtId="0" fontId="63" fillId="0" borderId="3" xfId="0" applyFont="1" applyBorder="1"/>
    <xf numFmtId="2" fontId="62" fillId="0" borderId="0" xfId="0" applyNumberFormat="1" applyFont="1" applyAlignment="1">
      <alignment horizontal="center"/>
    </xf>
    <xf numFmtId="43" fontId="62" fillId="0" borderId="0" xfId="0" applyNumberFormat="1" applyFont="1"/>
    <xf numFmtId="0" fontId="57" fillId="0" borderId="0" xfId="0" applyFont="1"/>
    <xf numFmtId="2" fontId="0" fillId="0" borderId="0" xfId="0" applyNumberFormat="1"/>
    <xf numFmtId="165" fontId="62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6" fillId="0" borderId="0" xfId="0" applyFont="1" applyAlignment="1">
      <alignment vertical="center"/>
    </xf>
    <xf numFmtId="2" fontId="62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2" fillId="0" borderId="3" xfId="0" applyFont="1" applyBorder="1"/>
    <xf numFmtId="165" fontId="62" fillId="0" borderId="0" xfId="1" applyNumberFormat="1" applyFont="1" applyFill="1"/>
    <xf numFmtId="37" fontId="62" fillId="0" borderId="0" xfId="1" applyNumberFormat="1" applyFont="1" applyFill="1" applyBorder="1" applyAlignment="1">
      <alignment horizontal="center"/>
    </xf>
    <xf numFmtId="165" fontId="62" fillId="0" borderId="0" xfId="1" applyNumberFormat="1" applyFont="1" applyFill="1" applyBorder="1"/>
    <xf numFmtId="9" fontId="62" fillId="0" borderId="0" xfId="12" applyFont="1" applyFill="1"/>
    <xf numFmtId="0" fontId="63" fillId="0" borderId="4" xfId="0" applyFont="1" applyBorder="1" applyAlignment="1">
      <alignment horizontal="center"/>
    </xf>
    <xf numFmtId="14" fontId="62" fillId="0" borderId="0" xfId="0" applyNumberFormat="1" applyFont="1" applyAlignment="1">
      <alignment horizontal="right" indent="1"/>
    </xf>
    <xf numFmtId="0" fontId="62" fillId="0" borderId="0" xfId="0" applyFont="1" applyAlignment="1">
      <alignment vertical="center"/>
    </xf>
    <xf numFmtId="0" fontId="62" fillId="0" borderId="0" xfId="0" applyFont="1" applyAlignment="1">
      <alignment vertical="center" wrapText="1"/>
    </xf>
    <xf numFmtId="169" fontId="62" fillId="0" borderId="0" xfId="1" applyNumberFormat="1" applyFont="1" applyFill="1" applyAlignment="1">
      <alignment horizontal="center"/>
    </xf>
    <xf numFmtId="0" fontId="64" fillId="0" borderId="3" xfId="0" applyFont="1" applyBorder="1"/>
    <xf numFmtId="164" fontId="62" fillId="0" borderId="3" xfId="0" applyNumberFormat="1" applyFont="1" applyBorder="1"/>
    <xf numFmtId="171" fontId="0" fillId="0" borderId="0" xfId="1" applyNumberFormat="1" applyFont="1" applyFill="1" applyBorder="1"/>
    <xf numFmtId="0" fontId="53" fillId="0" borderId="0" xfId="8" applyFont="1"/>
    <xf numFmtId="0" fontId="53" fillId="0" borderId="0" xfId="0" applyFont="1"/>
    <xf numFmtId="4" fontId="71" fillId="0" borderId="0" xfId="0" applyNumberFormat="1" applyFont="1"/>
    <xf numFmtId="172" fontId="57" fillId="0" borderId="0" xfId="12" applyNumberFormat="1" applyFont="1" applyFill="1"/>
    <xf numFmtId="4" fontId="0" fillId="0" borderId="0" xfId="0" applyNumberFormat="1"/>
    <xf numFmtId="173" fontId="71" fillId="0" borderId="0" xfId="0" applyNumberFormat="1" applyFont="1"/>
    <xf numFmtId="2" fontId="70" fillId="0" borderId="0" xfId="0" applyNumberFormat="1" applyFont="1" applyAlignment="1">
      <alignment horizontal="center"/>
    </xf>
    <xf numFmtId="37" fontId="62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70" fillId="0" borderId="0" xfId="0" applyNumberFormat="1" applyFont="1" applyAlignment="1">
      <alignment horizontal="right" indent="2"/>
    </xf>
    <xf numFmtId="9" fontId="0" fillId="0" borderId="0" xfId="12" applyFont="1"/>
    <xf numFmtId="3" fontId="70" fillId="0" borderId="0" xfId="1" applyNumberFormat="1" applyFont="1" applyFill="1" applyBorder="1" applyAlignment="1">
      <alignment horizontal="right"/>
    </xf>
    <xf numFmtId="3" fontId="53" fillId="0" borderId="0" xfId="0" applyNumberFormat="1" applyFon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62" fillId="0" borderId="0" xfId="1" applyNumberFormat="1" applyFont="1" applyAlignment="1">
      <alignment horizontal="right" indent="1"/>
    </xf>
    <xf numFmtId="167" fontId="62" fillId="0" borderId="0" xfId="0" applyNumberFormat="1" applyFont="1"/>
    <xf numFmtId="169" fontId="70" fillId="0" borderId="0" xfId="1" applyNumberFormat="1" applyFont="1" applyFill="1" applyBorder="1" applyAlignment="1">
      <alignment horizontal="right" indent="1"/>
    </xf>
    <xf numFmtId="0" fontId="72" fillId="0" borderId="0" xfId="0" applyFont="1"/>
    <xf numFmtId="169" fontId="62" fillId="0" borderId="0" xfId="1" applyNumberFormat="1" applyFont="1" applyFill="1" applyAlignment="1">
      <alignment horizontal="right" indent="1"/>
    </xf>
    <xf numFmtId="164" fontId="70" fillId="0" borderId="0" xfId="1" applyNumberFormat="1" applyFont="1"/>
    <xf numFmtId="169" fontId="62" fillId="2" borderId="0" xfId="1" applyNumberFormat="1" applyFont="1" applyFill="1" applyBorder="1" applyAlignment="1">
      <alignment horizontal="right" indent="2"/>
    </xf>
    <xf numFmtId="169" fontId="62" fillId="2" borderId="0" xfId="1" applyNumberFormat="1" applyFont="1" applyFill="1" applyBorder="1" applyAlignment="1">
      <alignment horizontal="right" indent="1"/>
    </xf>
    <xf numFmtId="169" fontId="73" fillId="0" borderId="0" xfId="1" applyNumberFormat="1" applyFont="1" applyFill="1" applyBorder="1" applyAlignment="1">
      <alignment horizontal="right"/>
    </xf>
    <xf numFmtId="169" fontId="70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2" fillId="0" borderId="3" xfId="0" applyNumberFormat="1" applyFont="1" applyBorder="1"/>
    <xf numFmtId="0" fontId="0" fillId="0" borderId="3" xfId="0" applyBorder="1"/>
    <xf numFmtId="168" fontId="62" fillId="0" borderId="3" xfId="0" applyNumberFormat="1" applyFont="1" applyBorder="1"/>
    <xf numFmtId="0" fontId="63" fillId="0" borderId="3" xfId="0" quotePrefix="1" applyFont="1" applyBorder="1" applyAlignment="1">
      <alignment horizontal="center"/>
    </xf>
    <xf numFmtId="177" fontId="0" fillId="0" borderId="0" xfId="0" applyNumberFormat="1"/>
    <xf numFmtId="178" fontId="0" fillId="0" borderId="0" xfId="0" applyNumberFormat="1"/>
    <xf numFmtId="167" fontId="62" fillId="0" borderId="0" xfId="0" applyNumberFormat="1" applyFont="1" applyAlignment="1">
      <alignment horizontal="center"/>
    </xf>
    <xf numFmtId="165" fontId="62" fillId="0" borderId="0" xfId="1" applyNumberFormat="1" applyFont="1" applyFill="1" applyAlignment="1">
      <alignment horizontal="left"/>
    </xf>
    <xf numFmtId="165" fontId="62" fillId="0" borderId="0" xfId="1" applyNumberFormat="1" applyFont="1" applyFill="1" applyAlignment="1">
      <alignment horizontal="center"/>
    </xf>
    <xf numFmtId="3" fontId="62" fillId="0" borderId="0" xfId="1" applyNumberFormat="1" applyFont="1" applyFill="1" applyBorder="1" applyAlignment="1">
      <alignment horizontal="right" indent="1"/>
    </xf>
    <xf numFmtId="3" fontId="71" fillId="0" borderId="0" xfId="0" applyNumberFormat="1" applyFont="1"/>
    <xf numFmtId="173" fontId="0" fillId="0" borderId="0" xfId="0" applyNumberFormat="1"/>
    <xf numFmtId="3" fontId="70" fillId="0" borderId="0" xfId="1" applyNumberFormat="1" applyFont="1" applyFill="1" applyAlignment="1">
      <alignment horizontal="right" indent="1"/>
    </xf>
    <xf numFmtId="37" fontId="62" fillId="0" borderId="0" xfId="1" applyNumberFormat="1" applyFont="1" applyFill="1" applyBorder="1" applyAlignment="1">
      <alignment horizontal="right" indent="2"/>
    </xf>
    <xf numFmtId="37" fontId="62" fillId="0" borderId="0" xfId="1" applyNumberFormat="1" applyFont="1" applyFill="1" applyBorder="1" applyAlignment="1">
      <alignment horizontal="right" indent="1"/>
    </xf>
    <xf numFmtId="37" fontId="62" fillId="0" borderId="0" xfId="1" applyNumberFormat="1" applyFont="1" applyFill="1" applyAlignment="1">
      <alignment horizontal="center"/>
    </xf>
    <xf numFmtId="37" fontId="62" fillId="0" borderId="0" xfId="0" applyNumberFormat="1" applyFont="1"/>
    <xf numFmtId="1" fontId="62" fillId="0" borderId="0" xfId="0" applyNumberFormat="1" applyFont="1" applyAlignment="1">
      <alignment horizontal="center"/>
    </xf>
    <xf numFmtId="170" fontId="62" fillId="0" borderId="0" xfId="0" applyNumberFormat="1" applyFont="1"/>
    <xf numFmtId="165" fontId="0" fillId="0" borderId="0" xfId="1" applyNumberFormat="1" applyFont="1" applyAlignment="1">
      <alignment horizontal="left" indent="1"/>
    </xf>
    <xf numFmtId="0" fontId="62" fillId="0" borderId="0" xfId="20" applyFont="1"/>
    <xf numFmtId="17" fontId="62" fillId="0" borderId="0" xfId="20" applyNumberFormat="1" applyFont="1" applyAlignment="1">
      <alignment horizontal="left"/>
    </xf>
    <xf numFmtId="2" fontId="62" fillId="2" borderId="0" xfId="0" applyNumberFormat="1" applyFont="1" applyFill="1" applyAlignment="1">
      <alignment horizontal="right" indent="2"/>
    </xf>
    <xf numFmtId="0" fontId="62" fillId="2" borderId="0" xfId="0" applyFont="1" applyFill="1"/>
    <xf numFmtId="164" fontId="70" fillId="0" borderId="0" xfId="1" applyNumberFormat="1" applyFont="1" applyFill="1"/>
    <xf numFmtId="172" fontId="62" fillId="0" borderId="0" xfId="12" applyNumberFormat="1" applyFont="1" applyFill="1" applyBorder="1"/>
    <xf numFmtId="2" fontId="62" fillId="0" borderId="0" xfId="12" applyNumberFormat="1" applyFont="1" applyFill="1" applyBorder="1"/>
    <xf numFmtId="167" fontId="119" fillId="0" borderId="0" xfId="0" applyNumberFormat="1" applyFont="1"/>
    <xf numFmtId="169" fontId="70" fillId="0" borderId="0" xfId="1" applyNumberFormat="1" applyFont="1" applyFill="1" applyAlignment="1">
      <alignment horizontal="right" indent="1"/>
    </xf>
    <xf numFmtId="0" fontId="62" fillId="0" borderId="2" xfId="0" applyFont="1" applyBorder="1" applyAlignment="1">
      <alignment horizontal="center"/>
    </xf>
    <xf numFmtId="0" fontId="63" fillId="0" borderId="3" xfId="0" applyFont="1" applyBorder="1" applyAlignment="1">
      <alignment horizontal="center"/>
    </xf>
    <xf numFmtId="2" fontId="72" fillId="0" borderId="0" xfId="0" applyNumberFormat="1" applyFont="1"/>
    <xf numFmtId="165" fontId="0" fillId="0" borderId="0" xfId="0" applyNumberFormat="1"/>
    <xf numFmtId="3" fontId="0" fillId="0" borderId="0" xfId="0" applyNumberFormat="1"/>
    <xf numFmtId="165" fontId="0" fillId="0" borderId="0" xfId="1" applyNumberFormat="1" applyFont="1"/>
    <xf numFmtId="0" fontId="0" fillId="2" borderId="0" xfId="0" applyFill="1"/>
    <xf numFmtId="0" fontId="53" fillId="2" borderId="0" xfId="0" applyFont="1" applyFill="1"/>
    <xf numFmtId="164" fontId="62" fillId="2" borderId="0" xfId="1" applyNumberFormat="1" applyFont="1" applyFill="1" applyBorder="1" applyAlignment="1">
      <alignment horizontal="center"/>
    </xf>
    <xf numFmtId="169" fontId="62" fillId="2" borderId="0" xfId="1" applyNumberFormat="1" applyFont="1" applyFill="1" applyBorder="1" applyAlignment="1">
      <alignment horizontal="right"/>
    </xf>
    <xf numFmtId="169" fontId="62" fillId="2" borderId="0" xfId="1" quotePrefix="1" applyNumberFormat="1" applyFont="1" applyFill="1" applyBorder="1" applyAlignment="1">
      <alignment horizontal="right"/>
    </xf>
    <xf numFmtId="174" fontId="0" fillId="2" borderId="0" xfId="0" applyNumberFormat="1" applyFill="1"/>
    <xf numFmtId="164" fontId="70" fillId="0" borderId="0" xfId="1" applyNumberFormat="1" applyFont="1" applyFill="1" applyAlignment="1">
      <alignment horizontal="right"/>
    </xf>
    <xf numFmtId="3" fontId="62" fillId="0" borderId="0" xfId="1" applyNumberFormat="1" applyFont="1" applyFill="1" applyAlignment="1">
      <alignment horizontal="right"/>
    </xf>
    <xf numFmtId="0" fontId="60" fillId="0" borderId="43" xfId="0" applyFont="1" applyBorder="1"/>
    <xf numFmtId="179" fontId="53" fillId="0" borderId="0" xfId="20" applyNumberFormat="1"/>
    <xf numFmtId="3" fontId="62" fillId="0" borderId="0" xfId="1" applyNumberFormat="1" applyFont="1" applyFill="1" applyAlignment="1">
      <alignment horizontal="right" indent="2"/>
    </xf>
    <xf numFmtId="0" fontId="68" fillId="0" borderId="1" xfId="20" applyFont="1" applyBorder="1"/>
    <xf numFmtId="0" fontId="121" fillId="0" borderId="1" xfId="394" applyFont="1" applyBorder="1" applyAlignment="1">
      <alignment horizontal="center" wrapText="1"/>
    </xf>
    <xf numFmtId="1" fontId="70" fillId="0" borderId="0" xfId="394" applyNumberFormat="1" applyFont="1" applyAlignment="1">
      <alignment horizontal="center" wrapText="1"/>
    </xf>
    <xf numFmtId="1" fontId="62" fillId="0" borderId="0" xfId="20" applyNumberFormat="1" applyFont="1"/>
    <xf numFmtId="9" fontId="62" fillId="0" borderId="0" xfId="395" applyFont="1"/>
    <xf numFmtId="0" fontId="68" fillId="0" borderId="1" xfId="20" applyFont="1" applyBorder="1" applyAlignment="1">
      <alignment wrapText="1"/>
    </xf>
    <xf numFmtId="0" fontId="68" fillId="0" borderId="1" xfId="20" applyFont="1" applyBorder="1" applyAlignment="1">
      <alignment horizontal="center"/>
    </xf>
    <xf numFmtId="0" fontId="62" fillId="0" borderId="0" xfId="20" applyFont="1" applyAlignment="1">
      <alignment vertical="center"/>
    </xf>
    <xf numFmtId="167" fontId="122" fillId="0" borderId="0" xfId="20" applyNumberFormat="1" applyFont="1"/>
    <xf numFmtId="1" fontId="62" fillId="0" borderId="0" xfId="20" applyNumberFormat="1" applyFont="1" applyAlignment="1">
      <alignment horizontal="right"/>
    </xf>
    <xf numFmtId="179" fontId="62" fillId="0" borderId="0" xfId="20" applyNumberFormat="1" applyFont="1"/>
    <xf numFmtId="0" fontId="0" fillId="0" borderId="0" xfId="0" applyAlignment="1">
      <alignment horizontal="left"/>
    </xf>
    <xf numFmtId="1" fontId="119" fillId="0" borderId="0" xfId="513" applyNumberFormat="1" applyFont="1"/>
    <xf numFmtId="1" fontId="123" fillId="0" borderId="0" xfId="513" applyNumberFormat="1" applyFont="1"/>
    <xf numFmtId="1" fontId="0" fillId="0" borderId="0" xfId="0" applyNumberFormat="1"/>
    <xf numFmtId="0" fontId="60" fillId="0" borderId="0" xfId="0" applyFont="1"/>
    <xf numFmtId="165" fontId="70" fillId="0" borderId="0" xfId="1" applyNumberFormat="1" applyFont="1" applyFill="1" applyAlignment="1">
      <alignment horizontal="center"/>
    </xf>
    <xf numFmtId="37" fontId="62" fillId="0" borderId="1" xfId="1" applyNumberFormat="1" applyFont="1" applyFill="1" applyBorder="1" applyAlignment="1">
      <alignment horizontal="center"/>
    </xf>
    <xf numFmtId="37" fontId="62" fillId="0" borderId="1" xfId="1" applyNumberFormat="1" applyFont="1" applyFill="1" applyBorder="1" applyAlignment="1">
      <alignment horizontal="right" indent="2"/>
    </xf>
    <xf numFmtId="165" fontId="62" fillId="0" borderId="1" xfId="1" applyNumberFormat="1" applyFont="1" applyFill="1" applyBorder="1"/>
    <xf numFmtId="37" fontId="62" fillId="0" borderId="1" xfId="1" applyNumberFormat="1" applyFont="1" applyFill="1" applyBorder="1" applyAlignment="1">
      <alignment horizontal="right" indent="1"/>
    </xf>
    <xf numFmtId="1" fontId="62" fillId="0" borderId="1" xfId="0" applyNumberFormat="1" applyFont="1" applyBorder="1" applyAlignment="1">
      <alignment horizontal="center"/>
    </xf>
    <xf numFmtId="1" fontId="62" fillId="0" borderId="0" xfId="14" applyNumberFormat="1" applyFont="1"/>
    <xf numFmtId="0" fontId="68" fillId="0" borderId="0" xfId="20" applyFont="1"/>
    <xf numFmtId="0" fontId="68" fillId="0" borderId="0" xfId="20" applyFont="1" applyAlignment="1">
      <alignment vertical="center"/>
    </xf>
    <xf numFmtId="1" fontId="68" fillId="0" borderId="0" xfId="20" applyNumberFormat="1" applyFont="1"/>
    <xf numFmtId="2" fontId="122" fillId="0" borderId="0" xfId="20" applyNumberFormat="1" applyFont="1"/>
    <xf numFmtId="177" fontId="122" fillId="0" borderId="0" xfId="20" applyNumberFormat="1" applyFont="1"/>
    <xf numFmtId="0" fontId="62" fillId="0" borderId="2" xfId="0" applyFont="1" applyBorder="1" applyAlignment="1">
      <alignment horizontal="center"/>
    </xf>
    <xf numFmtId="0" fontId="63" fillId="0" borderId="3" xfId="0" applyFont="1" applyBorder="1" applyAlignment="1">
      <alignment horizontal="center"/>
    </xf>
    <xf numFmtId="0" fontId="63" fillId="0" borderId="2" xfId="0" quotePrefix="1" applyFont="1" applyBorder="1" applyAlignment="1">
      <alignment horizontal="center"/>
    </xf>
    <xf numFmtId="0" fontId="63" fillId="0" borderId="5" xfId="0" quotePrefix="1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63" fillId="0" borderId="5" xfId="0" applyFont="1" applyBorder="1" applyAlignment="1">
      <alignment horizontal="center"/>
    </xf>
  </cellXfs>
  <cellStyles count="538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2 2 2" xfId="490" xr:uid="{05B06E6A-24DF-4E88-8359-FB1A2B20C218}"/>
    <cellStyle name="20% - Accent1 2 2 3" xfId="427" xr:uid="{98B64A09-388E-498E-8547-ED6E911E9008}"/>
    <cellStyle name="20% - Accent1 2 3" xfId="243" xr:uid="{DFAACE0A-DDD2-4424-B740-BFF9BF44F6DE}"/>
    <cellStyle name="20% - Accent1 2 3 2" xfId="356" xr:uid="{89AF0E59-C980-4D73-AD5F-E64685BF5A39}"/>
    <cellStyle name="20% - Accent1 2 3 2 2" xfId="524" xr:uid="{B817B76A-E28D-417D-B5E9-3235B4EEBF45}"/>
    <cellStyle name="20% - Accent1 2 3 3" xfId="461" xr:uid="{36FDAAF6-488B-4CFF-9EF7-D4D588B79B49}"/>
    <cellStyle name="20% - Accent1 2 4" xfId="311" xr:uid="{83F36799-25DE-43C1-8B40-C38E43B06862}"/>
    <cellStyle name="20% - Accent1 2 4 2" xfId="482" xr:uid="{F7F20C40-F23D-4222-96D9-093D64E9179D}"/>
    <cellStyle name="20% - Accent1 2 5" xfId="420" xr:uid="{086CCB9A-F10F-4BD0-AECC-CECF83F47246}"/>
    <cellStyle name="20% - Accent1 3" xfId="176" xr:uid="{32B0355E-6EDE-4BFF-8288-D97DAF58BA3D}"/>
    <cellStyle name="20% - Accent1 3 2" xfId="323" xr:uid="{8B8A3324-DDA2-4DDC-A40B-277C58DF2E59}"/>
    <cellStyle name="20% - Accent1 3 2 2" xfId="491" xr:uid="{889EB50F-F9C4-42E0-BB6A-E236776D753A}"/>
    <cellStyle name="20% - Accent1 3 3" xfId="428" xr:uid="{36BE12E4-AA0F-4205-82D6-9FB17C14369E}"/>
    <cellStyle name="20% - Accent1 4" xfId="252" xr:uid="{7CEC33F6-0A54-4986-816D-B5CD86F3443E}"/>
    <cellStyle name="20% - Accent1 5" xfId="298" xr:uid="{81C6ED3D-ADA8-4DD1-AB90-65CBC92DDD4E}"/>
    <cellStyle name="20% - Accent1 5 2" xfId="470" xr:uid="{4F3D7150-E006-460C-9645-62992F51D10D}"/>
    <cellStyle name="20% - Accent1 6" xfId="401" xr:uid="{9AE55E89-F9DF-4833-9F62-326D28BA61AC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2 2 2" xfId="492" xr:uid="{FD8075D9-B0CB-45B8-90F1-6558E750DC91}"/>
    <cellStyle name="20% - Accent2 2 2 3" xfId="429" xr:uid="{566529F4-1A18-4101-B0F0-37DDEB028598}"/>
    <cellStyle name="20% - Accent2 2 3" xfId="244" xr:uid="{50C5342E-7F4E-4DA0-8BB2-B9DC64C75676}"/>
    <cellStyle name="20% - Accent2 2 3 2" xfId="357" xr:uid="{A9E457CE-E606-46C1-BAD6-9F04036F9737}"/>
    <cellStyle name="20% - Accent2 2 3 2 2" xfId="525" xr:uid="{37A61EF5-9CF6-4CF5-A478-9053958EF6DD}"/>
    <cellStyle name="20% - Accent2 2 3 3" xfId="462" xr:uid="{9C712771-9205-463F-8A2A-699C5A2B56F6}"/>
    <cellStyle name="20% - Accent2 2 4" xfId="312" xr:uid="{A2CC103D-9803-49B7-AFE1-C11F6B1DCEA6}"/>
    <cellStyle name="20% - Accent2 2 4 2" xfId="483" xr:uid="{AF9F4BBE-D758-41BA-9BB3-BD9F7D4CB478}"/>
    <cellStyle name="20% - Accent2 2 5" xfId="422" xr:uid="{848DBB74-DB0A-4D71-9107-A5404B5A64B1}"/>
    <cellStyle name="20% - Accent2 3" xfId="178" xr:uid="{6C171EA5-10E1-4380-B85D-BD9AB947C93B}"/>
    <cellStyle name="20% - Accent2 3 2" xfId="325" xr:uid="{8D668A50-5F39-4645-A90D-54BF2D4958AE}"/>
    <cellStyle name="20% - Accent2 3 2 2" xfId="493" xr:uid="{F89209B8-F09F-4A5F-8810-130D5C2CC010}"/>
    <cellStyle name="20% - Accent2 3 3" xfId="430" xr:uid="{0D7049A8-EE28-4F58-84DB-63A1443CAB48}"/>
    <cellStyle name="20% - Accent2 4" xfId="253" xr:uid="{237A4AE0-05DB-4BBC-9FC6-21F8CB9985F9}"/>
    <cellStyle name="20% - Accent2 5" xfId="300" xr:uid="{C5ABCD5F-0592-416F-9073-4C31AB0B7D76}"/>
    <cellStyle name="20% - Accent2 5 2" xfId="472" xr:uid="{5AF29854-C227-4929-99B2-BE93300556DC}"/>
    <cellStyle name="20% - Accent2 6" xfId="404" xr:uid="{3D0D8644-B29F-4FCE-929C-B25E3956A311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2 2 2" xfId="494" xr:uid="{974536C2-58F3-406D-8748-6FDC6543620C}"/>
    <cellStyle name="20% - Accent3 2 2 3" xfId="431" xr:uid="{255DC329-D995-4A83-8073-1CF63816F071}"/>
    <cellStyle name="20% - Accent3 2 3" xfId="245" xr:uid="{2125FD0B-95F0-4249-A4C0-85785EC5E189}"/>
    <cellStyle name="20% - Accent3 2 3 2" xfId="358" xr:uid="{A7994EDF-6D4F-4DD2-AA80-E7ECD9EC5D2A}"/>
    <cellStyle name="20% - Accent3 2 3 2 2" xfId="526" xr:uid="{0F7AD21D-71FA-4094-835A-B89F5E41ACA8}"/>
    <cellStyle name="20% - Accent3 2 3 3" xfId="463" xr:uid="{7F2ACC1A-47E5-4F38-BD04-F43018463B0E}"/>
    <cellStyle name="20% - Accent3 2 4" xfId="313" xr:uid="{A392E008-3993-4913-9A74-2289F3F558F7}"/>
    <cellStyle name="20% - Accent3 2 4 2" xfId="484" xr:uid="{0F207972-337D-49E2-B0F0-7D42B6694A27}"/>
    <cellStyle name="20% - Accent3 2 5" xfId="421" xr:uid="{5D3063C4-DBB5-4EC4-882C-73CF8DBE8321}"/>
    <cellStyle name="20% - Accent3 3" xfId="180" xr:uid="{AE82C847-78D6-4B97-8441-AA51646614B2}"/>
    <cellStyle name="20% - Accent3 3 2" xfId="327" xr:uid="{E4842C73-CF9A-46A7-A8D4-C720BAFECC2A}"/>
    <cellStyle name="20% - Accent3 3 2 2" xfId="495" xr:uid="{410357B9-A7B2-4AA2-8A86-4A1D809C069C}"/>
    <cellStyle name="20% - Accent3 3 3" xfId="432" xr:uid="{841DAC20-742F-4203-A047-B4AF5C721A19}"/>
    <cellStyle name="20% - Accent3 4" xfId="254" xr:uid="{40569062-D533-4274-94AE-C7B495BBBAF4}"/>
    <cellStyle name="20% - Accent3 5" xfId="302" xr:uid="{75FC9417-6D6F-4BEC-BBB5-1652C952A4F2}"/>
    <cellStyle name="20% - Accent3 5 2" xfId="474" xr:uid="{534E3502-C93C-417F-940C-C2C89106AE30}"/>
    <cellStyle name="20% - Accent3 6" xfId="407" xr:uid="{20C864A9-6ED5-41D6-AFE6-DD1317EFD3AD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2 2 2" xfId="496" xr:uid="{A2E3C7DB-32C1-4F50-9404-3F2890C20254}"/>
    <cellStyle name="20% - Accent4 2 2 3" xfId="433" xr:uid="{663B3809-24D4-4727-B390-B3B671049AAA}"/>
    <cellStyle name="20% - Accent4 2 3" xfId="246" xr:uid="{838D636A-4D49-422F-90B8-C14A3182ECA3}"/>
    <cellStyle name="20% - Accent4 2 3 2" xfId="359" xr:uid="{2D26635D-7002-48A3-80B5-01782ECEA560}"/>
    <cellStyle name="20% - Accent4 2 3 2 2" xfId="527" xr:uid="{675D849B-113D-498E-8A44-84CE6FC31084}"/>
    <cellStyle name="20% - Accent4 2 3 3" xfId="464" xr:uid="{82DCE161-AF0A-4B71-AF06-7F6149BB8AFE}"/>
    <cellStyle name="20% - Accent4 2 4" xfId="314" xr:uid="{413645D3-3617-43F7-8ECE-552A73C745C5}"/>
    <cellStyle name="20% - Accent4 2 4 2" xfId="485" xr:uid="{19EC5665-1856-492B-938C-93B4E17C042C}"/>
    <cellStyle name="20% - Accent4 2 5" xfId="419" xr:uid="{298E3CDE-5ABB-46E6-867C-321CF30960B7}"/>
    <cellStyle name="20% - Accent4 3" xfId="182" xr:uid="{77FDE77B-07DD-4466-9C33-45F5E347F898}"/>
    <cellStyle name="20% - Accent4 3 2" xfId="329" xr:uid="{930BA819-24FD-4A10-BCCB-54EEAB1CF8E2}"/>
    <cellStyle name="20% - Accent4 3 2 2" xfId="497" xr:uid="{EECCE36F-6F8F-49E0-B34E-A2E5C651A49C}"/>
    <cellStyle name="20% - Accent4 3 3" xfId="434" xr:uid="{DD8EE5B2-022E-4B7C-B135-2C09592351A9}"/>
    <cellStyle name="20% - Accent4 4" xfId="255" xr:uid="{334DB917-1D99-4C5B-BA46-F86B4E671325}"/>
    <cellStyle name="20% - Accent4 5" xfId="304" xr:uid="{2A33F46A-D1F4-4B8C-A158-560DBF1B8215}"/>
    <cellStyle name="20% - Accent4 5 2" xfId="476" xr:uid="{ED228748-6482-488F-A1CD-7ADE1584E823}"/>
    <cellStyle name="20% - Accent4 6" xfId="410" xr:uid="{10EED916-9101-4C03-8B9C-7DD699553004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2 2 2" xfId="498" xr:uid="{1D86306B-9BD1-4AD3-A91D-DBCA215FE57E}"/>
    <cellStyle name="20% - Accent5 2 3" xfId="435" xr:uid="{26D81158-61C6-4E17-ABE6-C7E7EE14685D}"/>
    <cellStyle name="20% - Accent5 3" xfId="236" xr:uid="{40BC7363-BC63-477D-A10D-0F2E3F55AA99}"/>
    <cellStyle name="20% - Accent5 3 2" xfId="350" xr:uid="{8732B83C-2480-4354-8CF6-248EE2B9ADCC}"/>
    <cellStyle name="20% - Accent5 3 2 2" xfId="518" xr:uid="{BF1FB6F2-B7AD-4A61-AEBD-F79CDFCADB37}"/>
    <cellStyle name="20% - Accent5 3 3" xfId="455" xr:uid="{D51CB28A-3E2F-4687-AA42-F3F9E73DDA60}"/>
    <cellStyle name="20% - Accent5 4" xfId="256" xr:uid="{51945EF0-DD1C-4DB0-B69C-82333019E54F}"/>
    <cellStyle name="20% - Accent5 5" xfId="306" xr:uid="{546C1E55-CAAA-4E78-BCC7-72F62F6CC03E}"/>
    <cellStyle name="20% - Accent5 5 2" xfId="478" xr:uid="{712CC58B-8028-43EC-A508-FF491449446A}"/>
    <cellStyle name="20% - Accent5 6" xfId="413" xr:uid="{6D79C247-9518-45AF-B8B5-3D8A5CC7A6EA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2 2 2" xfId="499" xr:uid="{B507CBB1-E801-488B-BE6B-3C5CCD6AAAB1}"/>
    <cellStyle name="20% - Accent6 2 3" xfId="436" xr:uid="{8E75EACB-7CF0-4A6C-B29E-2412055A7AA1}"/>
    <cellStyle name="20% - Accent6 3" xfId="238" xr:uid="{7DBFE8B8-91F0-4793-ABE2-D608172D3176}"/>
    <cellStyle name="20% - Accent6 3 2" xfId="352" xr:uid="{A0B804D4-E275-4465-9F36-8E5FDA8D4B68}"/>
    <cellStyle name="20% - Accent6 3 2 2" xfId="520" xr:uid="{27938787-218C-40F0-BFD3-F2CBF3B4AED7}"/>
    <cellStyle name="20% - Accent6 3 3" xfId="457" xr:uid="{DF3B5D8D-1452-44A7-9BAD-C21E4DA6BC0E}"/>
    <cellStyle name="20% - Accent6 4" xfId="257" xr:uid="{B7EE85F8-3FF2-474C-BBAE-44ACD6D57C35}"/>
    <cellStyle name="20% - Accent6 5" xfId="308" xr:uid="{68BBBA63-83F4-44A7-B274-B556A530E939}"/>
    <cellStyle name="20% - Accent6 5 2" xfId="480" xr:uid="{556F5A4F-9322-4F2F-A94B-FFF7A6F4194C}"/>
    <cellStyle name="20% - Accent6 6" xfId="416" xr:uid="{CD78C615-BA09-4262-B0D1-6513B382AEBF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2 2 2" xfId="500" xr:uid="{A2668E37-3A59-4154-8598-FDE09FF46FA7}"/>
    <cellStyle name="40% - Accent1 2 3" xfId="437" xr:uid="{ACA7AA49-3B24-4A63-92BF-BEADF786DA90}"/>
    <cellStyle name="40% - Accent1 3" xfId="233" xr:uid="{8C33CEFE-CC5C-41A1-839B-2AAF91F0C1D8}"/>
    <cellStyle name="40% - Accent1 3 2" xfId="347" xr:uid="{5ED618F1-0BEC-46B3-A47C-4FA55A325B90}"/>
    <cellStyle name="40% - Accent1 3 2 2" xfId="515" xr:uid="{EA31D1C6-B7E1-4546-9187-37ACB8966965}"/>
    <cellStyle name="40% - Accent1 3 3" xfId="452" xr:uid="{C02B00A7-69E6-471A-948C-9631F7A9BABE}"/>
    <cellStyle name="40% - Accent1 4" xfId="258" xr:uid="{8B777513-D1B3-4C8B-8CE8-8107E98F2BC1}"/>
    <cellStyle name="40% - Accent1 5" xfId="299" xr:uid="{7827FBB3-A345-4F9A-88F9-27F0AB5A21E0}"/>
    <cellStyle name="40% - Accent1 5 2" xfId="471" xr:uid="{FA47CBD9-C864-44BE-8539-D2518BD2BE6D}"/>
    <cellStyle name="40% - Accent1 6" xfId="402" xr:uid="{5D5C0E05-40B6-4D0A-96A8-CD63C8EF6882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2 2 2" xfId="501" xr:uid="{134BF49D-03FA-4644-8742-FBC3E919AD11}"/>
    <cellStyle name="40% - Accent2 2 3" xfId="438" xr:uid="{B54C0DF4-ADC1-4C79-A6BC-21809FB91E04}"/>
    <cellStyle name="40% - Accent2 3" xfId="234" xr:uid="{B4CFA444-0118-42F0-9897-949B6223DBF9}"/>
    <cellStyle name="40% - Accent2 3 2" xfId="348" xr:uid="{F3A1CBFD-6F73-46AD-AB1A-D32E4FD21EA8}"/>
    <cellStyle name="40% - Accent2 3 2 2" xfId="516" xr:uid="{34D36D1A-AA18-492E-A9D4-E440FB67166D}"/>
    <cellStyle name="40% - Accent2 3 3" xfId="453" xr:uid="{C75D91F0-4DB5-47EE-BCD1-F36512805169}"/>
    <cellStyle name="40% - Accent2 4" xfId="259" xr:uid="{549F399D-1062-428D-9AC8-FBC8557D9F48}"/>
    <cellStyle name="40% - Accent2 5" xfId="301" xr:uid="{67B23B7D-1D29-42DA-970E-0A43CCBCC567}"/>
    <cellStyle name="40% - Accent2 5 2" xfId="473" xr:uid="{B47B0FFA-E90D-44B0-98FA-00CDA933A612}"/>
    <cellStyle name="40% - Accent2 6" xfId="405" xr:uid="{5D34ACBE-F302-4E08-9D42-4072FA9DFEE4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2 2 2" xfId="502" xr:uid="{D1BB7990-5024-4D6E-B487-7614F6EE4E2D}"/>
    <cellStyle name="40% - Accent3 2 2 3" xfId="439" xr:uid="{22D31CA8-2A99-4D12-9457-12A6399E0841}"/>
    <cellStyle name="40% - Accent3 2 3" xfId="247" xr:uid="{A2DEB99B-97E6-4EF4-9FD3-29FEFC420526}"/>
    <cellStyle name="40% - Accent3 2 3 2" xfId="360" xr:uid="{02EDD4DA-104B-4770-ABD1-B23BB75CFE57}"/>
    <cellStyle name="40% - Accent3 2 3 2 2" xfId="528" xr:uid="{FCDA4FA9-7A03-4527-9B4F-F0BDAB80F56E}"/>
    <cellStyle name="40% - Accent3 2 3 3" xfId="465" xr:uid="{B869BA9D-0467-4142-BA95-C65B205992B0}"/>
    <cellStyle name="40% - Accent3 2 4" xfId="315" xr:uid="{50109117-B1D7-416F-85D2-1905AC7D5D35}"/>
    <cellStyle name="40% - Accent3 2 4 2" xfId="486" xr:uid="{E24974DF-E6E0-4FAD-BE12-F71C6EA39334}"/>
    <cellStyle name="40% - Accent3 2 5" xfId="423" xr:uid="{8C88AD88-EB60-4EBD-BFBA-08EC71A5427B}"/>
    <cellStyle name="40% - Accent3 3" xfId="188" xr:uid="{9C3CF690-7980-4ECA-8F06-921AB199361D}"/>
    <cellStyle name="40% - Accent3 3 2" xfId="335" xr:uid="{CEBB930C-DF9D-4C47-895D-3C9ED9C9EAA8}"/>
    <cellStyle name="40% - Accent3 3 2 2" xfId="503" xr:uid="{723DD0FC-1199-4C0B-A8FD-26AE7C4C2845}"/>
    <cellStyle name="40% - Accent3 3 3" xfId="440" xr:uid="{694DC383-9302-4A9E-A529-E34152CD3D9E}"/>
    <cellStyle name="40% - Accent3 4" xfId="260" xr:uid="{80304610-2D8E-4B30-B34D-D8A71CE05920}"/>
    <cellStyle name="40% - Accent3 5" xfId="303" xr:uid="{199ED734-CD86-4C36-AE44-313B54D2560E}"/>
    <cellStyle name="40% - Accent3 5 2" xfId="475" xr:uid="{A95CEA32-6891-4C0B-8FC9-B8CD34F50A1A}"/>
    <cellStyle name="40% - Accent3 6" xfId="408" xr:uid="{AA9ACA67-A789-4509-86BA-E06168708FD7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2 2 2" xfId="504" xr:uid="{419B4880-AC33-4A18-9D16-C437D9355620}"/>
    <cellStyle name="40% - Accent4 2 3" xfId="441" xr:uid="{734B397A-E07F-4B1E-A87F-6616F55A196C}"/>
    <cellStyle name="40% - Accent4 3" xfId="235" xr:uid="{22417DB5-E2A1-4D00-B201-B53B427D4D20}"/>
    <cellStyle name="40% - Accent4 3 2" xfId="349" xr:uid="{9A1C5949-45A2-4555-9F6D-FB14F3F248CA}"/>
    <cellStyle name="40% - Accent4 3 2 2" xfId="517" xr:uid="{86AD1500-D519-419F-B985-ABF2E2E6CD4A}"/>
    <cellStyle name="40% - Accent4 3 3" xfId="454" xr:uid="{689F55CF-C46E-4450-949C-6B32D1B70890}"/>
    <cellStyle name="40% - Accent4 4" xfId="261" xr:uid="{4C8A0805-8AA3-4DB1-98CB-F31F9359EDB0}"/>
    <cellStyle name="40% - Accent4 5" xfId="305" xr:uid="{4B251191-154A-40E7-A5B0-F5FE257BE24F}"/>
    <cellStyle name="40% - Accent4 5 2" xfId="477" xr:uid="{7E0DE6E3-190C-4D5A-8400-6676FEFD221F}"/>
    <cellStyle name="40% - Accent4 6" xfId="411" xr:uid="{9A5F11E6-C9A7-46F9-875F-BC9D7A769A54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2 2 2" xfId="505" xr:uid="{9AAC9F53-C97D-478F-B7D7-02A5D1E231AC}"/>
    <cellStyle name="40% - Accent5 2 3" xfId="442" xr:uid="{3BE0039B-35BF-4E73-939E-345C6EAD9816}"/>
    <cellStyle name="40% - Accent5 3" xfId="237" xr:uid="{F38E99A5-6F6D-4DC6-BAEE-A13B30749A74}"/>
    <cellStyle name="40% - Accent5 3 2" xfId="351" xr:uid="{48002B42-4D23-4F44-847A-76BC1AF48B43}"/>
    <cellStyle name="40% - Accent5 3 2 2" xfId="519" xr:uid="{4BBD9FB1-52AC-46EB-8C7C-E901BAFBDAE0}"/>
    <cellStyle name="40% - Accent5 3 3" xfId="456" xr:uid="{D48993EB-0E55-4564-9646-4EF5B22237C6}"/>
    <cellStyle name="40% - Accent5 4" xfId="262" xr:uid="{B47CD729-C3F7-4D30-A7E7-18FCFB9384B7}"/>
    <cellStyle name="40% - Accent5 5" xfId="307" xr:uid="{BF2053DF-5B31-4B9D-B385-CCAD6C7690C1}"/>
    <cellStyle name="40% - Accent5 5 2" xfId="479" xr:uid="{12131CFC-75DD-406A-A90C-0AD48ABB8B72}"/>
    <cellStyle name="40% - Accent5 6" xfId="414" xr:uid="{838CB0CC-32D0-461F-9816-82A8EA384AC7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2 2 2" xfId="506" xr:uid="{AEE881A5-7AE9-4997-8146-3A1F10772217}"/>
    <cellStyle name="40% - Accent6 2 3" xfId="443" xr:uid="{B83BC04A-B5C9-4765-A660-781554A145B5}"/>
    <cellStyle name="40% - Accent6 3" xfId="239" xr:uid="{88061550-1FA6-4BD2-B11A-00A693901AF5}"/>
    <cellStyle name="40% - Accent6 3 2" xfId="353" xr:uid="{152B9510-68A0-49D7-8915-5D25E0B9BF37}"/>
    <cellStyle name="40% - Accent6 3 2 2" xfId="521" xr:uid="{461E0B48-C29C-4895-9E49-6F6F1737C64A}"/>
    <cellStyle name="40% - Accent6 3 3" xfId="458" xr:uid="{37D4E867-A15B-4049-84CB-30D6653A51FB}"/>
    <cellStyle name="40% - Accent6 4" xfId="263" xr:uid="{10120615-3E3F-4139-B9C5-3692E7333EF1}"/>
    <cellStyle name="40% - Accent6 5" xfId="309" xr:uid="{85E09836-C196-48D4-9646-6C568398DFDF}"/>
    <cellStyle name="40% - Accent6 5 2" xfId="481" xr:uid="{51932311-F302-4AF0-AFEC-F1C0623F1CDC}"/>
    <cellStyle name="40% - Accent6 6" xfId="417" xr:uid="{CE7C6004-06A6-4B1B-ACF7-816AA42E73FD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1 4" xfId="403" xr:uid="{5DBE0589-4232-49F5-812C-A4F6BCED3BA9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2 4" xfId="406" xr:uid="{F5627EDE-E682-465D-9D1F-D118CD6EDB28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3 6" xfId="409" xr:uid="{46637A8A-4297-41E6-BAF1-E773C745165F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4 6" xfId="412" xr:uid="{BDB8699B-ADBD-4521-8A34-3395B894A8FE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5 4" xfId="415" xr:uid="{97FF358C-2EF0-4DCA-902C-BB48F5929612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60% - Accent6 6" xfId="418" xr:uid="{6C0963F7-3A1A-49F5-82FE-CE0AAB94BDF1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alculation 2 5" xfId="532" xr:uid="{80EA1E4E-0792-49F2-8CDD-9DB3675CA249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2 2" xfId="523" xr:uid="{20382AEF-507A-41FE-9713-7F3F7110F229}"/>
    <cellStyle name="Comma 19 3" xfId="241" xr:uid="{09364125-AA71-40DB-B3C6-6BFD41F7464D}"/>
    <cellStyle name="Comma 19 4" xfId="460" xr:uid="{F477A857-0E92-4671-A252-023A41BF204C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2 2" xfId="507" xr:uid="{7C3DBD12-55CE-40A6-AD91-611EF5C5F577}"/>
    <cellStyle name="Comma 2 2 3" xfId="203" xr:uid="{89AB8884-F733-449C-AE7A-12097AC2A627}"/>
    <cellStyle name="Comma 2 2 4" xfId="444" xr:uid="{19E12DBB-EE46-452D-A498-55B0BA630A9F}"/>
    <cellStyle name="Comma 2 3" xfId="248" xr:uid="{BA8E939A-B93A-4154-91FB-F6AF914A8C02}"/>
    <cellStyle name="Comma 2 3 2" xfId="361" xr:uid="{F1ED8589-0281-46E3-B46B-177F35A05B8D}"/>
    <cellStyle name="Comma 2 3 2 2" xfId="529" xr:uid="{0720A1B0-B8AD-4E61-9CD3-67FA6FCB3A19}"/>
    <cellStyle name="Comma 2 3 3" xfId="466" xr:uid="{D5CA8969-DBCC-4942-9628-E03149169FB4}"/>
    <cellStyle name="Comma 2 4" xfId="279" xr:uid="{3681BAD9-AD19-4234-B953-6B890ACD5432}"/>
    <cellStyle name="Comma 2 5" xfId="316" xr:uid="{0C178AA8-28C5-4254-B134-FAA54793A4FC}"/>
    <cellStyle name="Comma 2 5 2" xfId="487" xr:uid="{B421F866-52F5-4586-B278-AC21FC31A6A7}"/>
    <cellStyle name="Comma 2 6" xfId="154" xr:uid="{F70197A6-DA58-43B6-943A-AD1DCB6219F8}"/>
    <cellStyle name="Comma 2 7" xfId="424" xr:uid="{CA0AA54C-3DF2-4BD1-9698-E680398BF580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24" xfId="396" xr:uid="{26B9BC8F-EA4D-45D6-87B4-E2BC305C933A}"/>
    <cellStyle name="Comma 25" xfId="399" xr:uid="{25E08F24-082F-4A87-82B8-BD9544518156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2 3" xfId="508" xr:uid="{CA4946FD-60E0-4280-840F-EDC47B5BFBC3}"/>
    <cellStyle name="Comma 4 3" xfId="204" xr:uid="{64B597EF-614B-48C9-9308-DFFB65FAF003}"/>
    <cellStyle name="Comma 4 4" xfId="445" xr:uid="{DA87397E-E44E-4267-8654-6BC7340240A9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Input 2 5" xfId="533" xr:uid="{089FDFEE-2E79-4391-A2E9-EFE50EEF453F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1 9 2" xfId="394" xr:uid="{07A513BC-77EF-480F-AC79-ABF1EE013C34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8 2 2" xfId="513" xr:uid="{3204510C-1F56-4554-B8F8-4E408B4775BA}"/>
    <cellStyle name="Normal 18 3" xfId="450" xr:uid="{0A31AA5F-164E-4594-AE34-7D996B785216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0 2" xfId="469" xr:uid="{CECAC5B7-563F-4937-99A1-2C86E434C1DA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24" xfId="397" xr:uid="{9E817E53-3D19-43D1-8674-DC0BA6F4F565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2 2 2" xfId="509" xr:uid="{07B0E387-4C54-4313-94CC-7440F183E9FB}"/>
    <cellStyle name="Normal 6 2 3" xfId="446" xr:uid="{1BE2B0A0-C1D6-474D-A6F1-71485FCF5C32}"/>
    <cellStyle name="Normal 6 3" xfId="250" xr:uid="{946EAB2F-3003-438D-AECA-E36A970A2718}"/>
    <cellStyle name="Normal 6 3 2" xfId="362" xr:uid="{12BACF06-EA48-4382-91FB-563037CC3A6F}"/>
    <cellStyle name="Normal 6 3 2 2" xfId="530" xr:uid="{CB892455-AC46-4A8E-9402-A820140506A7}"/>
    <cellStyle name="Normal 6 3 3" xfId="467" xr:uid="{42FEE5EB-A9D9-4285-A8C9-AAED5BBFD307}"/>
    <cellStyle name="Normal 6 4" xfId="289" xr:uid="{0EC8BBF7-2579-442B-B652-39916CBF4B7C}"/>
    <cellStyle name="Normal 6 5" xfId="317" xr:uid="{2E522AAE-3A43-4D85-9BC9-D75DF67CA993}"/>
    <cellStyle name="Normal 6 5 2" xfId="488" xr:uid="{538C26A6-2F02-4606-9B8B-664A1F5ADA0C}"/>
    <cellStyle name="Normal 6 6" xfId="169" xr:uid="{808CEDD4-B41F-4D2C-982F-C9996D1BAA59}"/>
    <cellStyle name="Normal 6 7" xfId="425" xr:uid="{9615BE54-4CBE-4916-AB95-691C065DCB5C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2 3" xfId="510" xr:uid="{32A30A07-1A4B-467F-8E16-4E192EDE4574}"/>
    <cellStyle name="Normal 9 3" xfId="215" xr:uid="{6F223409-C652-4E49-AD52-D3363DDC15E9}"/>
    <cellStyle name="Normal 9 4" xfId="447" xr:uid="{463FAE72-5C43-4756-845D-1BCA8D9EF04E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2 2 2" xfId="511" xr:uid="{7A438C1B-4F76-4A9B-9E10-D8E721394356}"/>
    <cellStyle name="Note 2 2 3" xfId="448" xr:uid="{F0C7965A-A9A6-4729-AE4F-E6B95123599A}"/>
    <cellStyle name="Note 2 3" xfId="251" xr:uid="{FD29B074-0975-4C84-B020-F6AFF1851528}"/>
    <cellStyle name="Note 2 3 2" xfId="363" xr:uid="{50FF0CC4-B61A-4B7C-A7A5-65EFC15AC715}"/>
    <cellStyle name="Note 2 3 2 2" xfId="531" xr:uid="{650DE1C0-D70A-4440-88AC-4EFAD5A2CE21}"/>
    <cellStyle name="Note 2 3 3" xfId="468" xr:uid="{02971889-FFED-466D-99FF-DF1210F3BF73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4 5" xfId="535" xr:uid="{EA6AC9D5-3811-477F-B153-E26EA137DE61}"/>
    <cellStyle name="Note 2 5" xfId="318" xr:uid="{B3F27023-4B65-487D-85FA-119154F7A601}"/>
    <cellStyle name="Note 2 5 2" xfId="489" xr:uid="{BDFF026C-22A7-4B40-B2D0-0A45C4939EFE}"/>
    <cellStyle name="Note 2 6" xfId="426" xr:uid="{57CD975C-CBA2-43FD-8B00-BF6155D01DCB}"/>
    <cellStyle name="Note 3" xfId="217" xr:uid="{A7C0021F-FA46-4B96-89A8-7F34D94EC6D7}"/>
    <cellStyle name="Note 3 2" xfId="344" xr:uid="{C8A3A4EC-5754-4556-B45B-E9F0EB3392A3}"/>
    <cellStyle name="Note 3 2 2" xfId="512" xr:uid="{2AF03C31-DCBA-48A0-8DCC-65215EB5B118}"/>
    <cellStyle name="Note 3 3" xfId="449" xr:uid="{CE7A78AD-10EA-4619-A3B2-CE8D4035EA71}"/>
    <cellStyle name="Note 4" xfId="232" xr:uid="{674244FC-6EC5-411F-89FA-4B0E9038DE2A}"/>
    <cellStyle name="Note 4 2" xfId="346" xr:uid="{476131BE-25DB-416D-A65E-21EF7F48DC69}"/>
    <cellStyle name="Note 4 2 2" xfId="514" xr:uid="{C1EB9865-7604-4A48-BEDC-554B4890F689}"/>
    <cellStyle name="Note 4 3" xfId="451" xr:uid="{1D673770-0746-449A-A0A5-B38D3D2F2DF2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5 5" xfId="534" xr:uid="{4F047C22-9170-4F33-93B2-2242B8DF5BE0}"/>
    <cellStyle name="Note 6" xfId="143" xr:uid="{76A629B7-C611-430C-B43D-08A666E8CF1D}"/>
    <cellStyle name="Note 7" xfId="400" xr:uid="{6D65B6CE-61EF-45DD-BCDA-5D6653CCCB50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Output 2 5" xfId="536" xr:uid="{0E638A27-1413-4B7C-9386-0C099ECE9030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2 2 2" xfId="522" xr:uid="{F6493DB8-E085-49B5-90A8-552B63B8E6B1}"/>
    <cellStyle name="Percent 12 3" xfId="459" xr:uid="{86259A49-0CFD-4911-95F0-A96FA8BD0AD2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17" xfId="395" xr:uid="{DFECE782-C944-4E99-AF4B-F8CE5889D79D}"/>
    <cellStyle name="Percent 18" xfId="398" xr:uid="{5BB29555-DD0A-4490-B063-F3A79C7F0D2B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Total 2 5" xfId="537" xr:uid="{A90B6C78-34DA-4288-9E9C-310C6FDEB6C8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9429FF"/>
      <color rgb="FF0000FF"/>
      <color rgb="FF00B050"/>
      <color rgb="FFFFCC66"/>
      <color rgb="FFFFFF00"/>
      <color rgb="FFC0502F"/>
      <color rgb="FFFFCF01"/>
      <color rgb="FFFA6400"/>
      <color rgb="FFFFD9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/>
            </a:pPr>
            <a:r>
              <a:rPr lang="en-US" sz="1000" b="1" i="0" baseline="0">
                <a:effectLst/>
              </a:rPr>
              <a:t>U.S. soybean oil exports and soybean oil and palm oil price spread, October 2022–December 2024</a:t>
            </a:r>
            <a:endParaRPr lang="en-US" sz="1000" b="1">
              <a:effectLst/>
            </a:endParaRPr>
          </a:p>
        </c:rich>
      </c:tx>
      <c:layout>
        <c:manualLayout>
          <c:xMode val="edge"/>
          <c:yMode val="edge"/>
          <c:x val="2.7336479721360371E-3"/>
          <c:y val="3.57227540620084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45622835037819E-2"/>
          <c:y val="0.21473465335989864"/>
          <c:w val="0.86235659301663559"/>
          <c:h val="0.55352824272091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Soybean oil exports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26"/>
            <c:invertIfNegative val="0"/>
            <c:bubble3D val="0"/>
            <c:spPr>
              <a:pattFill prst="wdDnDiag">
                <a:fgClr>
                  <a:srgbClr val="70AD47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03E-44D9-8886-F10841A9A4E5}"/>
              </c:ext>
            </c:extLst>
          </c:dPt>
          <c:cat>
            <c:numRef>
              <c:f>'Figure 1'!$A$2:$A$28</c:f>
              <c:numCache>
                <c:formatCode>mmm\.\ yy</c:formatCode>
                <c:ptCount val="27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  <c:pt idx="24">
                  <c:v>45566</c:v>
                </c:pt>
                <c:pt idx="25">
                  <c:v>45597</c:v>
                </c:pt>
                <c:pt idx="26">
                  <c:v>45627</c:v>
                </c:pt>
              </c:numCache>
            </c:numRef>
          </c:cat>
          <c:val>
            <c:numRef>
              <c:f>'Figure 1'!$B$2:$B$28</c:f>
              <c:numCache>
                <c:formatCode>_(* #,##0_);_(* \(#,##0\);_(* "-"??_);_(@_)</c:formatCode>
                <c:ptCount val="27"/>
                <c:pt idx="0">
                  <c:v>23.442413705245993</c:v>
                </c:pt>
                <c:pt idx="1">
                  <c:v>23.447043412747995</c:v>
                </c:pt>
                <c:pt idx="2">
                  <c:v>34.799527132175989</c:v>
                </c:pt>
                <c:pt idx="3">
                  <c:v>15.413178123205997</c:v>
                </c:pt>
                <c:pt idx="4">
                  <c:v>25.948849161923999</c:v>
                </c:pt>
                <c:pt idx="5">
                  <c:v>12.624550971167997</c:v>
                </c:pt>
                <c:pt idx="6">
                  <c:v>60.624476502855984</c:v>
                </c:pt>
                <c:pt idx="7">
                  <c:v>49.898105607507993</c:v>
                </c:pt>
                <c:pt idx="8">
                  <c:v>40.435865322467997</c:v>
                </c:pt>
                <c:pt idx="9">
                  <c:v>37.193526835233996</c:v>
                </c:pt>
                <c:pt idx="10">
                  <c:v>26.090165471865994</c:v>
                </c:pt>
                <c:pt idx="11">
                  <c:v>27.992534330663997</c:v>
                </c:pt>
                <c:pt idx="12">
                  <c:v>12.961417307503998</c:v>
                </c:pt>
                <c:pt idx="13">
                  <c:v>13.697540800321999</c:v>
                </c:pt>
                <c:pt idx="14">
                  <c:v>12.809298346723997</c:v>
                </c:pt>
                <c:pt idx="15">
                  <c:v>11.506366378303998</c:v>
                </c:pt>
                <c:pt idx="16">
                  <c:v>14.220477285785996</c:v>
                </c:pt>
                <c:pt idx="17">
                  <c:v>98.746369923371986</c:v>
                </c:pt>
                <c:pt idx="18">
                  <c:v>22.345834414057997</c:v>
                </c:pt>
                <c:pt idx="19">
                  <c:v>93.714980180007998</c:v>
                </c:pt>
                <c:pt idx="20">
                  <c:v>115.32711618612998</c:v>
                </c:pt>
                <c:pt idx="21">
                  <c:v>97.074384128363988</c:v>
                </c:pt>
                <c:pt idx="22">
                  <c:v>64.004603903839993</c:v>
                </c:pt>
                <c:pt idx="23">
                  <c:v>60.355071618691987</c:v>
                </c:pt>
                <c:pt idx="24">
                  <c:v>22.581067647611999</c:v>
                </c:pt>
                <c:pt idx="25">
                  <c:v>128.99136718488998</c:v>
                </c:pt>
                <c:pt idx="26">
                  <c:v>250.19380265331995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A-4E0B-ABFF-37057F79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2"/>
          <c:order val="1"/>
          <c:tx>
            <c:strRef>
              <c:f>'Figure 1'!$C$1</c:f>
              <c:strCache>
                <c:ptCount val="1"/>
                <c:pt idx="0">
                  <c:v>Soybean oil vs. palm oil price spread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1'!$A$2:$A$28</c:f>
              <c:numCache>
                <c:formatCode>mmm\.\ yy</c:formatCode>
                <c:ptCount val="27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  <c:pt idx="24">
                  <c:v>45566</c:v>
                </c:pt>
                <c:pt idx="25">
                  <c:v>45597</c:v>
                </c:pt>
                <c:pt idx="26">
                  <c:v>45627</c:v>
                </c:pt>
              </c:numCache>
            </c:numRef>
          </c:cat>
          <c:val>
            <c:numRef>
              <c:f>'Figure 1'!$C$2:$C$28</c:f>
              <c:numCache>
                <c:formatCode>_(* #,##0_);_(* \(#,##0\);_(* "-"??_);_(@_)</c:formatCode>
                <c:ptCount val="27"/>
                <c:pt idx="0">
                  <c:v>800.52380952380986</c:v>
                </c:pt>
                <c:pt idx="1">
                  <c:v>866.24272727272751</c:v>
                </c:pt>
                <c:pt idx="2">
                  <c:v>616.18500000000006</c:v>
                </c:pt>
                <c:pt idx="3">
                  <c:v>543.19909090909084</c:v>
                </c:pt>
                <c:pt idx="4">
                  <c:v>474.55750000000035</c:v>
                </c:pt>
                <c:pt idx="5">
                  <c:v>374.19521739130425</c:v>
                </c:pt>
                <c:pt idx="6">
                  <c:v>267.74849999999992</c:v>
                </c:pt>
                <c:pt idx="7">
                  <c:v>290.43478260869551</c:v>
                </c:pt>
                <c:pt idx="8">
                  <c:v>544.63045454545465</c:v>
                </c:pt>
                <c:pt idx="9">
                  <c:v>777.55952380952351</c:v>
                </c:pt>
                <c:pt idx="10">
                  <c:v>765.16695652173894</c:v>
                </c:pt>
                <c:pt idx="11">
                  <c:v>689.81952380952384</c:v>
                </c:pt>
                <c:pt idx="12">
                  <c:v>539.58181818181799</c:v>
                </c:pt>
                <c:pt idx="13">
                  <c:v>430.68545454545449</c:v>
                </c:pt>
                <c:pt idx="14">
                  <c:v>401.90333333333353</c:v>
                </c:pt>
                <c:pt idx="15">
                  <c:v>312.98739130434785</c:v>
                </c:pt>
                <c:pt idx="16">
                  <c:v>227.32699999999977</c:v>
                </c:pt>
                <c:pt idx="17">
                  <c:v>151.88285714285723</c:v>
                </c:pt>
                <c:pt idx="18">
                  <c:v>87.668636363636438</c:v>
                </c:pt>
                <c:pt idx="19">
                  <c:v>112.98000000000013</c:v>
                </c:pt>
                <c:pt idx="20">
                  <c:v>91.30499999999995</c:v>
                </c:pt>
                <c:pt idx="21">
                  <c:v>157.46260869565219</c:v>
                </c:pt>
                <c:pt idx="22">
                  <c:v>15.707272727272652</c:v>
                </c:pt>
                <c:pt idx="23">
                  <c:v>9.6138095238093229</c:v>
                </c:pt>
                <c:pt idx="24">
                  <c:v>-52.554782608695632</c:v>
                </c:pt>
                <c:pt idx="25">
                  <c:v>-127.00190476190483</c:v>
                </c:pt>
                <c:pt idx="26">
                  <c:v>-208.56772727272732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BA-4E0B-ABFF-37057F79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284303"/>
        <c:axId val="1407286223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7731225481402911"/>
              <c:y val="0.811949967999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.\ yy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Offset val="100"/>
        <c:baseTimeUnit val="months"/>
      </c:dateAx>
      <c:valAx>
        <c:axId val="667170632"/>
        <c:scaling>
          <c:orientation val="minMax"/>
          <c:min val="-1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9313844438944794E-2"/>
              <c:y val="0.1422431225355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0"/>
        <c:crossBetween val="between"/>
      </c:valAx>
      <c:valAx>
        <c:axId val="140728622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 per metric ton</a:t>
                </a:r>
              </a:p>
            </c:rich>
          </c:tx>
          <c:layout>
            <c:manualLayout>
              <c:xMode val="edge"/>
              <c:yMode val="edge"/>
              <c:x val="0.82848525455683186"/>
              <c:y val="0.13245231009729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07284303"/>
        <c:crosses val="max"/>
        <c:crossBetween val="between"/>
      </c:valAx>
      <c:dateAx>
        <c:axId val="1407284303"/>
        <c:scaling>
          <c:orientation val="minMax"/>
        </c:scaling>
        <c:delete val="1"/>
        <c:axPos val="b"/>
        <c:numFmt formatCode="mmm\.\ yy" sourceLinked="1"/>
        <c:majorTickMark val="out"/>
        <c:minorTickMark val="none"/>
        <c:tickLblPos val="nextTo"/>
        <c:crossAx val="1407286223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22151901378556557"/>
          <c:y val="0.17957987049756813"/>
          <c:w val="0.57056648613477168"/>
          <c:h val="5.2405216228208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</a:t>
            </a:r>
          </a:p>
          <a:p>
            <a:pPr algn="l">
              <a:defRPr sz="1050" b="1"/>
            </a:pPr>
            <a:r>
              <a:rPr lang="en-US" sz="1000" b="1" i="0" u="none" strike="noStrike" baseline="0">
                <a:effectLst/>
              </a:rPr>
              <a:t>Global oilseed crush</a:t>
            </a:r>
            <a:endParaRPr lang="en-US" sz="1000" b="1"/>
          </a:p>
        </c:rich>
      </c:tx>
      <c:layout>
        <c:manualLayout>
          <c:xMode val="edge"/>
          <c:yMode val="edge"/>
          <c:x val="1.9959527658877656E-3"/>
          <c:y val="4.068547375633989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448049122658973E-2"/>
          <c:y val="0.18408590099502226"/>
          <c:w val="0.90944036402720718"/>
          <c:h val="0.49812776597149977"/>
        </c:manualLayout>
      </c:layout>
      <c:barChart>
        <c:barDir val="col"/>
        <c:grouping val="stacked"/>
        <c:varyColors val="0"/>
        <c:ser>
          <c:idx val="0"/>
          <c:order val="0"/>
          <c:tx>
            <c:v>Soybeans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2'!$A$2:$A$6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f>'Figure 2'!$G$2:$G$6</c:f>
              <c:numCache>
                <c:formatCode>0</c:formatCode>
                <c:ptCount val="5"/>
                <c:pt idx="0">
                  <c:v>318.15499999999997</c:v>
                </c:pt>
                <c:pt idx="1">
                  <c:v>316.62700000000001</c:v>
                </c:pt>
                <c:pt idx="2">
                  <c:v>315.72000000000003</c:v>
                </c:pt>
                <c:pt idx="3">
                  <c:v>331.13900000000001</c:v>
                </c:pt>
                <c:pt idx="4">
                  <c:v>349.29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94-45BD-9251-70E2026E7B01}"/>
            </c:ext>
          </c:extLst>
        </c:ser>
        <c:ser>
          <c:idx val="1"/>
          <c:order val="1"/>
          <c:tx>
            <c:v>Rapeseed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2'!$A$2:$A$6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f>'Figure 2'!$F$2:$F$6</c:f>
              <c:numCache>
                <c:formatCode>0</c:formatCode>
                <c:ptCount val="5"/>
                <c:pt idx="0">
                  <c:v>72.106999999999999</c:v>
                </c:pt>
                <c:pt idx="1">
                  <c:v>72.061999999999998</c:v>
                </c:pt>
                <c:pt idx="2">
                  <c:v>82.106999999999999</c:v>
                </c:pt>
                <c:pt idx="3">
                  <c:v>84.822999999999993</c:v>
                </c:pt>
                <c:pt idx="4">
                  <c:v>84.081999999999994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94-45BD-9251-70E2026E7B01}"/>
            </c:ext>
          </c:extLst>
        </c:ser>
        <c:ser>
          <c:idx val="2"/>
          <c:order val="2"/>
          <c:tx>
            <c:v>Sunflowerseed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2'!$A$2:$A$6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f>'Figure 2'!$H$2:$H$6</c:f>
              <c:numCache>
                <c:formatCode>0</c:formatCode>
                <c:ptCount val="5"/>
                <c:pt idx="0">
                  <c:v>45.048999999999999</c:v>
                </c:pt>
                <c:pt idx="1">
                  <c:v>46.722000000000001</c:v>
                </c:pt>
                <c:pt idx="2">
                  <c:v>51.399000000000001</c:v>
                </c:pt>
                <c:pt idx="3">
                  <c:v>52.396000000000001</c:v>
                </c:pt>
                <c:pt idx="4">
                  <c:v>47.515000000000001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94-45BD-9251-70E2026E7B01}"/>
            </c:ext>
          </c:extLst>
        </c:ser>
        <c:ser>
          <c:idx val="3"/>
          <c:order val="3"/>
          <c:tx>
            <c:v>Other oilseeds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2'!$A$2:$A$6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f>'Figure 2'!$I$2:$I$6</c:f>
              <c:numCache>
                <c:formatCode>0</c:formatCode>
                <c:ptCount val="5"/>
                <c:pt idx="0">
                  <c:v>76.813999999999993</c:v>
                </c:pt>
                <c:pt idx="1">
                  <c:v>76.394999999999996</c:v>
                </c:pt>
                <c:pt idx="2">
                  <c:v>77.328000000000003</c:v>
                </c:pt>
                <c:pt idx="3">
                  <c:v>77.459999999999994</c:v>
                </c:pt>
                <c:pt idx="4">
                  <c:v>79.427999999999997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E94-45BD-9251-70E2026E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8144236277"/>
              <c:y val="0.81489939715914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6375043236191E-3"/>
              <c:y val="0.11043230610159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t"/>
      <c:layout>
        <c:manualLayout>
          <c:xMode val="edge"/>
          <c:yMode val="edge"/>
          <c:x val="0.23762113221864004"/>
          <c:y val="0.11151307135559103"/>
          <c:w val="0.61223511039614675"/>
          <c:h val="4.9151086468582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1sa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meal export prices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8103506292482673E-3"/>
          <c:y val="9.6881119026788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89331444734445E-2"/>
          <c:y val="0.16546394935927128"/>
          <c:w val="0.88460999233779336"/>
          <c:h val="0.57368972260820339"/>
        </c:manualLayout>
      </c:layout>
      <c:lineChart>
        <c:grouping val="standard"/>
        <c:varyColors val="0"/>
        <c:ser>
          <c:idx val="0"/>
          <c:order val="0"/>
          <c:tx>
            <c:strRef>
              <c:f>'Figure 1sa'!$B$1</c:f>
              <c:strCache>
                <c:ptCount val="1"/>
                <c:pt idx="0">
                  <c:v>Argentina, Up River, FOB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'Figure 1sa'!$A$2:$A$77</c:f>
              <c:numCache>
                <c:formatCode>mmm\.\ yy</c:formatCode>
                <c:ptCount val="7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  <c:pt idx="27">
                  <c:v>44197</c:v>
                </c:pt>
                <c:pt idx="28">
                  <c:v>44228</c:v>
                </c:pt>
                <c:pt idx="29">
                  <c:v>44256</c:v>
                </c:pt>
                <c:pt idx="30">
                  <c:v>44287</c:v>
                </c:pt>
                <c:pt idx="31">
                  <c:v>44317</c:v>
                </c:pt>
                <c:pt idx="32">
                  <c:v>44348</c:v>
                </c:pt>
                <c:pt idx="33">
                  <c:v>44378</c:v>
                </c:pt>
                <c:pt idx="34">
                  <c:v>44409</c:v>
                </c:pt>
                <c:pt idx="35">
                  <c:v>44440</c:v>
                </c:pt>
                <c:pt idx="36">
                  <c:v>44470</c:v>
                </c:pt>
                <c:pt idx="37">
                  <c:v>44501</c:v>
                </c:pt>
                <c:pt idx="38">
                  <c:v>44531</c:v>
                </c:pt>
                <c:pt idx="39">
                  <c:v>44562</c:v>
                </c:pt>
                <c:pt idx="40">
                  <c:v>44593</c:v>
                </c:pt>
                <c:pt idx="41">
                  <c:v>44621</c:v>
                </c:pt>
                <c:pt idx="42">
                  <c:v>44652</c:v>
                </c:pt>
                <c:pt idx="43">
                  <c:v>44682</c:v>
                </c:pt>
                <c:pt idx="44">
                  <c:v>44713</c:v>
                </c:pt>
                <c:pt idx="45">
                  <c:v>44743</c:v>
                </c:pt>
                <c:pt idx="46">
                  <c:v>44774</c:v>
                </c:pt>
                <c:pt idx="47">
                  <c:v>44805</c:v>
                </c:pt>
                <c:pt idx="48">
                  <c:v>44835</c:v>
                </c:pt>
                <c:pt idx="49">
                  <c:v>44866</c:v>
                </c:pt>
                <c:pt idx="50">
                  <c:v>44896</c:v>
                </c:pt>
                <c:pt idx="51">
                  <c:v>44927</c:v>
                </c:pt>
                <c:pt idx="52">
                  <c:v>44958</c:v>
                </c:pt>
                <c:pt idx="53">
                  <c:v>44986</c:v>
                </c:pt>
                <c:pt idx="54">
                  <c:v>45017</c:v>
                </c:pt>
                <c:pt idx="55">
                  <c:v>45047</c:v>
                </c:pt>
                <c:pt idx="56">
                  <c:v>45078</c:v>
                </c:pt>
                <c:pt idx="57">
                  <c:v>45108</c:v>
                </c:pt>
                <c:pt idx="58">
                  <c:v>45139</c:v>
                </c:pt>
                <c:pt idx="59">
                  <c:v>45170</c:v>
                </c:pt>
                <c:pt idx="60">
                  <c:v>45200</c:v>
                </c:pt>
                <c:pt idx="61">
                  <c:v>45231</c:v>
                </c:pt>
                <c:pt idx="62">
                  <c:v>45261</c:v>
                </c:pt>
                <c:pt idx="63">
                  <c:v>45292</c:v>
                </c:pt>
                <c:pt idx="64">
                  <c:v>45323</c:v>
                </c:pt>
                <c:pt idx="65">
                  <c:v>45352</c:v>
                </c:pt>
                <c:pt idx="66">
                  <c:v>45383</c:v>
                </c:pt>
                <c:pt idx="67">
                  <c:v>45413</c:v>
                </c:pt>
                <c:pt idx="68">
                  <c:v>45444</c:v>
                </c:pt>
                <c:pt idx="69">
                  <c:v>45474</c:v>
                </c:pt>
                <c:pt idx="70">
                  <c:v>45505</c:v>
                </c:pt>
                <c:pt idx="71">
                  <c:v>45536</c:v>
                </c:pt>
                <c:pt idx="72">
                  <c:v>45566</c:v>
                </c:pt>
                <c:pt idx="73">
                  <c:v>45597</c:v>
                </c:pt>
                <c:pt idx="74">
                  <c:v>45627</c:v>
                </c:pt>
                <c:pt idx="75">
                  <c:v>45658</c:v>
                </c:pt>
              </c:numCache>
            </c:numRef>
          </c:cat>
          <c:val>
            <c:numRef>
              <c:f>'Figure 1sa'!$B$2:$B$77</c:f>
              <c:numCache>
                <c:formatCode>0</c:formatCode>
                <c:ptCount val="76"/>
                <c:pt idx="0">
                  <c:v>339.56521739130437</c:v>
                </c:pt>
                <c:pt idx="1">
                  <c:v>332.13636363636363</c:v>
                </c:pt>
                <c:pt idx="2">
                  <c:v>327.33333333333331</c:v>
                </c:pt>
                <c:pt idx="3">
                  <c:v>333.69565217391306</c:v>
                </c:pt>
                <c:pt idx="4">
                  <c:v>325.5263157894737</c:v>
                </c:pt>
                <c:pt idx="5">
                  <c:v>319.66666666666669</c:v>
                </c:pt>
                <c:pt idx="6">
                  <c:v>313.09523809523807</c:v>
                </c:pt>
                <c:pt idx="7">
                  <c:v>310.60869565217394</c:v>
                </c:pt>
                <c:pt idx="8">
                  <c:v>330.5</c:v>
                </c:pt>
                <c:pt idx="9">
                  <c:v>317.04347826086956</c:v>
                </c:pt>
                <c:pt idx="10">
                  <c:v>305.31818181818181</c:v>
                </c:pt>
                <c:pt idx="11">
                  <c:v>298.71428571428572</c:v>
                </c:pt>
                <c:pt idx="12">
                  <c:v>308.56521739130437</c:v>
                </c:pt>
                <c:pt idx="13">
                  <c:v>319.61904761904759</c:v>
                </c:pt>
                <c:pt idx="14">
                  <c:v>328.27272727272725</c:v>
                </c:pt>
                <c:pt idx="15">
                  <c:v>336.3478260869565</c:v>
                </c:pt>
                <c:pt idx="16">
                  <c:v>329.6</c:v>
                </c:pt>
                <c:pt idx="17">
                  <c:v>348.45454545454544</c:v>
                </c:pt>
                <c:pt idx="18">
                  <c:v>328.27272727272725</c:v>
                </c:pt>
                <c:pt idx="19">
                  <c:v>317.90476190476193</c:v>
                </c:pt>
                <c:pt idx="20">
                  <c:v>319.09090909090907</c:v>
                </c:pt>
                <c:pt idx="21">
                  <c:v>325.60869565217394</c:v>
                </c:pt>
                <c:pt idx="22">
                  <c:v>337.14285714285717</c:v>
                </c:pt>
                <c:pt idx="23">
                  <c:v>377.04545454545456</c:v>
                </c:pt>
                <c:pt idx="24">
                  <c:v>434.40909090909093</c:v>
                </c:pt>
                <c:pt idx="25">
                  <c:v>462.52380952380952</c:v>
                </c:pt>
                <c:pt idx="26">
                  <c:v>471.13043478260869</c:v>
                </c:pt>
                <c:pt idx="27">
                  <c:v>515.95238095238096</c:v>
                </c:pt>
                <c:pt idx="28">
                  <c:v>476.4</c:v>
                </c:pt>
                <c:pt idx="29">
                  <c:v>432.04347826086956</c:v>
                </c:pt>
                <c:pt idx="30">
                  <c:v>433.77272727272725</c:v>
                </c:pt>
                <c:pt idx="31">
                  <c:v>438.52380952380952</c:v>
                </c:pt>
                <c:pt idx="32">
                  <c:v>406.90909090909093</c:v>
                </c:pt>
                <c:pt idx="33">
                  <c:v>396.04545454545456</c:v>
                </c:pt>
                <c:pt idx="34">
                  <c:v>392.63636363636363</c:v>
                </c:pt>
                <c:pt idx="35">
                  <c:v>401.72727272727275</c:v>
                </c:pt>
                <c:pt idx="36">
                  <c:v>386.52380952380952</c:v>
                </c:pt>
                <c:pt idx="37">
                  <c:v>392.86363636363637</c:v>
                </c:pt>
                <c:pt idx="38">
                  <c:v>425.17391304347825</c:v>
                </c:pt>
                <c:pt idx="39">
                  <c:v>464.61904761904759</c:v>
                </c:pt>
                <c:pt idx="40">
                  <c:v>505.15</c:v>
                </c:pt>
                <c:pt idx="41">
                  <c:v>547.695652173913</c:v>
                </c:pt>
                <c:pt idx="42">
                  <c:v>515.71428571428567</c:v>
                </c:pt>
                <c:pt idx="43">
                  <c:v>473.04545454545456</c:v>
                </c:pt>
                <c:pt idx="44">
                  <c:v>476</c:v>
                </c:pt>
                <c:pt idx="45">
                  <c:v>486.09523809523807</c:v>
                </c:pt>
                <c:pt idx="46">
                  <c:v>488.95652173913044</c:v>
                </c:pt>
                <c:pt idx="47">
                  <c:v>479.81818181818181</c:v>
                </c:pt>
                <c:pt idx="48">
                  <c:v>486.6</c:v>
                </c:pt>
                <c:pt idx="49">
                  <c:v>482.36363636363637</c:v>
                </c:pt>
                <c:pt idx="50">
                  <c:v>539.40909090909088</c:v>
                </c:pt>
                <c:pt idx="51">
                  <c:v>584.40909090909088</c:v>
                </c:pt>
                <c:pt idx="52">
                  <c:v>587.54999999999995</c:v>
                </c:pt>
                <c:pt idx="53">
                  <c:v>544.17391304347825</c:v>
                </c:pt>
                <c:pt idx="54">
                  <c:v>500.9</c:v>
                </c:pt>
                <c:pt idx="55">
                  <c:v>478.39130434782606</c:v>
                </c:pt>
                <c:pt idx="56">
                  <c:v>464.09523809523807</c:v>
                </c:pt>
                <c:pt idx="57">
                  <c:v>496.47619047619048</c:v>
                </c:pt>
                <c:pt idx="58">
                  <c:v>487.47826086956519</c:v>
                </c:pt>
                <c:pt idx="59">
                  <c:v>478.14285714285717</c:v>
                </c:pt>
                <c:pt idx="60">
                  <c:v>493.31818181818181</c:v>
                </c:pt>
                <c:pt idx="61">
                  <c:v>547.5454545454545</c:v>
                </c:pt>
                <c:pt idx="62">
                  <c:v>476.28571428571428</c:v>
                </c:pt>
                <c:pt idx="63">
                  <c:v>437.39130434782606</c:v>
                </c:pt>
                <c:pt idx="64">
                  <c:v>400</c:v>
                </c:pt>
                <c:pt idx="65">
                  <c:v>387.85</c:v>
                </c:pt>
                <c:pt idx="66">
                  <c:v>386.68181818181819</c:v>
                </c:pt>
                <c:pt idx="67">
                  <c:v>428.60869565217394</c:v>
                </c:pt>
                <c:pt idx="68">
                  <c:v>406.75</c:v>
                </c:pt>
                <c:pt idx="69">
                  <c:v>373.39130434782606</c:v>
                </c:pt>
                <c:pt idx="70">
                  <c:v>370.14285714285717</c:v>
                </c:pt>
                <c:pt idx="71">
                  <c:v>380.90476190476193</c:v>
                </c:pt>
                <c:pt idx="72">
                  <c:v>364.26086956521738</c:v>
                </c:pt>
                <c:pt idx="73">
                  <c:v>331.47619047619048</c:v>
                </c:pt>
                <c:pt idx="74">
                  <c:v>328.72727272727275</c:v>
                </c:pt>
                <c:pt idx="75">
                  <c:v>339.5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B-4FAF-B057-C266C2F569BE}"/>
            </c:ext>
          </c:extLst>
        </c:ser>
        <c:ser>
          <c:idx val="2"/>
          <c:order val="1"/>
          <c:tx>
            <c:strRef>
              <c:f>'Figure 1sa'!$D$1</c:f>
              <c:strCache>
                <c:ptCount val="1"/>
                <c:pt idx="0">
                  <c:v>United States, Gulf, FOB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1sa'!$A$2:$A$77</c:f>
              <c:numCache>
                <c:formatCode>mmm\.\ yy</c:formatCode>
                <c:ptCount val="7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  <c:pt idx="27">
                  <c:v>44197</c:v>
                </c:pt>
                <c:pt idx="28">
                  <c:v>44228</c:v>
                </c:pt>
                <c:pt idx="29">
                  <c:v>44256</c:v>
                </c:pt>
                <c:pt idx="30">
                  <c:v>44287</c:v>
                </c:pt>
                <c:pt idx="31">
                  <c:v>44317</c:v>
                </c:pt>
                <c:pt idx="32">
                  <c:v>44348</c:v>
                </c:pt>
                <c:pt idx="33">
                  <c:v>44378</c:v>
                </c:pt>
                <c:pt idx="34">
                  <c:v>44409</c:v>
                </c:pt>
                <c:pt idx="35">
                  <c:v>44440</c:v>
                </c:pt>
                <c:pt idx="36">
                  <c:v>44470</c:v>
                </c:pt>
                <c:pt idx="37">
                  <c:v>44501</c:v>
                </c:pt>
                <c:pt idx="38">
                  <c:v>44531</c:v>
                </c:pt>
                <c:pt idx="39">
                  <c:v>44562</c:v>
                </c:pt>
                <c:pt idx="40">
                  <c:v>44593</c:v>
                </c:pt>
                <c:pt idx="41">
                  <c:v>44621</c:v>
                </c:pt>
                <c:pt idx="42">
                  <c:v>44652</c:v>
                </c:pt>
                <c:pt idx="43">
                  <c:v>44682</c:v>
                </c:pt>
                <c:pt idx="44">
                  <c:v>44713</c:v>
                </c:pt>
                <c:pt idx="45">
                  <c:v>44743</c:v>
                </c:pt>
                <c:pt idx="46">
                  <c:v>44774</c:v>
                </c:pt>
                <c:pt idx="47">
                  <c:v>44805</c:v>
                </c:pt>
                <c:pt idx="48">
                  <c:v>44835</c:v>
                </c:pt>
                <c:pt idx="49">
                  <c:v>44866</c:v>
                </c:pt>
                <c:pt idx="50">
                  <c:v>44896</c:v>
                </c:pt>
                <c:pt idx="51">
                  <c:v>44927</c:v>
                </c:pt>
                <c:pt idx="52">
                  <c:v>44958</c:v>
                </c:pt>
                <c:pt idx="53">
                  <c:v>44986</c:v>
                </c:pt>
                <c:pt idx="54">
                  <c:v>45017</c:v>
                </c:pt>
                <c:pt idx="55">
                  <c:v>45047</c:v>
                </c:pt>
                <c:pt idx="56">
                  <c:v>45078</c:v>
                </c:pt>
                <c:pt idx="57">
                  <c:v>45108</c:v>
                </c:pt>
                <c:pt idx="58">
                  <c:v>45139</c:v>
                </c:pt>
                <c:pt idx="59">
                  <c:v>45170</c:v>
                </c:pt>
                <c:pt idx="60">
                  <c:v>45200</c:v>
                </c:pt>
                <c:pt idx="61">
                  <c:v>45231</c:v>
                </c:pt>
                <c:pt idx="62">
                  <c:v>45261</c:v>
                </c:pt>
                <c:pt idx="63">
                  <c:v>45292</c:v>
                </c:pt>
                <c:pt idx="64">
                  <c:v>45323</c:v>
                </c:pt>
                <c:pt idx="65">
                  <c:v>45352</c:v>
                </c:pt>
                <c:pt idx="66">
                  <c:v>45383</c:v>
                </c:pt>
                <c:pt idx="67">
                  <c:v>45413</c:v>
                </c:pt>
                <c:pt idx="68">
                  <c:v>45444</c:v>
                </c:pt>
                <c:pt idx="69">
                  <c:v>45474</c:v>
                </c:pt>
                <c:pt idx="70">
                  <c:v>45505</c:v>
                </c:pt>
                <c:pt idx="71">
                  <c:v>45536</c:v>
                </c:pt>
                <c:pt idx="72">
                  <c:v>45566</c:v>
                </c:pt>
                <c:pt idx="73">
                  <c:v>45597</c:v>
                </c:pt>
                <c:pt idx="74">
                  <c:v>45627</c:v>
                </c:pt>
                <c:pt idx="75">
                  <c:v>45658</c:v>
                </c:pt>
              </c:numCache>
            </c:numRef>
          </c:cat>
          <c:val>
            <c:numRef>
              <c:f>'Figure 1sa'!$D$2:$D$77</c:f>
              <c:numCache>
                <c:formatCode>0</c:formatCode>
                <c:ptCount val="76"/>
                <c:pt idx="0">
                  <c:v>358.74652173913046</c:v>
                </c:pt>
                <c:pt idx="1">
                  <c:v>345.86181818181819</c:v>
                </c:pt>
                <c:pt idx="2">
                  <c:v>345.53666666666669</c:v>
                </c:pt>
                <c:pt idx="3">
                  <c:v>347.4586956521739</c:v>
                </c:pt>
                <c:pt idx="4">
                  <c:v>339.76099999999997</c:v>
                </c:pt>
                <c:pt idx="5">
                  <c:v>341.90619047619049</c:v>
                </c:pt>
                <c:pt idx="6">
                  <c:v>344.06136363636364</c:v>
                </c:pt>
                <c:pt idx="7">
                  <c:v>333.58652173913055</c:v>
                </c:pt>
                <c:pt idx="8">
                  <c:v>358.8959999999999</c:v>
                </c:pt>
                <c:pt idx="9">
                  <c:v>348.15260869565208</c:v>
                </c:pt>
                <c:pt idx="10">
                  <c:v>333.63636363636363</c:v>
                </c:pt>
                <c:pt idx="11">
                  <c:v>330.13095238095241</c:v>
                </c:pt>
                <c:pt idx="12">
                  <c:v>339.41304347826087</c:v>
                </c:pt>
                <c:pt idx="13">
                  <c:v>339.04761904761904</c:v>
                </c:pt>
                <c:pt idx="14">
                  <c:v>342.85590909090911</c:v>
                </c:pt>
                <c:pt idx="15">
                  <c:v>340.28478260869559</c:v>
                </c:pt>
                <c:pt idx="16">
                  <c:v>334.18900000000002</c:v>
                </c:pt>
                <c:pt idx="17">
                  <c:v>361.30681818181819</c:v>
                </c:pt>
                <c:pt idx="18">
                  <c:v>348.83181818181828</c:v>
                </c:pt>
                <c:pt idx="19">
                  <c:v>331.17</c:v>
                </c:pt>
                <c:pt idx="20">
                  <c:v>334.60636363636371</c:v>
                </c:pt>
                <c:pt idx="21">
                  <c:v>340.16391304347826</c:v>
                </c:pt>
                <c:pt idx="22">
                  <c:v>346.08285714285722</c:v>
                </c:pt>
                <c:pt idx="23">
                  <c:v>384.68727272727267</c:v>
                </c:pt>
                <c:pt idx="24">
                  <c:v>442.33363636363634</c:v>
                </c:pt>
                <c:pt idx="25">
                  <c:v>475.56952380952396</c:v>
                </c:pt>
                <c:pt idx="26">
                  <c:v>482.84913043478269</c:v>
                </c:pt>
                <c:pt idx="27">
                  <c:v>534.39619047619044</c:v>
                </c:pt>
                <c:pt idx="28">
                  <c:v>513.09450000000004</c:v>
                </c:pt>
                <c:pt idx="29">
                  <c:v>469.27999999999992</c:v>
                </c:pt>
                <c:pt idx="30">
                  <c:v>468.93227272727268</c:v>
                </c:pt>
                <c:pt idx="31">
                  <c:v>467.86047619047628</c:v>
                </c:pt>
                <c:pt idx="32">
                  <c:v>422.81499999999994</c:v>
                </c:pt>
                <c:pt idx="33">
                  <c:v>425.50727272727255</c:v>
                </c:pt>
                <c:pt idx="34">
                  <c:v>422.39772727272725</c:v>
                </c:pt>
                <c:pt idx="35">
                  <c:v>418.13409090909084</c:v>
                </c:pt>
                <c:pt idx="36">
                  <c:v>408.76333333333338</c:v>
                </c:pt>
                <c:pt idx="37">
                  <c:v>431.11363636363643</c:v>
                </c:pt>
                <c:pt idx="38">
                  <c:v>451.46</c:v>
                </c:pt>
                <c:pt idx="39">
                  <c:v>489.25714285714292</c:v>
                </c:pt>
                <c:pt idx="40">
                  <c:v>537.91150000000005</c:v>
                </c:pt>
                <c:pt idx="41">
                  <c:v>581.57434782608709</c:v>
                </c:pt>
                <c:pt idx="42">
                  <c:v>559.15238095238101</c:v>
                </c:pt>
                <c:pt idx="43">
                  <c:v>500.47545454545451</c:v>
                </c:pt>
                <c:pt idx="44">
                  <c:v>527.14363636363635</c:v>
                </c:pt>
                <c:pt idx="45">
                  <c:v>556.71380952380946</c:v>
                </c:pt>
                <c:pt idx="46">
                  <c:v>564.73217391304365</c:v>
                </c:pt>
                <c:pt idx="47">
                  <c:v>520.22636363636366</c:v>
                </c:pt>
                <c:pt idx="48">
                  <c:v>496.85238095238094</c:v>
                </c:pt>
                <c:pt idx="49">
                  <c:v>500.14909090909094</c:v>
                </c:pt>
                <c:pt idx="50">
                  <c:v>540.70545454545436</c:v>
                </c:pt>
                <c:pt idx="51">
                  <c:v>582.87318181818182</c:v>
                </c:pt>
                <c:pt idx="52">
                  <c:v>607.76350000000014</c:v>
                </c:pt>
                <c:pt idx="53">
                  <c:v>564.04347826086951</c:v>
                </c:pt>
                <c:pt idx="54">
                  <c:v>527.85399999999993</c:v>
                </c:pt>
                <c:pt idx="55">
                  <c:v>482.61260869565217</c:v>
                </c:pt>
                <c:pt idx="56">
                  <c:v>469.40227272727265</c:v>
                </c:pt>
                <c:pt idx="57">
                  <c:v>503.83714285714285</c:v>
                </c:pt>
                <c:pt idx="58">
                  <c:v>494.30913043478262</c:v>
                </c:pt>
                <c:pt idx="59">
                  <c:v>486.5885714285713</c:v>
                </c:pt>
                <c:pt idx="60">
                  <c:v>498.55772727272722</c:v>
                </c:pt>
                <c:pt idx="61">
                  <c:v>550.1813636363637</c:v>
                </c:pt>
                <c:pt idx="62">
                  <c:v>491.58380952380952</c:v>
                </c:pt>
                <c:pt idx="63">
                  <c:v>438.56608695652176</c:v>
                </c:pt>
                <c:pt idx="64">
                  <c:v>422.93649999999997</c:v>
                </c:pt>
                <c:pt idx="65">
                  <c:v>402.75190476190483</c:v>
                </c:pt>
                <c:pt idx="66">
                  <c:v>399.63727272727277</c:v>
                </c:pt>
                <c:pt idx="67">
                  <c:v>443.04217391304354</c:v>
                </c:pt>
                <c:pt idx="68">
                  <c:v>438.36849999999993</c:v>
                </c:pt>
                <c:pt idx="69">
                  <c:v>422.64695652173907</c:v>
                </c:pt>
                <c:pt idx="70">
                  <c:v>395.36818181818182</c:v>
                </c:pt>
                <c:pt idx="71">
                  <c:v>408.58904761904768</c:v>
                </c:pt>
                <c:pt idx="72">
                  <c:v>409.32043478260863</c:v>
                </c:pt>
                <c:pt idx="73">
                  <c:v>359.6304761904762</c:v>
                </c:pt>
                <c:pt idx="74">
                  <c:v>343.98772727272728</c:v>
                </c:pt>
                <c:pt idx="75">
                  <c:v>362.685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B-4FAF-B057-C266C2F569BE}"/>
            </c:ext>
          </c:extLst>
        </c:ser>
        <c:ser>
          <c:idx val="1"/>
          <c:order val="2"/>
          <c:tx>
            <c:strRef>
              <c:f>'Figure 1sa'!$C$1</c:f>
              <c:strCache>
                <c:ptCount val="1"/>
                <c:pt idx="0">
                  <c:v>Brazil, Paranagua, FOB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rgbClr val="70AD47"/>
              </a:solidFill>
              <a:ln w="9525">
                <a:solidFill>
                  <a:srgbClr val="70AD47"/>
                </a:solidFill>
                <a:prstDash val="sysDash"/>
              </a:ln>
              <a:effectLst/>
            </c:spPr>
          </c:marker>
          <c:cat>
            <c:numRef>
              <c:f>'Figure 1sa'!$A$2:$A$77</c:f>
              <c:numCache>
                <c:formatCode>mmm\.\ yy</c:formatCode>
                <c:ptCount val="7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  <c:pt idx="27">
                  <c:v>44197</c:v>
                </c:pt>
                <c:pt idx="28">
                  <c:v>44228</c:v>
                </c:pt>
                <c:pt idx="29">
                  <c:v>44256</c:v>
                </c:pt>
                <c:pt idx="30">
                  <c:v>44287</c:v>
                </c:pt>
                <c:pt idx="31">
                  <c:v>44317</c:v>
                </c:pt>
                <c:pt idx="32">
                  <c:v>44348</c:v>
                </c:pt>
                <c:pt idx="33">
                  <c:v>44378</c:v>
                </c:pt>
                <c:pt idx="34">
                  <c:v>44409</c:v>
                </c:pt>
                <c:pt idx="35">
                  <c:v>44440</c:v>
                </c:pt>
                <c:pt idx="36">
                  <c:v>44470</c:v>
                </c:pt>
                <c:pt idx="37">
                  <c:v>44501</c:v>
                </c:pt>
                <c:pt idx="38">
                  <c:v>44531</c:v>
                </c:pt>
                <c:pt idx="39">
                  <c:v>44562</c:v>
                </c:pt>
                <c:pt idx="40">
                  <c:v>44593</c:v>
                </c:pt>
                <c:pt idx="41">
                  <c:v>44621</c:v>
                </c:pt>
                <c:pt idx="42">
                  <c:v>44652</c:v>
                </c:pt>
                <c:pt idx="43">
                  <c:v>44682</c:v>
                </c:pt>
                <c:pt idx="44">
                  <c:v>44713</c:v>
                </c:pt>
                <c:pt idx="45">
                  <c:v>44743</c:v>
                </c:pt>
                <c:pt idx="46">
                  <c:v>44774</c:v>
                </c:pt>
                <c:pt idx="47">
                  <c:v>44805</c:v>
                </c:pt>
                <c:pt idx="48">
                  <c:v>44835</c:v>
                </c:pt>
                <c:pt idx="49">
                  <c:v>44866</c:v>
                </c:pt>
                <c:pt idx="50">
                  <c:v>44896</c:v>
                </c:pt>
                <c:pt idx="51">
                  <c:v>44927</c:v>
                </c:pt>
                <c:pt idx="52">
                  <c:v>44958</c:v>
                </c:pt>
                <c:pt idx="53">
                  <c:v>44986</c:v>
                </c:pt>
                <c:pt idx="54">
                  <c:v>45017</c:v>
                </c:pt>
                <c:pt idx="55">
                  <c:v>45047</c:v>
                </c:pt>
                <c:pt idx="56">
                  <c:v>45078</c:v>
                </c:pt>
                <c:pt idx="57">
                  <c:v>45108</c:v>
                </c:pt>
                <c:pt idx="58">
                  <c:v>45139</c:v>
                </c:pt>
                <c:pt idx="59">
                  <c:v>45170</c:v>
                </c:pt>
                <c:pt idx="60">
                  <c:v>45200</c:v>
                </c:pt>
                <c:pt idx="61">
                  <c:v>45231</c:v>
                </c:pt>
                <c:pt idx="62">
                  <c:v>45261</c:v>
                </c:pt>
                <c:pt idx="63">
                  <c:v>45292</c:v>
                </c:pt>
                <c:pt idx="64">
                  <c:v>45323</c:v>
                </c:pt>
                <c:pt idx="65">
                  <c:v>45352</c:v>
                </c:pt>
                <c:pt idx="66">
                  <c:v>45383</c:v>
                </c:pt>
                <c:pt idx="67">
                  <c:v>45413</c:v>
                </c:pt>
                <c:pt idx="68">
                  <c:v>45444</c:v>
                </c:pt>
                <c:pt idx="69">
                  <c:v>45474</c:v>
                </c:pt>
                <c:pt idx="70">
                  <c:v>45505</c:v>
                </c:pt>
                <c:pt idx="71">
                  <c:v>45536</c:v>
                </c:pt>
                <c:pt idx="72">
                  <c:v>45566</c:v>
                </c:pt>
                <c:pt idx="73">
                  <c:v>45597</c:v>
                </c:pt>
                <c:pt idx="74">
                  <c:v>45627</c:v>
                </c:pt>
                <c:pt idx="75">
                  <c:v>45658</c:v>
                </c:pt>
              </c:numCache>
            </c:numRef>
          </c:cat>
          <c:val>
            <c:numRef>
              <c:f>'Figure 1sa'!$C$2:$C$77</c:f>
              <c:numCache>
                <c:formatCode>0</c:formatCode>
                <c:ptCount val="76"/>
                <c:pt idx="0">
                  <c:v>348.95478260869561</c:v>
                </c:pt>
                <c:pt idx="1">
                  <c:v>334.09999999999997</c:v>
                </c:pt>
                <c:pt idx="2">
                  <c:v>326.23523809523812</c:v>
                </c:pt>
                <c:pt idx="3">
                  <c:v>331.67913043478262</c:v>
                </c:pt>
                <c:pt idx="4">
                  <c:v>324.90450000000004</c:v>
                </c:pt>
                <c:pt idx="5">
                  <c:v>318.69761904761907</c:v>
                </c:pt>
                <c:pt idx="6">
                  <c:v>314.91499999999991</c:v>
                </c:pt>
                <c:pt idx="7">
                  <c:v>311.48869565217393</c:v>
                </c:pt>
                <c:pt idx="8">
                  <c:v>333.89500000000004</c:v>
                </c:pt>
                <c:pt idx="9">
                  <c:v>318.16695652173911</c:v>
                </c:pt>
                <c:pt idx="10">
                  <c:v>307.46590909090907</c:v>
                </c:pt>
                <c:pt idx="11">
                  <c:v>303.36142857142858</c:v>
                </c:pt>
                <c:pt idx="12">
                  <c:v>312.36043478260882</c:v>
                </c:pt>
                <c:pt idx="13">
                  <c:v>318.84047619047624</c:v>
                </c:pt>
                <c:pt idx="14">
                  <c:v>323.98590909090905</c:v>
                </c:pt>
                <c:pt idx="15">
                  <c:v>321.03565217391304</c:v>
                </c:pt>
                <c:pt idx="16">
                  <c:v>317.0455</c:v>
                </c:pt>
                <c:pt idx="17">
                  <c:v>337.19363636363636</c:v>
                </c:pt>
                <c:pt idx="18">
                  <c:v>319.149090909091</c:v>
                </c:pt>
                <c:pt idx="19">
                  <c:v>313.47285714285721</c:v>
                </c:pt>
                <c:pt idx="20">
                  <c:v>320.93909090909091</c:v>
                </c:pt>
                <c:pt idx="21">
                  <c:v>326.54434782608695</c:v>
                </c:pt>
                <c:pt idx="22">
                  <c:v>342.14333333333332</c:v>
                </c:pt>
                <c:pt idx="23">
                  <c:v>380.67</c:v>
                </c:pt>
                <c:pt idx="24">
                  <c:v>436.415909090909</c:v>
                </c:pt>
                <c:pt idx="25">
                  <c:v>464.71809523809526</c:v>
                </c:pt>
                <c:pt idx="26">
                  <c:v>470.69260869565221</c:v>
                </c:pt>
                <c:pt idx="27">
                  <c:v>516.58047619047625</c:v>
                </c:pt>
                <c:pt idx="28">
                  <c:v>482.62250000000006</c:v>
                </c:pt>
                <c:pt idx="29">
                  <c:v>429.66739130434786</c:v>
                </c:pt>
                <c:pt idx="30">
                  <c:v>436.04727272727268</c:v>
                </c:pt>
                <c:pt idx="31">
                  <c:v>445.24190476190478</c:v>
                </c:pt>
                <c:pt idx="32">
                  <c:v>420.70545454545447</c:v>
                </c:pt>
                <c:pt idx="33">
                  <c:v>425.43590909090904</c:v>
                </c:pt>
                <c:pt idx="34">
                  <c:v>417.8059090909091</c:v>
                </c:pt>
                <c:pt idx="35">
                  <c:v>415.39909090909083</c:v>
                </c:pt>
                <c:pt idx="36">
                  <c:v>392.2928571428572</c:v>
                </c:pt>
                <c:pt idx="37">
                  <c:v>385.88318181818192</c:v>
                </c:pt>
                <c:pt idx="38">
                  <c:v>420.01043478260868</c:v>
                </c:pt>
                <c:pt idx="39">
                  <c:v>469.57000000000005</c:v>
                </c:pt>
                <c:pt idx="40">
                  <c:v>534.46299999999997</c:v>
                </c:pt>
                <c:pt idx="41">
                  <c:v>566.18695652173926</c:v>
                </c:pt>
                <c:pt idx="42">
                  <c:v>523.51333333333332</c:v>
                </c:pt>
                <c:pt idx="43">
                  <c:v>475.18590909090909</c:v>
                </c:pt>
                <c:pt idx="44">
                  <c:v>482.7463636363637</c:v>
                </c:pt>
                <c:pt idx="45">
                  <c:v>492.75190476190465</c:v>
                </c:pt>
                <c:pt idx="46">
                  <c:v>487.86043478260871</c:v>
                </c:pt>
                <c:pt idx="47">
                  <c:v>487.40590909090918</c:v>
                </c:pt>
                <c:pt idx="48">
                  <c:v>491.07476190476189</c:v>
                </c:pt>
                <c:pt idx="49">
                  <c:v>475.39409090909089</c:v>
                </c:pt>
                <c:pt idx="50">
                  <c:v>534.33181818181811</c:v>
                </c:pt>
                <c:pt idx="51">
                  <c:v>563.44272727272732</c:v>
                </c:pt>
                <c:pt idx="52">
                  <c:v>562.32950000000005</c:v>
                </c:pt>
                <c:pt idx="53">
                  <c:v>519.37826086956522</c:v>
                </c:pt>
                <c:pt idx="54">
                  <c:v>489.26949999999999</c:v>
                </c:pt>
                <c:pt idx="55">
                  <c:v>466.04521739130439</c:v>
                </c:pt>
                <c:pt idx="56">
                  <c:v>457.56545454545443</c:v>
                </c:pt>
                <c:pt idx="57">
                  <c:v>479.74190476190478</c:v>
                </c:pt>
                <c:pt idx="58">
                  <c:v>469.70521739130447</c:v>
                </c:pt>
                <c:pt idx="59">
                  <c:v>467.17714285714283</c:v>
                </c:pt>
                <c:pt idx="60">
                  <c:v>476.55181818181825</c:v>
                </c:pt>
                <c:pt idx="61">
                  <c:v>524.36272727272728</c:v>
                </c:pt>
                <c:pt idx="62">
                  <c:v>461.12333333333333</c:v>
                </c:pt>
                <c:pt idx="63">
                  <c:v>426.70043478260862</c:v>
                </c:pt>
                <c:pt idx="64">
                  <c:v>398.13150000000002</c:v>
                </c:pt>
                <c:pt idx="65">
                  <c:v>378.92142857142858</c:v>
                </c:pt>
                <c:pt idx="66">
                  <c:v>380.12227272727267</c:v>
                </c:pt>
                <c:pt idx="67">
                  <c:v>423.67999999999989</c:v>
                </c:pt>
                <c:pt idx="68">
                  <c:v>403.14849999999996</c:v>
                </c:pt>
                <c:pt idx="69">
                  <c:v>369.38304347826079</c:v>
                </c:pt>
                <c:pt idx="70">
                  <c:v>366.72681818181809</c:v>
                </c:pt>
                <c:pt idx="71">
                  <c:v>384.35476190476197</c:v>
                </c:pt>
                <c:pt idx="72">
                  <c:v>367.91304347826093</c:v>
                </c:pt>
                <c:pt idx="73">
                  <c:v>332.81476190476189</c:v>
                </c:pt>
                <c:pt idx="74">
                  <c:v>326.7354545454545</c:v>
                </c:pt>
                <c:pt idx="75">
                  <c:v>341.34000000000003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B-4FAF-B057-C266C2F56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751648"/>
        <c:axId val="1821751232"/>
      </c:lineChart>
      <c:dateAx>
        <c:axId val="182175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552500236186931"/>
              <c:y val="0.86980877777044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.\ yy" sourceLinked="1"/>
        <c:majorTickMark val="none"/>
        <c:minorTickMark val="out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Offset val="100"/>
        <c:baseTimeUnit val="months"/>
        <c:majorUnit val="3"/>
        <c:majorTimeUnit val="months"/>
      </c:dateAx>
      <c:valAx>
        <c:axId val="1821751232"/>
        <c:scaling>
          <c:orientation val="minMax"/>
          <c:min val="2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metric ton</a:t>
                </a:r>
              </a:p>
            </c:rich>
          </c:tx>
          <c:layout>
            <c:manualLayout>
              <c:xMode val="edge"/>
              <c:yMode val="edge"/>
              <c:x val="2.1208907741251328E-3"/>
              <c:y val="9.71342093617840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82500748557508"/>
          <c:y val="0.13466501369221931"/>
          <c:w val="0.834719796716058"/>
          <c:h val="9.517946945350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2sa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U.S. soybean meal exports by destination, MY 2018/19–MY 2023/24</a:t>
            </a:r>
            <a:endParaRPr lang="en-US" sz="2000" b="1">
              <a:effectLst/>
            </a:endParaRPr>
          </a:p>
        </c:rich>
      </c:tx>
      <c:layout>
        <c:manualLayout>
          <c:xMode val="edge"/>
          <c:yMode val="edge"/>
          <c:x val="1.1356877879811603E-2"/>
          <c:y val="7.5477476310225635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749134931385226E-2"/>
          <c:y val="0.18668244603128314"/>
          <c:w val="0.93825226790266658"/>
          <c:h val="0.5675379110947090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'Figure 2sa'!$H$1</c:f>
              <c:strCache>
                <c:ptCount val="1"/>
                <c:pt idx="0">
                  <c:v>Average (MY 2018/19–MY 2022/23)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'Figure 2sa'!$A$2:$A$12</c:f>
              <c:strCache>
                <c:ptCount val="11"/>
                <c:pt idx="0">
                  <c:v>Phillipines</c:v>
                </c:pt>
                <c:pt idx="1">
                  <c:v>Mexico</c:v>
                </c:pt>
                <c:pt idx="2">
                  <c:v>Canada</c:v>
                </c:pt>
                <c:pt idx="3">
                  <c:v>Colombia</c:v>
                </c:pt>
                <c:pt idx="4">
                  <c:v>EU</c:v>
                </c:pt>
                <c:pt idx="5">
                  <c:v>Vietnam</c:v>
                </c:pt>
                <c:pt idx="6">
                  <c:v>Venezuela</c:v>
                </c:pt>
                <c:pt idx="7">
                  <c:v>Ecuador</c:v>
                </c:pt>
                <c:pt idx="8">
                  <c:v>Dominican Republic</c:v>
                </c:pt>
                <c:pt idx="9">
                  <c:v>Guatemala</c:v>
                </c:pt>
                <c:pt idx="10">
                  <c:v>ROW</c:v>
                </c:pt>
              </c:strCache>
            </c:strRef>
          </c:cat>
          <c:val>
            <c:numRef>
              <c:f>'Figure 2sa'!$H$2:$H$12</c:f>
              <c:numCache>
                <c:formatCode>0</c:formatCode>
                <c:ptCount val="11"/>
                <c:pt idx="0">
                  <c:v>2180658.213</c:v>
                </c:pt>
                <c:pt idx="1">
                  <c:v>1739884.6252000001</c:v>
                </c:pt>
                <c:pt idx="2">
                  <c:v>1159649.4090000002</c:v>
                </c:pt>
                <c:pt idx="3">
                  <c:v>1327285.7778</c:v>
                </c:pt>
                <c:pt idx="4">
                  <c:v>546447.02720000001</c:v>
                </c:pt>
                <c:pt idx="5">
                  <c:v>354870.15260000003</c:v>
                </c:pt>
                <c:pt idx="6">
                  <c:v>335925.28220000007</c:v>
                </c:pt>
                <c:pt idx="7">
                  <c:v>643078.52599999995</c:v>
                </c:pt>
                <c:pt idx="8">
                  <c:v>492552.15599999996</c:v>
                </c:pt>
                <c:pt idx="9">
                  <c:v>490784.02560000011</c:v>
                </c:pt>
                <c:pt idx="10">
                  <c:v>3247873.2103999984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A11-AF81-1106FCDC8709}"/>
            </c:ext>
          </c:extLst>
        </c:ser>
        <c:ser>
          <c:idx val="2"/>
          <c:order val="1"/>
          <c:tx>
            <c:strRef>
              <c:f>'Figure 2sa'!$G$1</c:f>
              <c:strCache>
                <c:ptCount val="1"/>
                <c:pt idx="0">
                  <c:v>MY 2023/24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'Figure 2sa'!$A$2:$A$12</c:f>
              <c:strCache>
                <c:ptCount val="11"/>
                <c:pt idx="0">
                  <c:v>Phillipines</c:v>
                </c:pt>
                <c:pt idx="1">
                  <c:v>Mexico</c:v>
                </c:pt>
                <c:pt idx="2">
                  <c:v>Canada</c:v>
                </c:pt>
                <c:pt idx="3">
                  <c:v>Colombia</c:v>
                </c:pt>
                <c:pt idx="4">
                  <c:v>EU</c:v>
                </c:pt>
                <c:pt idx="5">
                  <c:v>Vietnam</c:v>
                </c:pt>
                <c:pt idx="6">
                  <c:v>Venezuela</c:v>
                </c:pt>
                <c:pt idx="7">
                  <c:v>Ecuador</c:v>
                </c:pt>
                <c:pt idx="8">
                  <c:v>Dominican Republic</c:v>
                </c:pt>
                <c:pt idx="9">
                  <c:v>Guatemala</c:v>
                </c:pt>
                <c:pt idx="10">
                  <c:v>ROW</c:v>
                </c:pt>
              </c:strCache>
            </c:strRef>
          </c:cat>
          <c:val>
            <c:numRef>
              <c:f>'Figure 2sa'!$G$2:$G$12</c:f>
              <c:numCache>
                <c:formatCode>0</c:formatCode>
                <c:ptCount val="11"/>
                <c:pt idx="0">
                  <c:v>2602378.7770000007</c:v>
                </c:pt>
                <c:pt idx="1">
                  <c:v>1950624.1170000001</c:v>
                </c:pt>
                <c:pt idx="2">
                  <c:v>1386503.4709999999</c:v>
                </c:pt>
                <c:pt idx="3">
                  <c:v>1290382.9249999998</c:v>
                </c:pt>
                <c:pt idx="4">
                  <c:v>765402.53</c:v>
                </c:pt>
                <c:pt idx="5">
                  <c:v>743941.51</c:v>
                </c:pt>
                <c:pt idx="6">
                  <c:v>653216.853</c:v>
                </c:pt>
                <c:pt idx="7">
                  <c:v>609555.78899999999</c:v>
                </c:pt>
                <c:pt idx="8">
                  <c:v>568839.18699999992</c:v>
                </c:pt>
                <c:pt idx="9">
                  <c:v>546948.67200000002</c:v>
                </c:pt>
                <c:pt idx="10">
                  <c:v>3494553.4629999958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F-4A11-AF81-1106FCDC8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Countries</a:t>
                </a:r>
              </a:p>
            </c:rich>
          </c:tx>
          <c:layout>
            <c:manualLayout>
              <c:xMode val="edge"/>
              <c:yMode val="edge"/>
              <c:x val="0.4919846313199524"/>
              <c:y val="0.831731199662770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tickLblSkip val="1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817500052304E-3"/>
              <c:y val="0.115903845401049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millions"/>
        </c:dispUnits>
      </c:valAx>
    </c:plotArea>
    <c:legend>
      <c:legendPos val="t"/>
      <c:layout>
        <c:manualLayout>
          <c:xMode val="edge"/>
          <c:yMode val="edge"/>
          <c:x val="0.25522942880027122"/>
          <c:y val="0.12491610638437575"/>
          <c:w val="0.53964572252693876"/>
          <c:h val="4.5332625529761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487361</xdr:colOff>
      <xdr:row>0</xdr:row>
      <xdr:rowOff>51118</xdr:rowOff>
    </xdr:from>
    <xdr:to>
      <xdr:col>15</xdr:col>
      <xdr:colOff>333375</xdr:colOff>
      <xdr:row>25</xdr:row>
      <xdr:rowOff>47625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1995D8B7-DD25-4AF7-52F9-EF60D9A47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0.84449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62007"/>
          <a:ext cx="7165544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The spread is a calculation between U.S. soybean oil and Malaysia's palm oil prices. December 2024 data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are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forecast based on USDA, Foreign Agricultural Service's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December Export Sales data.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USDA, Foreign Agricultural Service, Global Agricultural Trade System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data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and International Grains Council data.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712471</xdr:colOff>
      <xdr:row>0</xdr:row>
      <xdr:rowOff>0</xdr:rowOff>
    </xdr:from>
    <xdr:to>
      <xdr:col>19</xdr:col>
      <xdr:colOff>476250</xdr:colOff>
      <xdr:row>21</xdr:row>
      <xdr:rowOff>9524</xdr:rowOff>
    </xdr:to>
    <xdr:graphicFrame macro="">
      <xdr:nvGraphicFramePr>
        <xdr:cNvPr id="35" name="Chart 1">
          <a:extLst>
            <a:ext uri="{FF2B5EF4-FFF2-40B4-BE49-F238E27FC236}">
              <a16:creationId xmlns:a16="http://schemas.microsoft.com/office/drawing/2014/main" id="{63781184-34EA-EC4D-4DCE-C9D919732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0.86762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33725"/>
          <a:ext cx="6067424" cy="456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Other oilseeds include copra, cottonseed, palm kernel, and peanuts.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January 2025.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296545</xdr:colOff>
      <xdr:row>0</xdr:row>
      <xdr:rowOff>53762</xdr:rowOff>
    </xdr:from>
    <xdr:to>
      <xdr:col>16</xdr:col>
      <xdr:colOff>304800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99CC4A-C8C1-4B41-9F46-E8BF30F94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0.00254</cdr:x>
      <cdr:y>0.89246</cdr:y>
    </cdr:from>
    <cdr:to>
      <cdr:x>0.99393</cdr:x>
      <cdr:y>0.99321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5210" y="3636223"/>
          <a:ext cx="5936493" cy="410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FOB = Free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 Board.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using International Grains Council data.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377824</xdr:colOff>
      <xdr:row>0</xdr:row>
      <xdr:rowOff>53764</xdr:rowOff>
    </xdr:from>
    <xdr:to>
      <xdr:col>19</xdr:col>
      <xdr:colOff>95249</xdr:colOff>
      <xdr:row>24</xdr:row>
      <xdr:rowOff>17357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B30F59-761F-431B-A33E-6BA1AA9EA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0.90877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900593"/>
          <a:ext cx="6706235" cy="365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MY=Marketing year. EU = European Union. ROW = Rest of world.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Foreign Agricultural Service, </a:t>
          </a:r>
          <a:r>
            <a:rPr lang="en-U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Global Agricultural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Trade System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/>
  </sheetViews>
  <sheetFormatPr defaultColWidth="9.5546875" defaultRowHeight="13.8"/>
  <cols>
    <col min="1" max="1" width="166.6640625" style="12" customWidth="1"/>
    <col min="2" max="16384" width="9.5546875" style="1"/>
  </cols>
  <sheetData>
    <row r="1" spans="1:3">
      <c r="B1" s="82"/>
      <c r="C1" s="82"/>
    </row>
    <row r="2" spans="1:3" s="2" customFormat="1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2"/>
    </row>
    <row r="5" spans="1:3">
      <c r="A5" s="10" t="s">
        <v>2</v>
      </c>
      <c r="B5" s="4"/>
      <c r="C5" s="82"/>
    </row>
    <row r="6" spans="1:3">
      <c r="A6" s="10" t="s">
        <v>3</v>
      </c>
      <c r="B6" s="4"/>
      <c r="C6" s="82"/>
    </row>
    <row r="7" spans="1:3">
      <c r="A7" s="10" t="s">
        <v>4</v>
      </c>
      <c r="B7" s="4"/>
      <c r="C7" s="82"/>
    </row>
    <row r="8" spans="1:3">
      <c r="A8" s="10" t="s">
        <v>5</v>
      </c>
      <c r="B8" s="4"/>
      <c r="C8" s="82"/>
    </row>
    <row r="9" spans="1:3">
      <c r="A9" s="10" t="s">
        <v>6</v>
      </c>
      <c r="B9" s="4"/>
      <c r="C9" s="82"/>
    </row>
    <row r="10" spans="1:3">
      <c r="A10" s="10" t="s">
        <v>7</v>
      </c>
      <c r="B10" s="4"/>
      <c r="C10" s="82"/>
    </row>
    <row r="11" spans="1:3">
      <c r="A11" s="10" t="s">
        <v>8</v>
      </c>
      <c r="B11" s="4"/>
      <c r="C11" s="82"/>
    </row>
    <row r="12" spans="1:3">
      <c r="A12" s="10" t="s">
        <v>9</v>
      </c>
      <c r="B12" s="4"/>
      <c r="C12" s="82"/>
    </row>
    <row r="13" spans="1:3">
      <c r="A13" s="10" t="s">
        <v>10</v>
      </c>
      <c r="B13" s="4"/>
      <c r="C13" s="82"/>
    </row>
    <row r="14" spans="1:3">
      <c r="A14" s="11" t="s">
        <v>11</v>
      </c>
      <c r="B14" s="4"/>
      <c r="C14" s="82"/>
    </row>
    <row r="15" spans="1:3">
      <c r="A15" s="11" t="s">
        <v>12</v>
      </c>
      <c r="B15" s="82"/>
      <c r="C15" s="82"/>
    </row>
    <row r="16" spans="1:3" ht="13.2">
      <c r="A16" s="82"/>
      <c r="B16" s="82"/>
      <c r="C16" s="82"/>
    </row>
    <row r="17" spans="1:3">
      <c r="A17" s="7" t="s">
        <v>13</v>
      </c>
      <c r="B17" s="82"/>
      <c r="C17" s="82"/>
    </row>
    <row r="18" spans="1:3">
      <c r="A18" s="9">
        <v>45671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E298-E189-4515-A620-6BAD2CCB1602}">
  <dimension ref="A1:I6"/>
  <sheetViews>
    <sheetView workbookViewId="0"/>
  </sheetViews>
  <sheetFormatPr defaultRowHeight="13.2"/>
  <cols>
    <col min="1" max="1" width="15.21875" customWidth="1"/>
    <col min="2" max="7" width="19.77734375" customWidth="1"/>
    <col min="8" max="8" width="20.77734375" customWidth="1"/>
    <col min="9" max="9" width="19.77734375" customWidth="1"/>
    <col min="10" max="10" width="12" customWidth="1"/>
  </cols>
  <sheetData>
    <row r="1" spans="1:9">
      <c r="A1" s="170" t="s">
        <v>179</v>
      </c>
      <c r="B1" s="170" t="s">
        <v>180</v>
      </c>
      <c r="C1" s="170" t="s">
        <v>181</v>
      </c>
      <c r="D1" s="170" t="s">
        <v>182</v>
      </c>
      <c r="E1" s="170" t="s">
        <v>183</v>
      </c>
      <c r="F1" s="170" t="s">
        <v>184</v>
      </c>
      <c r="G1" s="170" t="s">
        <v>185</v>
      </c>
      <c r="H1" s="170" t="s">
        <v>186</v>
      </c>
      <c r="I1" s="170" t="s">
        <v>187</v>
      </c>
    </row>
    <row r="2" spans="1:9">
      <c r="A2" s="83" t="s">
        <v>120</v>
      </c>
      <c r="B2" s="169">
        <v>5.702</v>
      </c>
      <c r="C2" s="169">
        <v>32.341000000000001</v>
      </c>
      <c r="D2" s="169">
        <v>19.087</v>
      </c>
      <c r="E2" s="169">
        <v>19.684000000000001</v>
      </c>
      <c r="F2" s="169">
        <v>72.106999999999999</v>
      </c>
      <c r="G2" s="169">
        <v>318.15499999999997</v>
      </c>
      <c r="H2" s="169">
        <v>45.048999999999999</v>
      </c>
      <c r="I2" s="169">
        <f>SUM(B2:E2)</f>
        <v>76.813999999999993</v>
      </c>
    </row>
    <row r="3" spans="1:9">
      <c r="A3" s="83" t="s">
        <v>121</v>
      </c>
      <c r="B3" s="169">
        <v>5.9580000000000002</v>
      </c>
      <c r="C3" s="169">
        <v>31.882999999999999</v>
      </c>
      <c r="D3" s="169">
        <v>18.728999999999999</v>
      </c>
      <c r="E3" s="169">
        <v>19.824999999999999</v>
      </c>
      <c r="F3" s="169">
        <v>72.061999999999998</v>
      </c>
      <c r="G3" s="169">
        <v>316.62700000000001</v>
      </c>
      <c r="H3" s="169">
        <v>46.722000000000001</v>
      </c>
      <c r="I3" s="169">
        <f t="shared" ref="I3:I6" si="0">SUM(B3:E3)</f>
        <v>76.394999999999996</v>
      </c>
    </row>
    <row r="4" spans="1:9">
      <c r="A4" s="83" t="s">
        <v>35</v>
      </c>
      <c r="B4" s="169">
        <v>5.9139999999999997</v>
      </c>
      <c r="C4" s="169">
        <v>32.496000000000002</v>
      </c>
      <c r="D4" s="169">
        <v>19.768999999999998</v>
      </c>
      <c r="E4" s="169">
        <v>19.149000000000001</v>
      </c>
      <c r="F4" s="169">
        <v>82.106999999999999</v>
      </c>
      <c r="G4" s="169">
        <v>315.72000000000003</v>
      </c>
      <c r="H4" s="169">
        <v>51.399000000000001</v>
      </c>
      <c r="I4" s="169">
        <f t="shared" si="0"/>
        <v>77.328000000000003</v>
      </c>
    </row>
    <row r="5" spans="1:9">
      <c r="A5" s="83" t="s">
        <v>53</v>
      </c>
      <c r="B5" s="169">
        <v>6.181</v>
      </c>
      <c r="C5" s="169">
        <v>33.018999999999998</v>
      </c>
      <c r="D5" s="169">
        <v>19.588000000000001</v>
      </c>
      <c r="E5" s="169">
        <v>18.672000000000001</v>
      </c>
      <c r="F5" s="169">
        <v>84.822999999999993</v>
      </c>
      <c r="G5" s="169">
        <v>331.13900000000001</v>
      </c>
      <c r="H5" s="169">
        <v>52.396000000000001</v>
      </c>
      <c r="I5" s="169">
        <f t="shared" si="0"/>
        <v>77.459999999999994</v>
      </c>
    </row>
    <row r="6" spans="1:9">
      <c r="A6" s="83" t="s">
        <v>188</v>
      </c>
      <c r="B6" s="169">
        <v>5.782</v>
      </c>
      <c r="C6" s="169">
        <v>33.75</v>
      </c>
      <c r="D6" s="169">
        <v>20.603000000000002</v>
      </c>
      <c r="E6" s="169">
        <v>19.292999999999999</v>
      </c>
      <c r="F6" s="169">
        <v>84.081999999999994</v>
      </c>
      <c r="G6" s="169">
        <v>349.29</v>
      </c>
      <c r="H6" s="169">
        <v>47.515000000000001</v>
      </c>
      <c r="I6" s="169">
        <f t="shared" si="0"/>
        <v>79.427999999999997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511B-6D01-4BAD-96AD-982A80EC30DD}">
  <dimension ref="A1:G87"/>
  <sheetViews>
    <sheetView workbookViewId="0">
      <pane xSplit="1" ySplit="1" topLeftCell="B2" activePane="bottomRight" state="frozen"/>
      <selection activeCell="B1" activeCellId="2" sqref="B77:D81 A77:A81 B1:D1"/>
      <selection pane="topRight" activeCell="B1" activeCellId="2" sqref="B77:D81 A77:A81 B1:D1"/>
      <selection pane="bottomLeft" activeCell="B1" activeCellId="2" sqref="B77:D81 A77:A81 B1:D1"/>
      <selection pane="bottomRight"/>
    </sheetView>
  </sheetViews>
  <sheetFormatPr defaultColWidth="8.88671875" defaultRowHeight="13.8"/>
  <cols>
    <col min="1" max="1" width="10.6640625" style="129" bestFit="1" customWidth="1"/>
    <col min="2" max="2" width="18.109375" style="129" customWidth="1"/>
    <col min="3" max="3" width="14.88671875" style="129" customWidth="1"/>
    <col min="4" max="4" width="13.88671875" style="129" bestFit="1" customWidth="1"/>
    <col min="5" max="16384" width="8.88671875" style="129"/>
  </cols>
  <sheetData>
    <row r="1" spans="1:4" ht="41.4">
      <c r="A1" s="155" t="s">
        <v>163</v>
      </c>
      <c r="B1" s="156" t="s">
        <v>177</v>
      </c>
      <c r="C1" s="156" t="s">
        <v>171</v>
      </c>
      <c r="D1" s="156" t="s">
        <v>172</v>
      </c>
    </row>
    <row r="2" spans="1:4">
      <c r="A2" s="165">
        <v>43374</v>
      </c>
      <c r="B2" s="157">
        <v>339.56521739130437</v>
      </c>
      <c r="C2" s="157">
        <v>348.95478260869561</v>
      </c>
      <c r="D2" s="157">
        <v>358.74652173913046</v>
      </c>
    </row>
    <row r="3" spans="1:4">
      <c r="A3" s="165">
        <v>43405</v>
      </c>
      <c r="B3" s="157">
        <v>332.13636363636363</v>
      </c>
      <c r="C3" s="157">
        <v>334.09999999999997</v>
      </c>
      <c r="D3" s="157">
        <v>345.86181818181819</v>
      </c>
    </row>
    <row r="4" spans="1:4">
      <c r="A4" s="165">
        <v>43435</v>
      </c>
      <c r="B4" s="157">
        <v>327.33333333333331</v>
      </c>
      <c r="C4" s="157">
        <v>326.23523809523812</v>
      </c>
      <c r="D4" s="157">
        <v>345.53666666666669</v>
      </c>
    </row>
    <row r="5" spans="1:4">
      <c r="A5" s="165">
        <v>43466</v>
      </c>
      <c r="B5" s="157">
        <v>333.69565217391306</v>
      </c>
      <c r="C5" s="157">
        <v>331.67913043478262</v>
      </c>
      <c r="D5" s="157">
        <v>347.4586956521739</v>
      </c>
    </row>
    <row r="6" spans="1:4">
      <c r="A6" s="165">
        <v>43497</v>
      </c>
      <c r="B6" s="157">
        <v>325.5263157894737</v>
      </c>
      <c r="C6" s="157">
        <v>324.90450000000004</v>
      </c>
      <c r="D6" s="157">
        <v>339.76099999999997</v>
      </c>
    </row>
    <row r="7" spans="1:4">
      <c r="A7" s="165">
        <v>43525</v>
      </c>
      <c r="B7" s="157">
        <v>319.66666666666669</v>
      </c>
      <c r="C7" s="157">
        <v>318.69761904761907</v>
      </c>
      <c r="D7" s="157">
        <v>341.90619047619049</v>
      </c>
    </row>
    <row r="8" spans="1:4">
      <c r="A8" s="165">
        <v>43556</v>
      </c>
      <c r="B8" s="157">
        <v>313.09523809523807</v>
      </c>
      <c r="C8" s="157">
        <v>314.91499999999991</v>
      </c>
      <c r="D8" s="157">
        <v>344.06136363636364</v>
      </c>
    </row>
    <row r="9" spans="1:4">
      <c r="A9" s="165">
        <v>43586</v>
      </c>
      <c r="B9" s="157">
        <v>310.60869565217394</v>
      </c>
      <c r="C9" s="157">
        <v>311.48869565217393</v>
      </c>
      <c r="D9" s="157">
        <v>333.58652173913055</v>
      </c>
    </row>
    <row r="10" spans="1:4">
      <c r="A10" s="165">
        <v>43617</v>
      </c>
      <c r="B10" s="157">
        <v>330.5</v>
      </c>
      <c r="C10" s="157">
        <v>333.89500000000004</v>
      </c>
      <c r="D10" s="157">
        <v>358.8959999999999</v>
      </c>
    </row>
    <row r="11" spans="1:4">
      <c r="A11" s="165">
        <v>43647</v>
      </c>
      <c r="B11" s="157">
        <v>317.04347826086956</v>
      </c>
      <c r="C11" s="157">
        <v>318.16695652173911</v>
      </c>
      <c r="D11" s="157">
        <v>348.15260869565208</v>
      </c>
    </row>
    <row r="12" spans="1:4">
      <c r="A12" s="165">
        <v>43678</v>
      </c>
      <c r="B12" s="157">
        <v>305.31818181818181</v>
      </c>
      <c r="C12" s="157">
        <v>307.46590909090907</v>
      </c>
      <c r="D12" s="157">
        <v>333.63636363636363</v>
      </c>
    </row>
    <row r="13" spans="1:4">
      <c r="A13" s="165">
        <v>43709</v>
      </c>
      <c r="B13" s="157">
        <v>298.71428571428572</v>
      </c>
      <c r="C13" s="157">
        <v>303.36142857142858</v>
      </c>
      <c r="D13" s="157">
        <v>330.13095238095241</v>
      </c>
    </row>
    <row r="14" spans="1:4">
      <c r="A14" s="165">
        <v>43739</v>
      </c>
      <c r="B14" s="157">
        <v>308.56521739130437</v>
      </c>
      <c r="C14" s="157">
        <v>312.36043478260882</v>
      </c>
      <c r="D14" s="157">
        <v>339.41304347826087</v>
      </c>
    </row>
    <row r="15" spans="1:4">
      <c r="A15" s="165">
        <v>43770</v>
      </c>
      <c r="B15" s="157">
        <v>319.61904761904759</v>
      </c>
      <c r="C15" s="157">
        <v>318.84047619047624</v>
      </c>
      <c r="D15" s="157">
        <v>339.04761904761904</v>
      </c>
    </row>
    <row r="16" spans="1:4">
      <c r="A16" s="165">
        <v>43800</v>
      </c>
      <c r="B16" s="157">
        <v>328.27272727272725</v>
      </c>
      <c r="C16" s="157">
        <v>323.98590909090905</v>
      </c>
      <c r="D16" s="157">
        <v>342.85590909090911</v>
      </c>
    </row>
    <row r="17" spans="1:4">
      <c r="A17" s="165">
        <v>43831</v>
      </c>
      <c r="B17" s="157">
        <v>336.3478260869565</v>
      </c>
      <c r="C17" s="157">
        <v>321.03565217391304</v>
      </c>
      <c r="D17" s="157">
        <v>340.28478260869559</v>
      </c>
    </row>
    <row r="18" spans="1:4">
      <c r="A18" s="165">
        <v>43862</v>
      </c>
      <c r="B18" s="157">
        <v>329.6</v>
      </c>
      <c r="C18" s="157">
        <v>317.0455</v>
      </c>
      <c r="D18" s="157">
        <v>334.18900000000002</v>
      </c>
    </row>
    <row r="19" spans="1:4">
      <c r="A19" s="165">
        <v>43891</v>
      </c>
      <c r="B19" s="157">
        <v>348.45454545454544</v>
      </c>
      <c r="C19" s="157">
        <v>337.19363636363636</v>
      </c>
      <c r="D19" s="157">
        <v>361.30681818181819</v>
      </c>
    </row>
    <row r="20" spans="1:4">
      <c r="A20" s="165">
        <v>43922</v>
      </c>
      <c r="B20" s="157">
        <v>328.27272727272725</v>
      </c>
      <c r="C20" s="157">
        <v>319.149090909091</v>
      </c>
      <c r="D20" s="157">
        <v>348.83181818181828</v>
      </c>
    </row>
    <row r="21" spans="1:4">
      <c r="A21" s="165">
        <v>43952</v>
      </c>
      <c r="B21" s="157">
        <v>317.90476190476193</v>
      </c>
      <c r="C21" s="157">
        <v>313.47285714285721</v>
      </c>
      <c r="D21" s="157">
        <v>331.17</v>
      </c>
    </row>
    <row r="22" spans="1:4">
      <c r="A22" s="165">
        <v>43983</v>
      </c>
      <c r="B22" s="157">
        <v>319.09090909090907</v>
      </c>
      <c r="C22" s="157">
        <v>320.93909090909091</v>
      </c>
      <c r="D22" s="157">
        <v>334.60636363636371</v>
      </c>
    </row>
    <row r="23" spans="1:4">
      <c r="A23" s="165">
        <v>44013</v>
      </c>
      <c r="B23" s="157">
        <v>325.60869565217394</v>
      </c>
      <c r="C23" s="157">
        <v>326.54434782608695</v>
      </c>
      <c r="D23" s="157">
        <v>340.16391304347826</v>
      </c>
    </row>
    <row r="24" spans="1:4">
      <c r="A24" s="165">
        <v>44044</v>
      </c>
      <c r="B24" s="157">
        <v>337.14285714285717</v>
      </c>
      <c r="C24" s="157">
        <v>342.14333333333332</v>
      </c>
      <c r="D24" s="157">
        <v>346.08285714285722</v>
      </c>
    </row>
    <row r="25" spans="1:4">
      <c r="A25" s="165">
        <v>44075</v>
      </c>
      <c r="B25" s="157">
        <v>377.04545454545456</v>
      </c>
      <c r="C25" s="157">
        <v>380.67</v>
      </c>
      <c r="D25" s="157">
        <v>384.68727272727267</v>
      </c>
    </row>
    <row r="26" spans="1:4">
      <c r="A26" s="165">
        <v>44105</v>
      </c>
      <c r="B26" s="157">
        <v>434.40909090909093</v>
      </c>
      <c r="C26" s="157">
        <v>436.415909090909</v>
      </c>
      <c r="D26" s="157">
        <v>442.33363636363634</v>
      </c>
    </row>
    <row r="27" spans="1:4">
      <c r="A27" s="165">
        <v>44136</v>
      </c>
      <c r="B27" s="157">
        <v>462.52380952380952</v>
      </c>
      <c r="C27" s="157">
        <v>464.71809523809526</v>
      </c>
      <c r="D27" s="157">
        <v>475.56952380952396</v>
      </c>
    </row>
    <row r="28" spans="1:4">
      <c r="A28" s="165">
        <v>44166</v>
      </c>
      <c r="B28" s="157">
        <v>471.13043478260869</v>
      </c>
      <c r="C28" s="157">
        <v>470.69260869565221</v>
      </c>
      <c r="D28" s="157">
        <v>482.84913043478269</v>
      </c>
    </row>
    <row r="29" spans="1:4">
      <c r="A29" s="165">
        <v>44197</v>
      </c>
      <c r="B29" s="157">
        <v>515.95238095238096</v>
      </c>
      <c r="C29" s="157">
        <v>516.58047619047625</v>
      </c>
      <c r="D29" s="157">
        <v>534.39619047619044</v>
      </c>
    </row>
    <row r="30" spans="1:4">
      <c r="A30" s="165">
        <v>44228</v>
      </c>
      <c r="B30" s="157">
        <v>476.4</v>
      </c>
      <c r="C30" s="157">
        <v>482.62250000000006</v>
      </c>
      <c r="D30" s="157">
        <v>513.09450000000004</v>
      </c>
    </row>
    <row r="31" spans="1:4">
      <c r="A31" s="165">
        <v>44256</v>
      </c>
      <c r="B31" s="157">
        <v>432.04347826086956</v>
      </c>
      <c r="C31" s="157">
        <v>429.66739130434786</v>
      </c>
      <c r="D31" s="157">
        <v>469.27999999999992</v>
      </c>
    </row>
    <row r="32" spans="1:4">
      <c r="A32" s="165">
        <v>44287</v>
      </c>
      <c r="B32" s="157">
        <v>433.77272727272725</v>
      </c>
      <c r="C32" s="157">
        <v>436.04727272727268</v>
      </c>
      <c r="D32" s="157">
        <v>468.93227272727268</v>
      </c>
    </row>
    <row r="33" spans="1:4">
      <c r="A33" s="165">
        <v>44317</v>
      </c>
      <c r="B33" s="157">
        <v>438.52380952380952</v>
      </c>
      <c r="C33" s="157">
        <v>445.24190476190478</v>
      </c>
      <c r="D33" s="157">
        <v>467.86047619047628</v>
      </c>
    </row>
    <row r="34" spans="1:4">
      <c r="A34" s="165">
        <v>44348</v>
      </c>
      <c r="B34" s="157">
        <v>406.90909090909093</v>
      </c>
      <c r="C34" s="157">
        <v>420.70545454545447</v>
      </c>
      <c r="D34" s="157">
        <v>422.81499999999994</v>
      </c>
    </row>
    <row r="35" spans="1:4">
      <c r="A35" s="165">
        <v>44378</v>
      </c>
      <c r="B35" s="157">
        <v>396.04545454545456</v>
      </c>
      <c r="C35" s="157">
        <v>425.43590909090904</v>
      </c>
      <c r="D35" s="157">
        <v>425.50727272727255</v>
      </c>
    </row>
    <row r="36" spans="1:4">
      <c r="A36" s="165">
        <v>44409</v>
      </c>
      <c r="B36" s="157">
        <v>392.63636363636363</v>
      </c>
      <c r="C36" s="157">
        <v>417.8059090909091</v>
      </c>
      <c r="D36" s="157">
        <v>422.39772727272725</v>
      </c>
    </row>
    <row r="37" spans="1:4">
      <c r="A37" s="165">
        <v>44440</v>
      </c>
      <c r="B37" s="157">
        <v>401.72727272727275</v>
      </c>
      <c r="C37" s="157">
        <v>415.39909090909083</v>
      </c>
      <c r="D37" s="157">
        <v>418.13409090909084</v>
      </c>
    </row>
    <row r="38" spans="1:4">
      <c r="A38" s="165">
        <v>44470</v>
      </c>
      <c r="B38" s="157">
        <v>386.52380952380952</v>
      </c>
      <c r="C38" s="157">
        <v>392.2928571428572</v>
      </c>
      <c r="D38" s="157">
        <v>408.76333333333338</v>
      </c>
    </row>
    <row r="39" spans="1:4">
      <c r="A39" s="165">
        <v>44501</v>
      </c>
      <c r="B39" s="157">
        <v>392.86363636363637</v>
      </c>
      <c r="C39" s="157">
        <v>385.88318181818192</v>
      </c>
      <c r="D39" s="157">
        <v>431.11363636363643</v>
      </c>
    </row>
    <row r="40" spans="1:4">
      <c r="A40" s="165">
        <v>44531</v>
      </c>
      <c r="B40" s="157">
        <v>425.17391304347825</v>
      </c>
      <c r="C40" s="157">
        <v>420.01043478260868</v>
      </c>
      <c r="D40" s="157">
        <v>451.46</v>
      </c>
    </row>
    <row r="41" spans="1:4">
      <c r="A41" s="165">
        <v>44562</v>
      </c>
      <c r="B41" s="157">
        <v>464.61904761904759</v>
      </c>
      <c r="C41" s="157">
        <v>469.57000000000005</v>
      </c>
      <c r="D41" s="157">
        <v>489.25714285714292</v>
      </c>
    </row>
    <row r="42" spans="1:4">
      <c r="A42" s="165">
        <v>44593</v>
      </c>
      <c r="B42" s="157">
        <v>505.15</v>
      </c>
      <c r="C42" s="157">
        <v>534.46299999999997</v>
      </c>
      <c r="D42" s="157">
        <v>537.91150000000005</v>
      </c>
    </row>
    <row r="43" spans="1:4">
      <c r="A43" s="165">
        <v>44621</v>
      </c>
      <c r="B43" s="157">
        <v>547.695652173913</v>
      </c>
      <c r="C43" s="157">
        <v>566.18695652173926</v>
      </c>
      <c r="D43" s="157">
        <v>581.57434782608709</v>
      </c>
    </row>
    <row r="44" spans="1:4">
      <c r="A44" s="165">
        <v>44652</v>
      </c>
      <c r="B44" s="157">
        <v>515.71428571428567</v>
      </c>
      <c r="C44" s="157">
        <v>523.51333333333332</v>
      </c>
      <c r="D44" s="157">
        <v>559.15238095238101</v>
      </c>
    </row>
    <row r="45" spans="1:4">
      <c r="A45" s="165">
        <v>44682</v>
      </c>
      <c r="B45" s="157">
        <v>473.04545454545456</v>
      </c>
      <c r="C45" s="157">
        <v>475.18590909090909</v>
      </c>
      <c r="D45" s="157">
        <v>500.47545454545451</v>
      </c>
    </row>
    <row r="46" spans="1:4">
      <c r="A46" s="165">
        <v>44713</v>
      </c>
      <c r="B46" s="157">
        <v>476</v>
      </c>
      <c r="C46" s="157">
        <v>482.7463636363637</v>
      </c>
      <c r="D46" s="157">
        <v>527.14363636363635</v>
      </c>
    </row>
    <row r="47" spans="1:4">
      <c r="A47" s="165">
        <v>44743</v>
      </c>
      <c r="B47" s="157">
        <v>486.09523809523807</v>
      </c>
      <c r="C47" s="157">
        <v>492.75190476190465</v>
      </c>
      <c r="D47" s="157">
        <v>556.71380952380946</v>
      </c>
    </row>
    <row r="48" spans="1:4">
      <c r="A48" s="165">
        <v>44774</v>
      </c>
      <c r="B48" s="157">
        <v>488.95652173913044</v>
      </c>
      <c r="C48" s="157">
        <v>487.86043478260871</v>
      </c>
      <c r="D48" s="157">
        <v>564.73217391304365</v>
      </c>
    </row>
    <row r="49" spans="1:4">
      <c r="A49" s="165">
        <v>44805</v>
      </c>
      <c r="B49" s="157">
        <v>479.81818181818181</v>
      </c>
      <c r="C49" s="157">
        <v>487.40590909090918</v>
      </c>
      <c r="D49" s="157">
        <v>520.22636363636366</v>
      </c>
    </row>
    <row r="50" spans="1:4">
      <c r="A50" s="165">
        <v>44835</v>
      </c>
      <c r="B50" s="157">
        <v>486.6</v>
      </c>
      <c r="C50" s="157">
        <v>491.07476190476189</v>
      </c>
      <c r="D50" s="157">
        <v>496.85238095238094</v>
      </c>
    </row>
    <row r="51" spans="1:4">
      <c r="A51" s="165">
        <v>44866</v>
      </c>
      <c r="B51" s="157">
        <v>482.36363636363637</v>
      </c>
      <c r="C51" s="157">
        <v>475.39409090909089</v>
      </c>
      <c r="D51" s="157">
        <v>500.14909090909094</v>
      </c>
    </row>
    <row r="52" spans="1:4">
      <c r="A52" s="165">
        <v>44896</v>
      </c>
      <c r="B52" s="157">
        <v>539.40909090909088</v>
      </c>
      <c r="C52" s="157">
        <v>534.33181818181811</v>
      </c>
      <c r="D52" s="157">
        <v>540.70545454545436</v>
      </c>
    </row>
    <row r="53" spans="1:4">
      <c r="A53" s="165">
        <v>44927</v>
      </c>
      <c r="B53" s="157">
        <v>584.40909090909088</v>
      </c>
      <c r="C53" s="157">
        <v>563.44272727272732</v>
      </c>
      <c r="D53" s="157">
        <v>582.87318181818182</v>
      </c>
    </row>
    <row r="54" spans="1:4">
      <c r="A54" s="165">
        <v>44958</v>
      </c>
      <c r="B54" s="157">
        <v>587.54999999999995</v>
      </c>
      <c r="C54" s="157">
        <v>562.32950000000005</v>
      </c>
      <c r="D54" s="157">
        <v>607.76350000000014</v>
      </c>
    </row>
    <row r="55" spans="1:4">
      <c r="A55" s="165">
        <v>44986</v>
      </c>
      <c r="B55" s="157">
        <v>544.17391304347825</v>
      </c>
      <c r="C55" s="157">
        <v>519.37826086956522</v>
      </c>
      <c r="D55" s="157">
        <v>564.04347826086951</v>
      </c>
    </row>
    <row r="56" spans="1:4">
      <c r="A56" s="165">
        <v>45017</v>
      </c>
      <c r="B56" s="157">
        <v>500.9</v>
      </c>
      <c r="C56" s="157">
        <v>489.26949999999999</v>
      </c>
      <c r="D56" s="157">
        <v>527.85399999999993</v>
      </c>
    </row>
    <row r="57" spans="1:4">
      <c r="A57" s="165">
        <v>45047</v>
      </c>
      <c r="B57" s="157">
        <v>478.39130434782606</v>
      </c>
      <c r="C57" s="157">
        <v>466.04521739130439</v>
      </c>
      <c r="D57" s="157">
        <v>482.61260869565217</v>
      </c>
    </row>
    <row r="58" spans="1:4">
      <c r="A58" s="165">
        <v>45078</v>
      </c>
      <c r="B58" s="157">
        <v>464.09523809523807</v>
      </c>
      <c r="C58" s="157">
        <v>457.56545454545443</v>
      </c>
      <c r="D58" s="157">
        <v>469.40227272727265</v>
      </c>
    </row>
    <row r="59" spans="1:4">
      <c r="A59" s="165">
        <v>45108</v>
      </c>
      <c r="B59" s="157">
        <v>496.47619047619048</v>
      </c>
      <c r="C59" s="157">
        <v>479.74190476190478</v>
      </c>
      <c r="D59" s="157">
        <v>503.83714285714285</v>
      </c>
    </row>
    <row r="60" spans="1:4">
      <c r="A60" s="165">
        <v>45139</v>
      </c>
      <c r="B60" s="157">
        <v>487.47826086956519</v>
      </c>
      <c r="C60" s="157">
        <v>469.70521739130447</v>
      </c>
      <c r="D60" s="157">
        <v>494.30913043478262</v>
      </c>
    </row>
    <row r="61" spans="1:4">
      <c r="A61" s="165">
        <v>45170</v>
      </c>
      <c r="B61" s="157">
        <v>478.14285714285717</v>
      </c>
      <c r="C61" s="157">
        <v>467.17714285714283</v>
      </c>
      <c r="D61" s="157">
        <v>486.5885714285713</v>
      </c>
    </row>
    <row r="62" spans="1:4">
      <c r="A62" s="165">
        <v>45200</v>
      </c>
      <c r="B62" s="157">
        <v>493.31818181818181</v>
      </c>
      <c r="C62" s="157">
        <v>476.55181818181825</v>
      </c>
      <c r="D62" s="157">
        <v>498.55772727272722</v>
      </c>
    </row>
    <row r="63" spans="1:4">
      <c r="A63" s="165">
        <v>45231</v>
      </c>
      <c r="B63" s="157">
        <v>547.5454545454545</v>
      </c>
      <c r="C63" s="157">
        <v>524.36272727272728</v>
      </c>
      <c r="D63" s="157">
        <v>550.1813636363637</v>
      </c>
    </row>
    <row r="64" spans="1:4">
      <c r="A64" s="165">
        <v>45261</v>
      </c>
      <c r="B64" s="157">
        <v>476.28571428571428</v>
      </c>
      <c r="C64" s="157">
        <v>461.12333333333333</v>
      </c>
      <c r="D64" s="157">
        <v>491.58380952380952</v>
      </c>
    </row>
    <row r="65" spans="1:7">
      <c r="A65" s="165">
        <v>45292</v>
      </c>
      <c r="B65" s="157">
        <v>437.39130434782606</v>
      </c>
      <c r="C65" s="157">
        <v>426.70043478260862</v>
      </c>
      <c r="D65" s="157">
        <v>438.56608695652176</v>
      </c>
    </row>
    <row r="66" spans="1:7">
      <c r="A66" s="165">
        <v>45323</v>
      </c>
      <c r="B66" s="157">
        <v>400</v>
      </c>
      <c r="C66" s="157">
        <v>398.13150000000002</v>
      </c>
      <c r="D66" s="157">
        <v>422.93649999999997</v>
      </c>
    </row>
    <row r="67" spans="1:7">
      <c r="A67" s="165">
        <v>45352</v>
      </c>
      <c r="B67" s="157">
        <v>387.85</v>
      </c>
      <c r="C67" s="157">
        <v>378.92142857142858</v>
      </c>
      <c r="D67" s="157">
        <v>402.75190476190483</v>
      </c>
    </row>
    <row r="68" spans="1:7">
      <c r="A68" s="165">
        <v>45383</v>
      </c>
      <c r="B68" s="157">
        <v>386.68181818181819</v>
      </c>
      <c r="C68" s="157">
        <v>380.12227272727267</v>
      </c>
      <c r="D68" s="157">
        <v>399.63727272727277</v>
      </c>
    </row>
    <row r="69" spans="1:7">
      <c r="A69" s="165">
        <v>45413</v>
      </c>
      <c r="B69" s="157">
        <v>428.60869565217394</v>
      </c>
      <c r="C69" s="157">
        <v>423.67999999999989</v>
      </c>
      <c r="D69" s="157">
        <v>443.04217391304354</v>
      </c>
    </row>
    <row r="70" spans="1:7">
      <c r="A70" s="165">
        <v>45444</v>
      </c>
      <c r="B70" s="157">
        <v>406.75</v>
      </c>
      <c r="C70" s="157">
        <v>403.14849999999996</v>
      </c>
      <c r="D70" s="157">
        <v>438.36849999999993</v>
      </c>
    </row>
    <row r="71" spans="1:7">
      <c r="A71" s="165">
        <v>45474</v>
      </c>
      <c r="B71" s="157">
        <v>373.39130434782606</v>
      </c>
      <c r="C71" s="157">
        <v>369.38304347826079</v>
      </c>
      <c r="D71" s="157">
        <v>422.64695652173907</v>
      </c>
    </row>
    <row r="72" spans="1:7">
      <c r="A72" s="165">
        <v>45505</v>
      </c>
      <c r="B72" s="157">
        <v>370.14285714285717</v>
      </c>
      <c r="C72" s="157">
        <v>366.72681818181809</v>
      </c>
      <c r="D72" s="157">
        <v>395.36818181818182</v>
      </c>
    </row>
    <row r="73" spans="1:7">
      <c r="A73" s="165">
        <v>45536</v>
      </c>
      <c r="B73" s="157">
        <v>380.90476190476193</v>
      </c>
      <c r="C73" s="157">
        <v>384.35476190476197</v>
      </c>
      <c r="D73" s="157">
        <v>408.58904761904768</v>
      </c>
    </row>
    <row r="74" spans="1:7">
      <c r="A74" s="165">
        <v>45566</v>
      </c>
      <c r="B74" s="157">
        <v>364.26086956521738</v>
      </c>
      <c r="C74" s="157">
        <v>367.91304347826093</v>
      </c>
      <c r="D74" s="157">
        <v>409.32043478260863</v>
      </c>
    </row>
    <row r="75" spans="1:7">
      <c r="A75" s="165">
        <v>45597</v>
      </c>
      <c r="B75" s="157">
        <v>331.47619047619048</v>
      </c>
      <c r="C75" s="157">
        <v>332.81476190476189</v>
      </c>
      <c r="D75" s="157">
        <v>359.6304761904762</v>
      </c>
    </row>
    <row r="76" spans="1:7">
      <c r="A76" s="165">
        <v>45627</v>
      </c>
      <c r="B76" s="157">
        <v>328.72727272727275</v>
      </c>
      <c r="C76" s="157">
        <v>326.7354545454545</v>
      </c>
      <c r="D76" s="157">
        <v>343.98772727272728</v>
      </c>
    </row>
    <row r="77" spans="1:7">
      <c r="A77" s="165">
        <v>45658</v>
      </c>
      <c r="B77" s="157">
        <v>339.5</v>
      </c>
      <c r="C77" s="157">
        <v>341.34000000000003</v>
      </c>
      <c r="D77" s="157">
        <v>362.685</v>
      </c>
    </row>
    <row r="80" spans="1:7">
      <c r="B80" s="158"/>
      <c r="C80" s="158"/>
      <c r="D80" s="158"/>
      <c r="F80" s="158"/>
      <c r="G80" s="158"/>
    </row>
    <row r="81" spans="2:7">
      <c r="B81" s="158"/>
      <c r="C81" s="158"/>
      <c r="D81" s="158"/>
      <c r="F81" s="158"/>
      <c r="G81" s="158"/>
    </row>
    <row r="82" spans="2:7">
      <c r="B82" s="158"/>
      <c r="C82" s="158"/>
      <c r="D82" s="158"/>
      <c r="F82" s="158"/>
      <c r="G82" s="158"/>
    </row>
    <row r="83" spans="2:7">
      <c r="B83" s="158"/>
      <c r="C83" s="158"/>
      <c r="D83" s="158"/>
      <c r="F83" s="158"/>
      <c r="G83" s="158"/>
    </row>
    <row r="84" spans="2:7">
      <c r="B84" s="158"/>
      <c r="C84" s="158"/>
      <c r="D84" s="158"/>
      <c r="F84" s="158"/>
      <c r="G84" s="158"/>
    </row>
    <row r="86" spans="2:7">
      <c r="B86" s="158"/>
      <c r="C86" s="158"/>
      <c r="D86" s="158"/>
    </row>
    <row r="87" spans="2:7">
      <c r="B87" s="159"/>
      <c r="C87" s="159"/>
      <c r="D87" s="15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38CE-3AA9-43DE-9B82-F6B60B4752B7}">
  <dimension ref="A1:H85"/>
  <sheetViews>
    <sheetView zoomScale="90" zoomScaleNormal="90" workbookViewId="0"/>
  </sheetViews>
  <sheetFormatPr defaultColWidth="9.33203125" defaultRowHeight="13.8"/>
  <cols>
    <col min="1" max="1" width="35" style="129" customWidth="1"/>
    <col min="2" max="2" width="11.44140625" style="129" customWidth="1"/>
    <col min="3" max="3" width="11.88671875" style="129" customWidth="1"/>
    <col min="4" max="4" width="13.6640625" style="129" customWidth="1"/>
    <col min="5" max="5" width="12.33203125" style="129" customWidth="1"/>
    <col min="6" max="6" width="14.6640625" style="129" customWidth="1"/>
    <col min="7" max="7" width="15.33203125" style="129" customWidth="1"/>
    <col min="8" max="8" width="34.77734375" style="129" customWidth="1"/>
    <col min="9" max="16384" width="9.33203125" style="129"/>
  </cols>
  <sheetData>
    <row r="1" spans="1:8" ht="34.5" customHeight="1">
      <c r="A1" s="160" t="s">
        <v>189</v>
      </c>
      <c r="B1" s="161" t="s">
        <v>118</v>
      </c>
      <c r="C1" s="161" t="s">
        <v>119</v>
      </c>
      <c r="D1" s="161" t="s">
        <v>120</v>
      </c>
      <c r="E1" s="161" t="s">
        <v>121</v>
      </c>
      <c r="F1" s="161" t="s">
        <v>174</v>
      </c>
      <c r="G1" s="161" t="s">
        <v>175</v>
      </c>
      <c r="H1" s="155" t="s">
        <v>176</v>
      </c>
    </row>
    <row r="2" spans="1:8" ht="13.95" customHeight="1">
      <c r="A2" s="130" t="s">
        <v>164</v>
      </c>
      <c r="B2" s="158">
        <v>2123157.855</v>
      </c>
      <c r="C2" s="158">
        <v>2382240.2469999995</v>
      </c>
      <c r="D2" s="158">
        <v>2139821.6689999998</v>
      </c>
      <c r="E2" s="158">
        <v>2113165.9779999997</v>
      </c>
      <c r="F2" s="158">
        <v>2144905.3160000001</v>
      </c>
      <c r="G2" s="158">
        <v>2602378.7770000007</v>
      </c>
      <c r="H2" s="158">
        <f t="shared" ref="H2:H13" si="0">AVERAGE(B2:F2)</f>
        <v>2180658.213</v>
      </c>
    </row>
    <row r="3" spans="1:8" ht="13.95" customHeight="1">
      <c r="A3" s="130" t="s">
        <v>159</v>
      </c>
      <c r="B3" s="158">
        <v>1750577.6609999998</v>
      </c>
      <c r="C3" s="158">
        <v>1813634.416</v>
      </c>
      <c r="D3" s="158">
        <v>1836859.213</v>
      </c>
      <c r="E3" s="158">
        <v>1612310.6960000002</v>
      </c>
      <c r="F3" s="158">
        <v>1686041.14</v>
      </c>
      <c r="G3" s="158">
        <v>1950624.1170000001</v>
      </c>
      <c r="H3" s="158">
        <f t="shared" si="0"/>
        <v>1739884.6252000001</v>
      </c>
    </row>
    <row r="4" spans="1:8" ht="13.95" customHeight="1">
      <c r="A4" s="130" t="s">
        <v>165</v>
      </c>
      <c r="B4" s="158">
        <v>969778.72200000018</v>
      </c>
      <c r="C4" s="158">
        <v>1101739.9790000001</v>
      </c>
      <c r="D4" s="158">
        <v>1220694.9669999999</v>
      </c>
      <c r="E4" s="158">
        <v>1293438.5540000002</v>
      </c>
      <c r="F4" s="158">
        <v>1212594.8230000001</v>
      </c>
      <c r="G4" s="158">
        <v>1386503.4709999999</v>
      </c>
      <c r="H4" s="158">
        <f t="shared" si="0"/>
        <v>1159649.4090000002</v>
      </c>
    </row>
    <row r="5" spans="1:8" ht="13.95" customHeight="1">
      <c r="A5" s="130" t="s">
        <v>160</v>
      </c>
      <c r="B5" s="158">
        <v>1207076.5729999999</v>
      </c>
      <c r="C5" s="158">
        <v>1382602.3760000002</v>
      </c>
      <c r="D5" s="158">
        <v>1096683.7250000001</v>
      </c>
      <c r="E5" s="158">
        <v>1545500.1929999997</v>
      </c>
      <c r="F5" s="158">
        <v>1404566.0220000003</v>
      </c>
      <c r="G5" s="158">
        <v>1290382.9249999998</v>
      </c>
      <c r="H5" s="158">
        <f t="shared" si="0"/>
        <v>1327285.7778</v>
      </c>
    </row>
    <row r="6" spans="1:8">
      <c r="A6" s="130" t="s">
        <v>166</v>
      </c>
      <c r="B6" s="177">
        <v>700932.6239999996</v>
      </c>
      <c r="C6" s="177">
        <v>321149.82699999999</v>
      </c>
      <c r="D6" s="177">
        <v>578224.13300000015</v>
      </c>
      <c r="E6" s="158">
        <v>302239.15499999997</v>
      </c>
      <c r="F6" s="158">
        <v>829689.39699999988</v>
      </c>
      <c r="G6" s="158">
        <v>765402.53</v>
      </c>
      <c r="H6" s="158">
        <f t="shared" si="0"/>
        <v>546447.02720000001</v>
      </c>
    </row>
    <row r="7" spans="1:8">
      <c r="A7" s="129" t="s">
        <v>167</v>
      </c>
      <c r="B7" s="177">
        <v>617637.23600000003</v>
      </c>
      <c r="C7" s="177">
        <v>177129.46799999999</v>
      </c>
      <c r="D7" s="177">
        <v>417416.57799999998</v>
      </c>
      <c r="E7" s="158">
        <v>149448.804</v>
      </c>
      <c r="F7" s="158">
        <v>412718.67700000003</v>
      </c>
      <c r="G7" s="158">
        <v>743941.51</v>
      </c>
      <c r="H7" s="158">
        <f t="shared" si="0"/>
        <v>354870.15260000003</v>
      </c>
    </row>
    <row r="8" spans="1:8">
      <c r="A8" s="129" t="s">
        <v>168</v>
      </c>
      <c r="B8" s="177">
        <v>128095.28400000001</v>
      </c>
      <c r="C8" s="177">
        <v>189592.37699999998</v>
      </c>
      <c r="D8" s="177">
        <v>346450.22000000003</v>
      </c>
      <c r="E8" s="158">
        <v>451123.84200000006</v>
      </c>
      <c r="F8" s="158">
        <v>564364.68799999997</v>
      </c>
      <c r="G8" s="158">
        <v>653216.853</v>
      </c>
      <c r="H8" s="158">
        <f t="shared" si="0"/>
        <v>335925.28220000007</v>
      </c>
    </row>
    <row r="9" spans="1:8">
      <c r="A9" s="129" t="s">
        <v>169</v>
      </c>
      <c r="B9" s="177">
        <v>507444.55</v>
      </c>
      <c r="C9" s="177">
        <v>540802.36800000002</v>
      </c>
      <c r="D9" s="177">
        <v>664596.93799999997</v>
      </c>
      <c r="E9" s="158">
        <v>751796.82900000003</v>
      </c>
      <c r="F9" s="158">
        <v>750751.94500000007</v>
      </c>
      <c r="G9" s="158">
        <v>609555.78899999999</v>
      </c>
      <c r="H9" s="158">
        <f t="shared" si="0"/>
        <v>643078.52599999995</v>
      </c>
    </row>
    <row r="10" spans="1:8">
      <c r="A10" s="129" t="s">
        <v>161</v>
      </c>
      <c r="B10" s="177">
        <v>537915.745</v>
      </c>
      <c r="C10" s="177">
        <v>476261.36900000006</v>
      </c>
      <c r="D10" s="177">
        <v>483304.04500000004</v>
      </c>
      <c r="E10" s="158">
        <v>474617.78899999999</v>
      </c>
      <c r="F10" s="158">
        <v>490661.83200000005</v>
      </c>
      <c r="G10" s="158">
        <v>568839.18699999992</v>
      </c>
      <c r="H10" s="158">
        <f t="shared" si="0"/>
        <v>492552.15599999996</v>
      </c>
    </row>
    <row r="11" spans="1:8">
      <c r="A11" s="129" t="s">
        <v>170</v>
      </c>
      <c r="B11" s="158">
        <v>434488.29200000002</v>
      </c>
      <c r="C11" s="158">
        <v>495397.77000000008</v>
      </c>
      <c r="D11" s="158">
        <v>458526.03600000002</v>
      </c>
      <c r="E11" s="158">
        <v>574122.74300000002</v>
      </c>
      <c r="F11" s="158">
        <v>491385.28700000001</v>
      </c>
      <c r="G11" s="158">
        <v>546948.67200000002</v>
      </c>
      <c r="H11" s="158">
        <f t="shared" si="0"/>
        <v>490784.02560000011</v>
      </c>
    </row>
    <row r="12" spans="1:8">
      <c r="A12" s="162" t="s">
        <v>173</v>
      </c>
      <c r="B12" s="158">
        <f t="shared" ref="B12:G12" si="1">B13-SUM(B2:B11)</f>
        <v>3163527.1319999974</v>
      </c>
      <c r="C12" s="158">
        <f t="shared" si="1"/>
        <v>3668637.6830000002</v>
      </c>
      <c r="D12" s="158">
        <f t="shared" si="1"/>
        <v>3163503.3919999972</v>
      </c>
      <c r="E12" s="158">
        <f t="shared" si="1"/>
        <v>3034983.0479999986</v>
      </c>
      <c r="F12" s="158">
        <f t="shared" si="1"/>
        <v>3208714.7969999984</v>
      </c>
      <c r="G12" s="158">
        <f t="shared" si="1"/>
        <v>3494553.4629999958</v>
      </c>
      <c r="H12" s="158">
        <f t="shared" si="0"/>
        <v>3247873.2103999984</v>
      </c>
    </row>
    <row r="13" spans="1:8" s="178" customFormat="1">
      <c r="A13" s="179" t="s">
        <v>29</v>
      </c>
      <c r="B13" s="180">
        <v>12140631.673999997</v>
      </c>
      <c r="C13" s="180">
        <v>12549187.880000001</v>
      </c>
      <c r="D13" s="180">
        <v>12406080.915999997</v>
      </c>
      <c r="E13" s="180">
        <v>12302747.631000001</v>
      </c>
      <c r="F13" s="180">
        <v>13196393.924000001</v>
      </c>
      <c r="G13" s="180">
        <v>14612347.293999998</v>
      </c>
      <c r="H13" s="180">
        <f t="shared" si="0"/>
        <v>12519008.404999999</v>
      </c>
    </row>
    <row r="14" spans="1:8">
      <c r="A14" s="162"/>
      <c r="B14" s="163"/>
      <c r="C14" s="163"/>
      <c r="D14" s="163"/>
      <c r="E14" s="163"/>
      <c r="F14" s="163"/>
      <c r="G14" s="163"/>
    </row>
    <row r="15" spans="1:8">
      <c r="A15" s="162"/>
      <c r="B15" s="181"/>
      <c r="C15" s="181"/>
      <c r="D15" s="181"/>
      <c r="E15" s="181"/>
      <c r="F15" s="181"/>
      <c r="G15" s="182"/>
    </row>
    <row r="16" spans="1:8">
      <c r="A16" s="166"/>
      <c r="B16" s="163"/>
      <c r="C16" s="163"/>
      <c r="D16" s="163"/>
      <c r="E16" s="163"/>
      <c r="F16" s="163"/>
      <c r="G16" s="163"/>
    </row>
    <row r="17" spans="1:7">
      <c r="A17" s="166"/>
      <c r="B17" s="163"/>
      <c r="C17" s="163"/>
      <c r="D17" s="163"/>
      <c r="E17" s="163"/>
      <c r="F17" s="163"/>
      <c r="G17" s="163"/>
    </row>
    <row r="18" spans="1:7">
      <c r="A18" s="166"/>
      <c r="B18" s="163"/>
      <c r="C18" s="163"/>
      <c r="D18" s="163"/>
      <c r="E18" s="163"/>
      <c r="F18" s="163"/>
      <c r="G18" s="163"/>
    </row>
    <row r="19" spans="1:7">
      <c r="A19" s="166"/>
    </row>
    <row r="20" spans="1:7">
      <c r="A20" s="166"/>
    </row>
    <row r="21" spans="1:7">
      <c r="A21" s="166"/>
    </row>
    <row r="22" spans="1:7">
      <c r="A22" s="166"/>
    </row>
    <row r="23" spans="1:7">
      <c r="A23" s="166"/>
    </row>
    <row r="24" spans="1:7">
      <c r="A24" s="166"/>
    </row>
    <row r="25" spans="1:7">
      <c r="A25" s="166"/>
    </row>
    <row r="26" spans="1:7">
      <c r="A26" s="130"/>
    </row>
    <row r="27" spans="1:7">
      <c r="A27" s="130"/>
      <c r="B27" s="164"/>
      <c r="C27" s="164"/>
      <c r="D27" s="164"/>
      <c r="E27" s="164"/>
      <c r="F27" s="164"/>
      <c r="G27" s="164"/>
    </row>
    <row r="28" spans="1:7">
      <c r="A28" s="130"/>
      <c r="B28" s="164"/>
      <c r="C28" s="164"/>
      <c r="D28" s="164"/>
      <c r="E28" s="164"/>
      <c r="F28" s="164"/>
      <c r="G28" s="164"/>
    </row>
    <row r="29" spans="1:7">
      <c r="A29" s="130"/>
      <c r="B29" s="164"/>
      <c r="C29" s="164"/>
      <c r="D29" s="164"/>
      <c r="E29" s="164"/>
      <c r="F29" s="164"/>
      <c r="G29" s="164"/>
    </row>
    <row r="30" spans="1:7">
      <c r="A30" s="130"/>
      <c r="B30" s="164"/>
      <c r="C30" s="164"/>
      <c r="D30" s="164"/>
      <c r="E30" s="164"/>
      <c r="F30" s="164"/>
      <c r="G30" s="164"/>
    </row>
    <row r="31" spans="1:7">
      <c r="A31" s="130"/>
      <c r="B31" s="164"/>
      <c r="C31" s="164"/>
      <c r="D31" s="164"/>
      <c r="E31" s="164"/>
      <c r="F31" s="164"/>
      <c r="G31" s="164"/>
    </row>
    <row r="32" spans="1:7">
      <c r="A32" s="130"/>
      <c r="B32" s="164"/>
      <c r="C32" s="164"/>
      <c r="D32" s="164"/>
      <c r="E32" s="164"/>
      <c r="F32" s="164"/>
      <c r="G32" s="164"/>
    </row>
    <row r="33" spans="1:7">
      <c r="A33" s="130"/>
      <c r="B33" s="164"/>
      <c r="C33" s="164"/>
      <c r="D33" s="164"/>
      <c r="E33" s="164"/>
      <c r="F33" s="164"/>
      <c r="G33" s="164"/>
    </row>
    <row r="34" spans="1:7">
      <c r="A34" s="130"/>
      <c r="B34" s="164"/>
      <c r="C34" s="164"/>
      <c r="D34" s="164"/>
      <c r="E34" s="164"/>
      <c r="F34" s="164"/>
      <c r="G34" s="164"/>
    </row>
    <row r="35" spans="1:7">
      <c r="A35" s="130"/>
      <c r="B35" s="164"/>
      <c r="C35" s="164"/>
      <c r="D35" s="164"/>
      <c r="E35" s="164"/>
      <c r="F35" s="164"/>
      <c r="G35" s="164"/>
    </row>
    <row r="36" spans="1:7">
      <c r="A36" s="130"/>
      <c r="B36" s="164"/>
      <c r="C36" s="164"/>
      <c r="D36" s="164"/>
      <c r="E36" s="164"/>
      <c r="F36" s="164"/>
      <c r="G36" s="164"/>
    </row>
    <row r="37" spans="1:7">
      <c r="A37" s="130"/>
      <c r="B37" s="164"/>
      <c r="C37" s="164"/>
      <c r="D37" s="164"/>
      <c r="E37" s="164"/>
      <c r="F37" s="164"/>
      <c r="G37" s="164"/>
    </row>
    <row r="38" spans="1:7">
      <c r="A38" s="130"/>
      <c r="B38" s="164"/>
      <c r="C38" s="164"/>
      <c r="D38" s="164"/>
      <c r="E38" s="164"/>
      <c r="F38" s="164"/>
      <c r="G38" s="164"/>
    </row>
    <row r="39" spans="1:7">
      <c r="A39" s="130"/>
      <c r="B39" s="164"/>
      <c r="C39" s="164"/>
      <c r="D39" s="164"/>
      <c r="E39" s="164"/>
      <c r="F39" s="164"/>
      <c r="G39" s="164"/>
    </row>
    <row r="40" spans="1:7">
      <c r="A40" s="130"/>
      <c r="B40" s="164"/>
      <c r="C40" s="164"/>
      <c r="D40" s="164"/>
      <c r="E40" s="164"/>
      <c r="F40" s="164"/>
      <c r="G40" s="164"/>
    </row>
    <row r="41" spans="1:7">
      <c r="A41" s="130"/>
    </row>
    <row r="42" spans="1:7">
      <c r="A42" s="130"/>
    </row>
    <row r="43" spans="1:7">
      <c r="A43" s="130"/>
    </row>
    <row r="44" spans="1:7">
      <c r="A44" s="130"/>
    </row>
    <row r="45" spans="1:7">
      <c r="A45" s="130"/>
    </row>
    <row r="46" spans="1:7">
      <c r="A46" s="130"/>
    </row>
    <row r="47" spans="1:7">
      <c r="A47" s="130"/>
    </row>
    <row r="48" spans="1:7">
      <c r="A48" s="130"/>
    </row>
    <row r="49" spans="1:1">
      <c r="A49" s="130"/>
    </row>
    <row r="50" spans="1:1">
      <c r="A50" s="130"/>
    </row>
    <row r="51" spans="1:1">
      <c r="A51" s="130"/>
    </row>
    <row r="52" spans="1:1">
      <c r="A52" s="130"/>
    </row>
    <row r="53" spans="1:1">
      <c r="A53" s="130"/>
    </row>
    <row r="54" spans="1:1">
      <c r="A54" s="130"/>
    </row>
    <row r="55" spans="1:1">
      <c r="A55" s="130"/>
    </row>
    <row r="56" spans="1:1">
      <c r="A56" s="130"/>
    </row>
    <row r="57" spans="1:1">
      <c r="A57" s="130"/>
    </row>
    <row r="58" spans="1:1">
      <c r="A58" s="130"/>
    </row>
    <row r="59" spans="1:1">
      <c r="A59" s="130"/>
    </row>
    <row r="60" spans="1:1">
      <c r="A60" s="130"/>
    </row>
    <row r="61" spans="1:1">
      <c r="A61" s="130"/>
    </row>
    <row r="62" spans="1:1">
      <c r="A62" s="130"/>
    </row>
    <row r="63" spans="1:1">
      <c r="A63" s="130"/>
    </row>
    <row r="64" spans="1:1">
      <c r="A64" s="130"/>
    </row>
    <row r="65" spans="1:1">
      <c r="A65" s="130"/>
    </row>
    <row r="66" spans="1:1">
      <c r="A66" s="130"/>
    </row>
    <row r="67" spans="1:1">
      <c r="A67" s="130"/>
    </row>
    <row r="68" spans="1:1">
      <c r="A68" s="130"/>
    </row>
    <row r="69" spans="1:1">
      <c r="A69" s="130"/>
    </row>
    <row r="70" spans="1:1">
      <c r="A70" s="130"/>
    </row>
    <row r="71" spans="1:1">
      <c r="A71" s="130"/>
    </row>
    <row r="72" spans="1:1">
      <c r="A72" s="130"/>
    </row>
    <row r="73" spans="1:1">
      <c r="A73" s="130"/>
    </row>
    <row r="74" spans="1:1">
      <c r="A74" s="130"/>
    </row>
    <row r="75" spans="1:1">
      <c r="A75" s="130"/>
    </row>
    <row r="76" spans="1:1">
      <c r="A76" s="130"/>
    </row>
    <row r="77" spans="1:1">
      <c r="A77" s="130"/>
    </row>
    <row r="78" spans="1:1">
      <c r="A78" s="130"/>
    </row>
    <row r="79" spans="1:1">
      <c r="A79" s="130"/>
    </row>
    <row r="80" spans="1:1">
      <c r="A80" s="130"/>
    </row>
    <row r="81" spans="1:1">
      <c r="A81" s="130"/>
    </row>
    <row r="82" spans="1:1">
      <c r="A82" s="130"/>
    </row>
    <row r="83" spans="1:1">
      <c r="A83" s="130"/>
    </row>
    <row r="84" spans="1:1">
      <c r="A84" s="130"/>
    </row>
    <row r="85" spans="1:1">
      <c r="A85" s="1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9"/>
  <sheetViews>
    <sheetView showGridLines="0" zoomScale="70" zoomScaleNormal="70" workbookViewId="0"/>
  </sheetViews>
  <sheetFormatPr defaultColWidth="9.33203125" defaultRowHeight="13.2"/>
  <cols>
    <col min="1" max="1" width="21.5546875" customWidth="1"/>
    <col min="2" max="2" width="14.33203125" customWidth="1"/>
    <col min="3" max="3" width="9.5546875" customWidth="1"/>
    <col min="4" max="4" width="26.5546875" customWidth="1"/>
    <col min="5" max="5" width="9.5546875" customWidth="1"/>
    <col min="6" max="6" width="12.44140625" customWidth="1"/>
    <col min="7" max="7" width="19.6640625" customWidth="1"/>
    <col min="8" max="8" width="18.6640625" customWidth="1"/>
    <col min="9" max="9" width="1.5546875" customWidth="1"/>
    <col min="10" max="10" width="14.5546875" customWidth="1"/>
    <col min="11" max="12" width="10.5546875" customWidth="1"/>
    <col min="13" max="13" width="14.109375" customWidth="1"/>
    <col min="14" max="14" width="9.5546875" customWidth="1"/>
    <col min="17" max="17" width="15.44140625" bestFit="1" customWidth="1"/>
    <col min="18" max="18" width="13.44140625" bestFit="1" customWidth="1"/>
    <col min="22" max="22" width="12.3320312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14</v>
      </c>
      <c r="C2" s="138"/>
      <c r="D2" s="17" t="s">
        <v>15</v>
      </c>
      <c r="E2" s="18"/>
      <c r="F2" s="138" t="s">
        <v>16</v>
      </c>
      <c r="G2" s="138"/>
      <c r="H2" s="138"/>
      <c r="I2" s="15"/>
      <c r="J2" s="18"/>
      <c r="K2" s="138"/>
      <c r="L2" s="19" t="s">
        <v>17</v>
      </c>
      <c r="M2" s="138"/>
      <c r="N2" s="15"/>
    </row>
    <row r="3" spans="1:23" ht="13.8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3.8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4">
      <c r="A5" s="15"/>
      <c r="B5" s="112" t="s">
        <v>32</v>
      </c>
      <c r="C5" s="139"/>
      <c r="D5" s="27" t="s">
        <v>33</v>
      </c>
      <c r="G5" s="112"/>
      <c r="I5" s="112"/>
      <c r="J5" s="112" t="s">
        <v>34</v>
      </c>
      <c r="K5" s="112"/>
      <c r="L5" s="112"/>
      <c r="M5" s="112"/>
      <c r="N5" s="112"/>
      <c r="W5" s="26"/>
    </row>
    <row r="6" spans="1:23" ht="16.5" customHeight="1">
      <c r="A6" s="15" t="s">
        <v>35</v>
      </c>
      <c r="B6" s="115">
        <v>87.45</v>
      </c>
      <c r="C6" s="115">
        <v>86.174000000000007</v>
      </c>
      <c r="D6" s="115">
        <f>F6/C6</f>
        <v>49.555329913895143</v>
      </c>
      <c r="E6" s="116">
        <v>274.39400000000001</v>
      </c>
      <c r="F6" s="117">
        <v>4270.3810000000003</v>
      </c>
      <c r="G6" s="121">
        <f>(667064.2*36.74371)/1000000</f>
        <v>24.510413516181998</v>
      </c>
      <c r="H6" s="118">
        <f>SUM(E6:G6)</f>
        <v>4569.2854135161824</v>
      </c>
      <c r="I6" s="15"/>
      <c r="J6" s="117">
        <f>2211.9378</f>
        <v>2211.9378000000002</v>
      </c>
      <c r="K6" s="117">
        <f>M6-L6-J6</f>
        <v>113.61949603461198</v>
      </c>
      <c r="L6" s="118">
        <f>(53874367*36.74371)/1000000</f>
        <v>1979.5441174815701</v>
      </c>
      <c r="M6" s="118">
        <f>H6-N6</f>
        <v>4305.1014135161822</v>
      </c>
      <c r="N6" s="118">
        <v>264.18400000000003</v>
      </c>
    </row>
    <row r="7" spans="1:23" ht="16.5" customHeight="1">
      <c r="A7" s="15" t="s">
        <v>36</v>
      </c>
      <c r="B7" s="115">
        <v>83.6</v>
      </c>
      <c r="C7" s="115">
        <v>82.271000000000001</v>
      </c>
      <c r="D7" s="115">
        <f>F7/C7</f>
        <v>50.589600223651104</v>
      </c>
      <c r="E7" s="116">
        <f>N6</f>
        <v>264.18400000000003</v>
      </c>
      <c r="F7" s="117">
        <v>4162.0569999999998</v>
      </c>
      <c r="G7" s="118">
        <f>G27</f>
        <v>20.835116574689998</v>
      </c>
      <c r="H7" s="118">
        <f>SUM(E7:G7)</f>
        <v>4447.0761165746899</v>
      </c>
      <c r="I7" s="15"/>
      <c r="J7" s="117">
        <f>J27</f>
        <v>2287.0708994772822</v>
      </c>
      <c r="K7" s="117">
        <f>M7-L7-J7</f>
        <v>123.06352314620244</v>
      </c>
      <c r="L7" s="118">
        <f>L27</f>
        <v>1694.931693951205</v>
      </c>
      <c r="M7" s="118">
        <f>H7-N7</f>
        <v>4105.0661165746897</v>
      </c>
      <c r="N7" s="118">
        <f>N26</f>
        <v>342.01</v>
      </c>
      <c r="P7" s="141"/>
    </row>
    <row r="8" spans="1:23" ht="16.5" customHeight="1">
      <c r="A8" s="15" t="s">
        <v>37</v>
      </c>
      <c r="B8" s="115">
        <v>87.05</v>
      </c>
      <c r="C8" s="115">
        <v>86.05</v>
      </c>
      <c r="D8" s="115">
        <f>F8/C8</f>
        <v>50.743660662405581</v>
      </c>
      <c r="E8" s="116">
        <f>N7</f>
        <v>342.01</v>
      </c>
      <c r="F8" s="117">
        <v>4366.4920000000002</v>
      </c>
      <c r="G8" s="118">
        <v>20</v>
      </c>
      <c r="H8" s="118">
        <f>SUM(E8:G8)</f>
        <v>4728.5020000000004</v>
      </c>
      <c r="I8" s="15"/>
      <c r="J8" s="117">
        <v>2410</v>
      </c>
      <c r="K8" s="171">
        <v>114</v>
      </c>
      <c r="L8" s="118">
        <v>1825</v>
      </c>
      <c r="M8" s="118">
        <f>SUM(J8:L8)</f>
        <v>4349</v>
      </c>
      <c r="N8" s="118">
        <f>H8-M8</f>
        <v>379.50200000000041</v>
      </c>
      <c r="P8" s="141"/>
      <c r="Q8" s="141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53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13"/>
      <c r="S10" s="114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(37479.5*36.74371)/1000000</f>
        <v>1.3771358789450001</v>
      </c>
      <c r="H11" s="13"/>
      <c r="I11" s="83"/>
      <c r="J11" s="6">
        <f>((5242931*0.907185)*36.74371)/1000000</f>
        <v>174.76441502230665</v>
      </c>
      <c r="K11" s="31"/>
      <c r="L11" s="6">
        <f>(2498517*36.74371)/1000000</f>
        <v>91.80478407807</v>
      </c>
      <c r="M11" s="6"/>
      <c r="N11" s="13"/>
      <c r="Q11" s="86"/>
      <c r="R11" s="113"/>
      <c r="S11" s="114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(19292.3*36.74371)/1000000</f>
        <v>0.70887067643300006</v>
      </c>
      <c r="H12" s="13"/>
      <c r="I12" s="83"/>
      <c r="J12" s="6">
        <f>((6041685*0.907185)*36.74371)/1000000</f>
        <v>201.38955572256145</v>
      </c>
      <c r="K12" s="31"/>
      <c r="L12" s="6">
        <f>(9422340.2*36.74371)/1000000</f>
        <v>346.21173583014195</v>
      </c>
      <c r="M12" s="6"/>
      <c r="N12" s="13"/>
      <c r="Q12" s="86"/>
      <c r="R12" s="113"/>
      <c r="S12" s="114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(46381*36.74371)/1000000</f>
        <v>1.70421001351</v>
      </c>
      <c r="H13" s="13"/>
      <c r="I13" s="83"/>
      <c r="J13" s="6">
        <f>((6002708*0.907185)*36.74371)/1000000</f>
        <v>200.09032202974259</v>
      </c>
      <c r="K13" s="31"/>
      <c r="L13" s="6">
        <f>(7462119.8*36.74371)/1000000</f>
        <v>274.18596591645803</v>
      </c>
      <c r="M13" s="6"/>
      <c r="N13" s="106"/>
      <c r="Q13" s="86"/>
      <c r="R13" s="113"/>
      <c r="S13" s="113"/>
    </row>
    <row r="14" spans="1:23" ht="16.5" customHeight="1">
      <c r="A14" s="15" t="s">
        <v>41</v>
      </c>
      <c r="B14" s="83"/>
      <c r="C14" s="83"/>
      <c r="D14" s="83"/>
      <c r="E14" s="32">
        <f>N6</f>
        <v>264.18400000000003</v>
      </c>
      <c r="F14" s="62">
        <v>4162.0569999999998</v>
      </c>
      <c r="G14" s="6">
        <f>SUM(G11:G13)</f>
        <v>3.7902165688880003</v>
      </c>
      <c r="H14" s="13">
        <f>SUM(E14:G14)</f>
        <v>4430.0312165688883</v>
      </c>
      <c r="I14" s="83"/>
      <c r="J14" s="6">
        <f>SUM(J11:J13)</f>
        <v>576.2442927746107</v>
      </c>
      <c r="K14" s="31">
        <f>M14-L14-J14</f>
        <v>140.86543796960757</v>
      </c>
      <c r="L14" s="6">
        <f>SUM(L11:L13)</f>
        <v>712.20248582467002</v>
      </c>
      <c r="M14" s="6">
        <f>H14-N14</f>
        <v>1429.3122165688883</v>
      </c>
      <c r="N14" s="107">
        <v>3000.7190000000001</v>
      </c>
      <c r="R14" s="113"/>
      <c r="S14" s="113"/>
    </row>
    <row r="15" spans="1:23" ht="16.5" customHeight="1">
      <c r="A15" s="15" t="s">
        <v>42</v>
      </c>
      <c r="B15" s="83"/>
      <c r="C15" s="83"/>
      <c r="D15" s="83"/>
      <c r="E15" s="32"/>
      <c r="F15" s="32"/>
      <c r="G15" s="6">
        <f>(18649.8*36.74371)/1000000</f>
        <v>0.68526284275799998</v>
      </c>
      <c r="H15" s="13"/>
      <c r="I15" s="83"/>
      <c r="J15" s="6">
        <f>((6128558*0.907185)*36.74371)/1000000</f>
        <v>204.28532319045925</v>
      </c>
      <c r="K15" s="31"/>
      <c r="L15" s="6">
        <f>(4738450.9*36.74371)/1000000</f>
        <v>174.10826571883902</v>
      </c>
      <c r="M15" s="6"/>
      <c r="N15" s="107"/>
      <c r="R15" s="113"/>
      <c r="S15" s="113"/>
    </row>
    <row r="16" spans="1:23" ht="16.5" customHeight="1">
      <c r="A16" s="15" t="s">
        <v>43</v>
      </c>
      <c r="B16" s="83"/>
      <c r="C16" s="83"/>
      <c r="D16" s="83"/>
      <c r="E16" s="32"/>
      <c r="F16" s="32"/>
      <c r="G16" s="6">
        <f>(25838.2*36.74371)/1000000</f>
        <v>0.94939132772200008</v>
      </c>
      <c r="H16" s="13"/>
      <c r="I16" s="83"/>
      <c r="J16" s="6">
        <f>((5844947*0.907185)*36.74371)/1000000</f>
        <v>194.83162057471029</v>
      </c>
      <c r="K16" s="31"/>
      <c r="L16" s="6">
        <f>(5961252*36.74371)/1000000</f>
        <v>219.03851472491999</v>
      </c>
      <c r="M16" s="6"/>
      <c r="N16" s="107"/>
      <c r="R16" s="113"/>
      <c r="S16" s="113"/>
    </row>
    <row r="17" spans="1:24" ht="16.5" customHeight="1">
      <c r="A17" s="15" t="s">
        <v>44</v>
      </c>
      <c r="B17" s="83"/>
      <c r="C17" s="83"/>
      <c r="D17" s="83"/>
      <c r="E17" s="32"/>
      <c r="F17" s="32"/>
      <c r="G17" s="6">
        <f>(24300.7*36.74371)/1000000</f>
        <v>0.89289787359700001</v>
      </c>
      <c r="H17" s="13"/>
      <c r="I17" s="83"/>
      <c r="J17" s="6">
        <f>((5817974*0.907185)*36.74371)/1000000</f>
        <v>193.93252032593784</v>
      </c>
      <c r="K17" s="31"/>
      <c r="L17" s="6">
        <f>(5263949.5*36.74371)/1000000</f>
        <v>193.417033882645</v>
      </c>
      <c r="M17" s="6"/>
      <c r="N17" s="107"/>
      <c r="Q17" s="86"/>
      <c r="R17" s="113"/>
      <c r="S17" s="113"/>
    </row>
    <row r="18" spans="1:24" ht="16.5" customHeight="1">
      <c r="A18" s="15" t="s">
        <v>45</v>
      </c>
      <c r="B18" s="83"/>
      <c r="C18" s="83"/>
      <c r="D18" s="83"/>
      <c r="E18" s="32">
        <f>N14</f>
        <v>3000.7190000000001</v>
      </c>
      <c r="F18" s="32"/>
      <c r="G18" s="6">
        <f>SUM(G15:G17)</f>
        <v>2.5275520440770003</v>
      </c>
      <c r="H18" s="13">
        <f>SUM(E18:G18)</f>
        <v>3003.2465520440769</v>
      </c>
      <c r="I18" s="83"/>
      <c r="J18" s="6">
        <f>SUM(J15:J17)</f>
        <v>593.04946409110744</v>
      </c>
      <c r="K18" s="31">
        <f>M18-L18-J18</f>
        <v>-21.445726373434468</v>
      </c>
      <c r="L18" s="6">
        <f>SUM(L15:L17)</f>
        <v>586.56381432640399</v>
      </c>
      <c r="M18" s="6">
        <f>H18-N18</f>
        <v>1158.167552044077</v>
      </c>
      <c r="N18" s="107">
        <v>1845.079</v>
      </c>
      <c r="P18" s="34"/>
      <c r="R18" s="113"/>
      <c r="S18" s="113"/>
    </row>
    <row r="19" spans="1:24" ht="16.5" customHeight="1">
      <c r="A19" s="15" t="s">
        <v>46</v>
      </c>
      <c r="B19" s="83"/>
      <c r="C19" s="83"/>
      <c r="D19" s="83"/>
      <c r="E19" s="32"/>
      <c r="F19" s="32"/>
      <c r="G19" s="6">
        <f>(144280.7*36.74371)/1000000</f>
        <v>5.3014081993970006</v>
      </c>
      <c r="H19" s="13"/>
      <c r="I19" s="83"/>
      <c r="J19" s="6">
        <f>((6111759*0.907185)*36.74371)/1000000</f>
        <v>203.72535636885513</v>
      </c>
      <c r="K19" s="31"/>
      <c r="L19" s="6">
        <f>(3054246.9*36.74371)/1000000</f>
        <v>112.22436236199898</v>
      </c>
      <c r="M19" s="6"/>
      <c r="N19" s="107"/>
      <c r="Q19" s="86"/>
      <c r="R19" s="113"/>
      <c r="S19" s="113"/>
    </row>
    <row r="20" spans="1:24" ht="16.5" customHeight="1">
      <c r="A20" s="15" t="s">
        <v>47</v>
      </c>
      <c r="B20" s="83"/>
      <c r="C20" s="83"/>
      <c r="D20" s="83"/>
      <c r="E20" s="32"/>
      <c r="F20" s="32"/>
      <c r="G20" s="6">
        <f>(57199.7*36.74371)/1000000</f>
        <v>2.101729188887</v>
      </c>
      <c r="H20" s="13"/>
      <c r="I20" s="83"/>
      <c r="J20" s="6">
        <f>((5332051*0.907185)*36.74371)/1000000</f>
        <v>177.73508251092858</v>
      </c>
      <c r="K20" s="31"/>
      <c r="L20" s="6">
        <f>(1769751.6*36.74371)/1000000</f>
        <v>65.027239562436009</v>
      </c>
      <c r="M20" s="6"/>
      <c r="N20" s="107"/>
      <c r="R20" s="113"/>
      <c r="S20" s="113"/>
    </row>
    <row r="21" spans="1:24" ht="16.5" customHeight="1">
      <c r="A21" s="15" t="s">
        <v>48</v>
      </c>
      <c r="B21" s="83"/>
      <c r="C21" s="83"/>
      <c r="D21" s="83"/>
      <c r="E21" s="32"/>
      <c r="F21" s="32"/>
      <c r="G21" s="6">
        <f>(32603.2*36.74371)/1000000</f>
        <v>1.1979625258719999</v>
      </c>
      <c r="H21" s="13"/>
      <c r="I21" s="83"/>
      <c r="J21" s="6">
        <f>((5754152*0.907185)*36.74371)/1000000</f>
        <v>191.80511973730648</v>
      </c>
      <c r="K21" s="31"/>
      <c r="L21" s="6">
        <f>(1410073.2*36.74371)/1000000</f>
        <v>51.811320739571997</v>
      </c>
      <c r="M21" s="6"/>
      <c r="N21" s="107"/>
      <c r="P21" s="83"/>
      <c r="Q21" s="86"/>
      <c r="R21" s="113"/>
      <c r="S21" s="113"/>
    </row>
    <row r="22" spans="1:24" ht="16.5" customHeight="1">
      <c r="A22" s="15" t="s">
        <v>54</v>
      </c>
      <c r="B22" s="83"/>
      <c r="C22" s="83"/>
      <c r="D22" s="83"/>
      <c r="E22" s="32">
        <f>N18</f>
        <v>1845.079</v>
      </c>
      <c r="F22" s="32"/>
      <c r="G22" s="6">
        <f>SUM(G19:G21)</f>
        <v>8.6010999141560003</v>
      </c>
      <c r="H22" s="13">
        <f>SUM(E22:G22)</f>
        <v>1853.680099914156</v>
      </c>
      <c r="I22" s="83"/>
      <c r="J22" s="6">
        <f>SUM(J19:J21)</f>
        <v>573.26555861709016</v>
      </c>
      <c r="K22" s="13">
        <f>M22-L22-J22</f>
        <v>81.301618633058979</v>
      </c>
      <c r="L22" s="6">
        <f>SUM(L19:L21)</f>
        <v>229.06292266400698</v>
      </c>
      <c r="M22" s="6">
        <f>H22-N22</f>
        <v>883.63009991415606</v>
      </c>
      <c r="N22" s="13">
        <v>970.05</v>
      </c>
      <c r="P22" s="83"/>
    </row>
    <row r="23" spans="1:24" ht="16.5" customHeight="1">
      <c r="A23" s="15" t="s">
        <v>49</v>
      </c>
      <c r="B23" s="83"/>
      <c r="C23" s="83"/>
      <c r="D23" s="83"/>
      <c r="E23" s="32"/>
      <c r="F23" s="32"/>
      <c r="G23" s="6">
        <f>(31221.6*36.74371)/1000000</f>
        <v>1.1471974161359999</v>
      </c>
      <c r="H23" s="13"/>
      <c r="I23" s="83"/>
      <c r="J23" s="6">
        <f>((5510461*0.907185)*36.74371)/1000000</f>
        <v>183.682084156407</v>
      </c>
      <c r="K23" s="13"/>
      <c r="L23" s="6">
        <f>(1338976.8*36.74371)/1000000</f>
        <v>49.198975235927996</v>
      </c>
      <c r="M23" s="6"/>
      <c r="N23" s="13"/>
    </row>
    <row r="24" spans="1:24" ht="16.5" customHeight="1">
      <c r="A24" s="15" t="s">
        <v>50</v>
      </c>
      <c r="B24" s="83"/>
      <c r="C24" s="83"/>
      <c r="D24" s="83"/>
      <c r="E24" s="32"/>
      <c r="F24" s="32"/>
      <c r="G24" s="6">
        <f>(59884.6*36.74371)/1000000</f>
        <v>2.2003823758659999</v>
      </c>
      <c r="H24" s="13"/>
      <c r="I24" s="83"/>
      <c r="J24" s="6">
        <f>((5798234*0.907185)*36.74371)/1000000</f>
        <v>193.27452014387549</v>
      </c>
      <c r="K24" s="13"/>
      <c r="L24" s="6">
        <f>(1494549.2*36.74371)/1000000</f>
        <v>54.915282385532002</v>
      </c>
      <c r="M24" s="6"/>
      <c r="N24" s="13"/>
      <c r="Q24" s="86"/>
    </row>
    <row r="25" spans="1:24" ht="16.5" customHeight="1">
      <c r="A25" s="15" t="s">
        <v>51</v>
      </c>
      <c r="B25" s="83"/>
      <c r="C25" s="83"/>
      <c r="D25" s="83"/>
      <c r="E25" s="32"/>
      <c r="F25" s="32"/>
      <c r="G25" s="6">
        <f>(69907.6*36.74371)/1000000</f>
        <v>2.5686645811960003</v>
      </c>
      <c r="H25" s="13"/>
      <c r="I25" s="83"/>
      <c r="J25" s="6">
        <f>((5026648*0.907185)*36.74371)/1000000</f>
        <v>167.55497969419164</v>
      </c>
      <c r="K25" s="13"/>
      <c r="L25" s="6">
        <f>(1714258.5*36.74371)/1000000</f>
        <v>62.988217189034998</v>
      </c>
      <c r="M25" s="6"/>
      <c r="N25" s="13"/>
    </row>
    <row r="26" spans="1:24" ht="16.5" customHeight="1">
      <c r="A26" s="15" t="s">
        <v>52</v>
      </c>
      <c r="B26" s="83"/>
      <c r="C26" s="83"/>
      <c r="D26" s="83"/>
      <c r="E26" s="32">
        <f>N22</f>
        <v>970.05</v>
      </c>
      <c r="F26" s="32"/>
      <c r="G26" s="6">
        <f>SUM(G23:G25)</f>
        <v>5.9162443731979995</v>
      </c>
      <c r="H26" s="13">
        <f>SUM(E26:G26)</f>
        <v>975.96624437319792</v>
      </c>
      <c r="I26" s="83"/>
      <c r="J26" s="6">
        <f>SUM(J23:J25)</f>
        <v>544.51158399447411</v>
      </c>
      <c r="K26" s="31">
        <f>M26-J26-L26</f>
        <v>-77.657814431771158</v>
      </c>
      <c r="L26" s="6">
        <f>SUM(L23:L25)</f>
        <v>167.10247481049498</v>
      </c>
      <c r="M26" s="6">
        <f>H26-N26</f>
        <v>633.95624437319793</v>
      </c>
      <c r="N26" s="99">
        <v>342.01</v>
      </c>
      <c r="Q26" s="136"/>
    </row>
    <row r="27" spans="1:24" ht="16.5" customHeight="1">
      <c r="A27" s="15" t="s">
        <v>29</v>
      </c>
      <c r="B27" s="83"/>
      <c r="C27" s="83"/>
      <c r="D27" s="83"/>
      <c r="E27" s="32"/>
      <c r="F27" s="32"/>
      <c r="G27" s="137">
        <f>(567039*36.74371)/1000000</f>
        <v>20.835116574689998</v>
      </c>
      <c r="H27" s="93"/>
      <c r="I27" s="94"/>
      <c r="J27" s="6">
        <f>SUM(J14,J18,J22,J26)</f>
        <v>2287.0708994772822</v>
      </c>
      <c r="K27" s="6"/>
      <c r="L27" s="137">
        <f>(46128.4855*36.74371)/1000</f>
        <v>1694.931693951205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3"/>
      <c r="K28" s="31"/>
      <c r="L28" s="6"/>
      <c r="M28" s="6"/>
      <c r="N28" s="13"/>
      <c r="R28" s="83"/>
    </row>
    <row r="29" spans="1:24" ht="16.5" customHeight="1">
      <c r="A29" s="30" t="s">
        <v>158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6"/>
      <c r="X29" s="97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(83703.7*36.74371)/1000000</f>
        <v>3.0755844787269999</v>
      </c>
      <c r="H30" s="13"/>
      <c r="I30" s="83"/>
      <c r="J30" s="6">
        <f>((5595095*0.907185)*36.74371)/1000000</f>
        <v>186.5032182703211</v>
      </c>
      <c r="K30" s="31"/>
      <c r="L30" s="6">
        <f>(2977475.4*36.74371)/1000000</f>
        <v>109.40349262973399</v>
      </c>
      <c r="M30" s="6"/>
      <c r="N30" s="13"/>
      <c r="T30" s="95"/>
    </row>
    <row r="31" spans="1:24" s="144" customFormat="1" ht="16.5" customHeight="1">
      <c r="A31" s="132" t="s">
        <v>39</v>
      </c>
      <c r="B31" s="145"/>
      <c r="C31" s="145"/>
      <c r="D31" s="145"/>
      <c r="E31" s="146"/>
      <c r="F31" s="146"/>
      <c r="G31" s="105">
        <f>(21164.7*36.74371)/1000000</f>
        <v>0.77766959903699995</v>
      </c>
      <c r="H31" s="147"/>
      <c r="I31" s="145"/>
      <c r="J31" s="105">
        <f>((6473504*0.907185)*36.74371)/1000000</f>
        <v>215.78352637190193</v>
      </c>
      <c r="K31" s="148"/>
      <c r="L31" s="105">
        <f>(9426929.5*36.74371)/1000000</f>
        <v>346.380363738445</v>
      </c>
      <c r="M31" s="105"/>
      <c r="N31" s="147"/>
      <c r="T31" s="149"/>
    </row>
    <row r="32" spans="1:24" ht="16.5" customHeight="1">
      <c r="A32" s="15" t="s">
        <v>40</v>
      </c>
      <c r="B32" s="83"/>
      <c r="C32" s="83"/>
      <c r="D32" s="83"/>
      <c r="E32" s="32"/>
      <c r="F32" s="32"/>
      <c r="G32" s="102">
        <f>(41373.8*36.74371)/1000000</f>
        <v>1.520226908798</v>
      </c>
      <c r="H32" s="13"/>
      <c r="I32" s="83"/>
      <c r="J32" s="6">
        <f>((6301225*0.907185)*36.74371)/1000000</f>
        <v>210.04089144963655</v>
      </c>
      <c r="K32" s="31"/>
      <c r="L32" s="102">
        <f>(9876017.7*36.74371)/1000000</f>
        <v>362.88153032366699</v>
      </c>
      <c r="M32" s="6"/>
      <c r="N32" s="13"/>
      <c r="T32" s="95"/>
    </row>
    <row r="33" spans="1:20" ht="16.5" customHeight="1">
      <c r="A33" s="15" t="s">
        <v>41</v>
      </c>
      <c r="B33" s="83"/>
      <c r="C33" s="83"/>
      <c r="D33" s="83"/>
      <c r="E33" s="32">
        <f>N26</f>
        <v>342.01</v>
      </c>
      <c r="F33" s="62">
        <v>4366.4920000000002</v>
      </c>
      <c r="G33" s="6">
        <f>SUM(G30:G32)</f>
        <v>5.3734809865619999</v>
      </c>
      <c r="H33" s="13">
        <f>SUM(E33:G33)</f>
        <v>4713.8754809865623</v>
      </c>
      <c r="I33" s="83"/>
      <c r="J33" s="6">
        <f>SUM(J30:J32)</f>
        <v>612.32763609185963</v>
      </c>
      <c r="K33" s="31">
        <f>M33-L33-J33</f>
        <v>183.13945820285676</v>
      </c>
      <c r="L33" s="6">
        <f>SUM(L30:L32)</f>
        <v>818.66538669184592</v>
      </c>
      <c r="M33" s="6">
        <f>H33-N33</f>
        <v>1614.1324809865623</v>
      </c>
      <c r="N33" s="107">
        <v>3099.7429999999999</v>
      </c>
      <c r="P33" s="34"/>
      <c r="R33" s="113"/>
      <c r="S33" s="113"/>
    </row>
    <row r="34" spans="1:20" ht="16.5" customHeight="1">
      <c r="A34" s="79" t="s">
        <v>55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80"/>
      <c r="M34" s="69"/>
      <c r="N34" s="69"/>
      <c r="T34" s="95"/>
    </row>
    <row r="35" spans="1:20" ht="16.5" customHeight="1">
      <c r="A35" s="15" t="s">
        <v>56</v>
      </c>
      <c r="B35" s="15"/>
      <c r="C35" s="15"/>
      <c r="D35" s="15"/>
      <c r="E35" s="35"/>
      <c r="F35" s="35"/>
      <c r="G35" s="35"/>
      <c r="H35" s="35"/>
      <c r="I35" s="35"/>
      <c r="J35" s="35"/>
      <c r="K35" s="35"/>
      <c r="L35" s="35"/>
      <c r="M35" s="35"/>
      <c r="N35" s="35"/>
      <c r="T35" s="95"/>
    </row>
    <row r="36" spans="1:20" ht="16.5" customHeight="1">
      <c r="A36" s="20" t="s">
        <v>57</v>
      </c>
      <c r="B36" s="36">
        <f>Contents!A18</f>
        <v>45671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T36" s="95"/>
    </row>
    <row r="37" spans="1:20" ht="16.5" customHeight="1">
      <c r="T37" s="95"/>
    </row>
    <row r="38" spans="1:20" ht="16.5" customHeight="1">
      <c r="J38" s="34"/>
      <c r="K38" s="34"/>
      <c r="L38" s="34"/>
      <c r="M38" s="90"/>
      <c r="T38" s="95"/>
    </row>
    <row r="39" spans="1:20" ht="16.5" customHeight="1">
      <c r="K39" s="92"/>
      <c r="M39" s="34"/>
      <c r="P39" s="34"/>
      <c r="T39" s="95"/>
    </row>
    <row r="40" spans="1:20" ht="16.5" customHeight="1">
      <c r="T40" s="95"/>
    </row>
    <row r="41" spans="1:20" ht="16.5" customHeight="1">
      <c r="J41" s="34"/>
      <c r="L41" s="34"/>
      <c r="T41" s="95"/>
    </row>
    <row r="42" spans="1:20" ht="16.5" customHeight="1">
      <c r="J42" s="34"/>
      <c r="L42" s="34"/>
      <c r="T42" s="95"/>
    </row>
    <row r="43" spans="1:20" ht="16.5" customHeight="1">
      <c r="J43" s="34"/>
      <c r="L43" s="34"/>
      <c r="T43" s="95"/>
    </row>
    <row r="44" spans="1:20" ht="16.5" customHeight="1">
      <c r="T44" s="95"/>
    </row>
    <row r="45" spans="1:20" ht="16.5" customHeight="1">
      <c r="T45" s="95"/>
    </row>
    <row r="46" spans="1:20" ht="16.5" customHeight="1">
      <c r="T46" s="95"/>
    </row>
    <row r="47" spans="1:20" ht="16.5" customHeight="1">
      <c r="T47" s="95"/>
    </row>
    <row r="48" spans="1:20" ht="16.5" customHeight="1"/>
    <row r="49" spans="15:73" ht="16.5" customHeight="1"/>
    <row r="50" spans="15:73" ht="16.5" customHeight="1"/>
    <row r="51" spans="15:73" ht="16.5" customHeight="1"/>
    <row r="52" spans="15:73" ht="16.5" customHeight="1">
      <c r="O52" s="83"/>
      <c r="P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</row>
    <row r="53" spans="15:73">
      <c r="O53" s="83"/>
      <c r="P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</row>
    <row r="54" spans="15:73">
      <c r="O54" s="83"/>
      <c r="P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</row>
    <row r="55" spans="15:73">
      <c r="O55" s="83"/>
      <c r="P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</row>
    <row r="56" spans="15:73">
      <c r="O56" s="83"/>
      <c r="P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</row>
    <row r="57" spans="15:73">
      <c r="O57" s="83"/>
      <c r="P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</row>
    <row r="58" spans="15:73">
      <c r="O58" s="83"/>
      <c r="P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</row>
    <row r="59" spans="15:73">
      <c r="O59" s="83"/>
      <c r="P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</row>
    <row r="60" spans="15:73">
      <c r="O60" s="83"/>
      <c r="P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</row>
    <row r="61" spans="15:73">
      <c r="O61" s="83"/>
      <c r="P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</row>
    <row r="62" spans="15:73">
      <c r="O62" s="83"/>
      <c r="P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</row>
    <row r="63" spans="15:73">
      <c r="O63" s="83"/>
      <c r="P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</row>
    <row r="64" spans="15:73">
      <c r="O64" s="83"/>
      <c r="P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</row>
    <row r="65" spans="15:73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  <row r="548" spans="15:73"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83"/>
      <c r="BK548" s="83"/>
      <c r="BL548" s="83"/>
      <c r="BM548" s="83"/>
      <c r="BN548" s="83"/>
      <c r="BO548" s="83"/>
      <c r="BP548" s="83"/>
      <c r="BQ548" s="83"/>
      <c r="BR548" s="83"/>
      <c r="BS548" s="83"/>
      <c r="BT548" s="83"/>
      <c r="BU548" s="83"/>
    </row>
    <row r="549" spans="15:73"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  <c r="BM549" s="83"/>
      <c r="BN549" s="83"/>
      <c r="BO549" s="83"/>
      <c r="BP549" s="83"/>
      <c r="BQ549" s="83"/>
      <c r="BR549" s="83"/>
      <c r="BS549" s="83"/>
      <c r="BT549" s="83"/>
      <c r="BU549" s="83"/>
    </row>
  </sheetData>
  <dataConsolidate link="1"/>
  <phoneticPr fontId="55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34"/>
  <sheetViews>
    <sheetView showGridLines="0" zoomScale="70" zoomScaleNormal="70" workbookViewId="0"/>
  </sheetViews>
  <sheetFormatPr defaultColWidth="9.33203125" defaultRowHeight="13.2"/>
  <cols>
    <col min="1" max="1" width="16" customWidth="1"/>
    <col min="2" max="2" width="12.44140625" bestFit="1" customWidth="1"/>
    <col min="3" max="3" width="14.6640625" bestFit="1" customWidth="1"/>
    <col min="4" max="4" width="12" bestFit="1" customWidth="1"/>
    <col min="5" max="5" width="13.44140625" bestFit="1" customWidth="1"/>
    <col min="6" max="6" width="1.5546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6640625" customWidth="1"/>
    <col min="14" max="14" width="10.6640625" customWidth="1"/>
  </cols>
  <sheetData>
    <row r="1" spans="1:14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4" ht="13.8">
      <c r="A2" s="15"/>
      <c r="B2" s="183" t="s">
        <v>58</v>
      </c>
      <c r="C2" s="183"/>
      <c r="D2" s="183"/>
      <c r="E2" s="183"/>
      <c r="F2" s="15"/>
      <c r="G2" s="183" t="s">
        <v>59</v>
      </c>
      <c r="H2" s="183"/>
      <c r="I2" s="183"/>
      <c r="J2" s="15"/>
    </row>
    <row r="3" spans="1:14" ht="13.8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4" ht="13.8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4" ht="14.4">
      <c r="A5" s="15"/>
      <c r="B5" s="184" t="s">
        <v>67</v>
      </c>
      <c r="C5" s="184"/>
      <c r="D5" s="184"/>
      <c r="E5" s="184"/>
      <c r="F5" s="184"/>
      <c r="G5" s="184"/>
      <c r="H5" s="184"/>
      <c r="I5" s="184"/>
      <c r="J5" s="184"/>
    </row>
    <row r="6" spans="1:14" ht="13.8">
      <c r="A6" s="15" t="s">
        <v>35</v>
      </c>
      <c r="B6" s="154">
        <v>310.92700000000002</v>
      </c>
      <c r="C6" s="37">
        <v>52493.097999999998</v>
      </c>
      <c r="D6" s="37">
        <v>634.23588423800004</v>
      </c>
      <c r="E6" s="118">
        <f>SUM(B6:D6)</f>
        <v>53438.260884238</v>
      </c>
      <c r="F6" s="37"/>
      <c r="G6" s="37">
        <f>E6-H6-J6</f>
        <v>38520.852884237996</v>
      </c>
      <c r="H6" s="121">
        <v>14546.517</v>
      </c>
      <c r="I6" s="37">
        <f>E6-J6</f>
        <v>53067.369884237996</v>
      </c>
      <c r="J6" s="37">
        <v>370.89100000000002</v>
      </c>
      <c r="K6" s="86"/>
      <c r="L6" s="142"/>
      <c r="M6" s="95"/>
    </row>
    <row r="7" spans="1:14" ht="16.2">
      <c r="A7" s="15" t="s">
        <v>36</v>
      </c>
      <c r="B7" s="154">
        <f>J6</f>
        <v>370.89100000000002</v>
      </c>
      <c r="C7" s="37">
        <f>C23</f>
        <v>54145.4</v>
      </c>
      <c r="D7" s="37">
        <f>D23</f>
        <v>687.28289952299997</v>
      </c>
      <c r="E7" s="118">
        <f>SUM(B7:D7)</f>
        <v>55203.573899523006</v>
      </c>
      <c r="F7" s="37"/>
      <c r="G7" s="37">
        <f>E7-H7-J7</f>
        <v>38642.946899523005</v>
      </c>
      <c r="H7" s="121">
        <v>16107.337</v>
      </c>
      <c r="I7" s="37">
        <f>E7-J7</f>
        <v>54750.283899523005</v>
      </c>
      <c r="J7" s="37">
        <f>J22</f>
        <v>453.29</v>
      </c>
      <c r="K7" s="86"/>
      <c r="L7" s="142"/>
    </row>
    <row r="8" spans="1:14" ht="16.2">
      <c r="A8" s="15" t="s">
        <v>37</v>
      </c>
      <c r="B8" s="154">
        <f>J7</f>
        <v>453.29</v>
      </c>
      <c r="C8" s="37">
        <v>56946.639000000003</v>
      </c>
      <c r="D8" s="37">
        <v>675</v>
      </c>
      <c r="E8" s="118">
        <f>SUM(B8:D8)</f>
        <v>58074.929000000004</v>
      </c>
      <c r="F8" s="37"/>
      <c r="G8" s="37">
        <v>40225</v>
      </c>
      <c r="H8" s="121">
        <v>17400</v>
      </c>
      <c r="I8" s="37">
        <f>SUM(G8:H8)</f>
        <v>57625</v>
      </c>
      <c r="J8" s="37">
        <f>E8-I8</f>
        <v>449.92900000000373</v>
      </c>
      <c r="L8" s="142"/>
    </row>
    <row r="9" spans="1:14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4" ht="13.8">
      <c r="A10" s="30" t="s">
        <v>53</v>
      </c>
      <c r="B10" s="39"/>
      <c r="C10" s="6"/>
      <c r="D10" s="6"/>
      <c r="E10" s="6"/>
      <c r="F10" s="6"/>
      <c r="G10" s="6"/>
      <c r="H10" s="6"/>
      <c r="I10" s="6"/>
      <c r="J10" s="6"/>
    </row>
    <row r="11" spans="1:14" ht="14.4">
      <c r="A11" s="15" t="s">
        <v>39</v>
      </c>
      <c r="B11" s="104">
        <f>J6</f>
        <v>370.89100000000002</v>
      </c>
      <c r="C11" s="105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8">
        <f t="shared" ref="I11:I20" si="2">E11-J11</f>
        <v>4822.5225635819997</v>
      </c>
      <c r="J11" s="105">
        <v>334.63900000000001</v>
      </c>
      <c r="K11" s="84"/>
      <c r="M11" s="120"/>
      <c r="N11" s="120"/>
    </row>
    <row r="12" spans="1:14" ht="14.4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(48390.3*1.10231)/1000</f>
        <v>53.341111593000001</v>
      </c>
      <c r="E12" s="6">
        <f t="shared" si="0"/>
        <v>5094.188111593</v>
      </c>
      <c r="F12" s="6"/>
      <c r="G12" s="6">
        <f t="shared" si="1"/>
        <v>3280.6629275390005</v>
      </c>
      <c r="H12" s="6">
        <f>(1369023.4*1.10231)/1000</f>
        <v>1509.0881840539998</v>
      </c>
      <c r="I12" s="6">
        <f t="shared" si="2"/>
        <v>4789.7511115930001</v>
      </c>
      <c r="J12" s="6">
        <v>304.43700000000001</v>
      </c>
      <c r="K12" s="84"/>
      <c r="M12" s="120"/>
      <c r="N12" s="120"/>
    </row>
    <row r="13" spans="1:14" ht="14.4">
      <c r="A13" s="15" t="s">
        <v>42</v>
      </c>
      <c r="B13" s="39">
        <f t="shared" si="3"/>
        <v>304.43700000000001</v>
      </c>
      <c r="C13" s="6">
        <v>4818.3419999999996</v>
      </c>
      <c r="D13" s="102">
        <f>(53099.9*1.10231)/1000</f>
        <v>58.532550768999997</v>
      </c>
      <c r="E13" s="102">
        <f t="shared" si="0"/>
        <v>5181.311550769</v>
      </c>
      <c r="F13" s="102"/>
      <c r="G13" s="102">
        <f t="shared" si="1"/>
        <v>3073.843674963</v>
      </c>
      <c r="H13" s="102">
        <f>(1457582.6*1.10231)/1000</f>
        <v>1606.7078758059999</v>
      </c>
      <c r="I13" s="102">
        <f t="shared" si="2"/>
        <v>4680.5515507689997</v>
      </c>
      <c r="J13" s="6">
        <v>500.76</v>
      </c>
      <c r="K13" s="84"/>
      <c r="M13" s="120"/>
      <c r="N13" s="120"/>
    </row>
    <row r="14" spans="1:14" ht="14.4">
      <c r="A14" s="15" t="s">
        <v>43</v>
      </c>
      <c r="B14" s="39">
        <f t="shared" si="3"/>
        <v>500.76</v>
      </c>
      <c r="C14" s="6">
        <v>4595.6220000000003</v>
      </c>
      <c r="D14" s="102">
        <f>(53674.5*1.10231)/1000</f>
        <v>59.165938094999994</v>
      </c>
      <c r="E14" s="102">
        <f t="shared" si="0"/>
        <v>5155.5479380950001</v>
      </c>
      <c r="F14" s="102"/>
      <c r="G14" s="102">
        <f t="shared" si="1"/>
        <v>3288.6776487350007</v>
      </c>
      <c r="H14" s="102">
        <f>(1376056*1.10231)/1000</f>
        <v>1516.8402893599998</v>
      </c>
      <c r="I14" s="102">
        <f t="shared" si="2"/>
        <v>4805.5179380950003</v>
      </c>
      <c r="J14" s="6">
        <v>350.03</v>
      </c>
      <c r="K14" s="84"/>
      <c r="M14" s="120"/>
      <c r="N14" s="120"/>
    </row>
    <row r="15" spans="1:14" ht="14.4">
      <c r="A15" s="15" t="s">
        <v>44</v>
      </c>
      <c r="B15" s="39">
        <f t="shared" si="3"/>
        <v>350.03</v>
      </c>
      <c r="C15" s="6">
        <v>4557.0920000000006</v>
      </c>
      <c r="D15" s="102">
        <f>(57158.1*1.10231)/1000</f>
        <v>63.00594521099999</v>
      </c>
      <c r="E15" s="102">
        <f t="shared" si="0"/>
        <v>4970.1279452110002</v>
      </c>
      <c r="F15" s="102"/>
      <c r="G15" s="102">
        <f t="shared" si="1"/>
        <v>3138.4475940110005</v>
      </c>
      <c r="H15" s="102">
        <f>(1365520*1.10231)/1000</f>
        <v>1505.2263512</v>
      </c>
      <c r="I15" s="102">
        <f t="shared" si="2"/>
        <v>4643.6739452110005</v>
      </c>
      <c r="J15" s="6">
        <v>326.45400000000001</v>
      </c>
      <c r="K15" s="84"/>
      <c r="M15" s="120"/>
      <c r="N15" s="120"/>
    </row>
    <row r="16" spans="1:14" ht="14.4">
      <c r="A16" s="15" t="s">
        <v>46</v>
      </c>
      <c r="B16" s="39">
        <f t="shared" si="3"/>
        <v>326.45400000000001</v>
      </c>
      <c r="C16" s="6">
        <v>4797.4049999999997</v>
      </c>
      <c r="D16" s="102">
        <f>(52412.6*1.10231)/1000</f>
        <v>57.774933105999999</v>
      </c>
      <c r="E16" s="102">
        <f t="shared" si="0"/>
        <v>5181.6339331059999</v>
      </c>
      <c r="F16" s="102"/>
      <c r="G16" s="102">
        <f t="shared" si="1"/>
        <v>2969.6471064249995</v>
      </c>
      <c r="H16" s="102">
        <f>(1498795.1*1.10231)/1000</f>
        <v>1652.136826681</v>
      </c>
      <c r="I16" s="102">
        <f t="shared" si="2"/>
        <v>4621.7839331059995</v>
      </c>
      <c r="J16" s="6">
        <v>559.85</v>
      </c>
      <c r="K16" s="84"/>
      <c r="M16" s="120"/>
      <c r="N16" s="120"/>
    </row>
    <row r="17" spans="1:14" ht="14.4">
      <c r="A17" s="15" t="s">
        <v>47</v>
      </c>
      <c r="B17" s="39">
        <f t="shared" si="3"/>
        <v>559.85</v>
      </c>
      <c r="C17" s="6">
        <v>4205.6130000000003</v>
      </c>
      <c r="D17" s="102">
        <f>(45671.7*1.10231)/1000</f>
        <v>50.344371626999994</v>
      </c>
      <c r="E17" s="102">
        <f t="shared" si="0"/>
        <v>4815.807371627001</v>
      </c>
      <c r="F17" s="102"/>
      <c r="G17" s="102">
        <f t="shared" si="1"/>
        <v>3094.5719551340007</v>
      </c>
      <c r="H17" s="102">
        <f>(1257180.3*1.10231)/1000</f>
        <v>1385.802416493</v>
      </c>
      <c r="I17" s="102">
        <f t="shared" si="2"/>
        <v>4480.374371627001</v>
      </c>
      <c r="J17" s="6">
        <v>335.43299999999999</v>
      </c>
      <c r="K17" s="84"/>
      <c r="M17" s="120"/>
      <c r="N17" s="120"/>
    </row>
    <row r="18" spans="1:14" ht="14.4">
      <c r="A18" s="15" t="s">
        <v>48</v>
      </c>
      <c r="B18" s="39">
        <f t="shared" si="3"/>
        <v>335.43299999999999</v>
      </c>
      <c r="C18" s="6">
        <v>4511.01</v>
      </c>
      <c r="D18" s="102">
        <f>(61818.5*1.10231)/1000</f>
        <v>68.143150734999992</v>
      </c>
      <c r="E18" s="102">
        <f t="shared" si="0"/>
        <v>4914.586150735</v>
      </c>
      <c r="F18" s="102"/>
      <c r="G18" s="102">
        <f t="shared" si="1"/>
        <v>3448.3553320180008</v>
      </c>
      <c r="H18" s="102">
        <f>(1010410.7*1.10231)/1000</f>
        <v>1113.7858187169998</v>
      </c>
      <c r="I18" s="102">
        <f t="shared" si="2"/>
        <v>4562.1411507350003</v>
      </c>
      <c r="J18" s="6">
        <v>352.44499999999999</v>
      </c>
      <c r="K18" s="84"/>
      <c r="M18" s="120"/>
      <c r="N18" s="120"/>
    </row>
    <row r="19" spans="1:14" ht="14.4">
      <c r="A19" s="15" t="s">
        <v>49</v>
      </c>
      <c r="B19" s="39">
        <f>J18</f>
        <v>352.44499999999999</v>
      </c>
      <c r="C19" s="6">
        <v>4335.0060000000003</v>
      </c>
      <c r="D19" s="102">
        <f>(44979.4*1.10231)/1000</f>
        <v>49.581242414000002</v>
      </c>
      <c r="E19" s="102">
        <f t="shared" si="0"/>
        <v>4737.0322424140004</v>
      </c>
      <c r="F19" s="102"/>
      <c r="G19" s="102">
        <f t="shared" si="1"/>
        <v>3010.5296164590004</v>
      </c>
      <c r="H19" s="102">
        <f>(1119080.5*1.10231)/1000</f>
        <v>1233.5736259549999</v>
      </c>
      <c r="I19" s="102">
        <f t="shared" si="2"/>
        <v>4244.1032424140003</v>
      </c>
      <c r="J19" s="6">
        <v>492.92899999999997</v>
      </c>
      <c r="K19" s="84"/>
      <c r="M19" s="120"/>
      <c r="N19" s="120"/>
    </row>
    <row r="20" spans="1:14" ht="14.4">
      <c r="A20" s="15" t="s">
        <v>50</v>
      </c>
      <c r="B20" s="39">
        <f>J19</f>
        <v>492.92899999999997</v>
      </c>
      <c r="C20" s="6">
        <v>4548.6549999999997</v>
      </c>
      <c r="D20" s="102">
        <f>(38648.7*1.10231)/1000</f>
        <v>42.602848496999989</v>
      </c>
      <c r="E20" s="102">
        <f t="shared" si="0"/>
        <v>5084.186848497</v>
      </c>
      <c r="F20" s="102"/>
      <c r="G20" s="102">
        <f t="shared" si="1"/>
        <v>3531.9827891890004</v>
      </c>
      <c r="H20" s="102">
        <f>(1017566.8*1.10231)/1000</f>
        <v>1121.6740593079999</v>
      </c>
      <c r="I20" s="102">
        <f t="shared" si="2"/>
        <v>4653.6568484970003</v>
      </c>
      <c r="J20" s="6">
        <v>430.53</v>
      </c>
      <c r="K20" s="84"/>
      <c r="M20" s="120"/>
      <c r="N20" s="120"/>
    </row>
    <row r="21" spans="1:14" ht="14.4">
      <c r="A21" s="15" t="s">
        <v>51</v>
      </c>
      <c r="B21" s="39">
        <f>J20</f>
        <v>430.53</v>
      </c>
      <c r="C21" s="6">
        <v>3963.0810000000001</v>
      </c>
      <c r="D21" s="102">
        <f>(54003.3*1.10231)/1000</f>
        <v>59.528377622999997</v>
      </c>
      <c r="E21" s="102">
        <f t="shared" si="0"/>
        <v>4453.1393776229997</v>
      </c>
      <c r="F21" s="102"/>
      <c r="G21" s="102">
        <f>I21-H21</f>
        <v>3097.4258477249996</v>
      </c>
      <c r="H21" s="102">
        <f>(909155.8*1.10231)/1000</f>
        <v>1002.1715298979999</v>
      </c>
      <c r="I21" s="102">
        <f>E21-J21</f>
        <v>4099.5973776229994</v>
      </c>
      <c r="J21" s="6">
        <v>353.54199999999997</v>
      </c>
      <c r="K21" s="84"/>
      <c r="M21" s="120"/>
      <c r="N21" s="120"/>
    </row>
    <row r="22" spans="1:14" ht="14.4">
      <c r="A22" s="15" t="s">
        <v>38</v>
      </c>
      <c r="B22" s="39">
        <f>J21</f>
        <v>353.54199999999997</v>
      </c>
      <c r="C22" s="6">
        <v>4368.8829999999998</v>
      </c>
      <c r="D22" s="102">
        <f>(70284.1*1.10231)/1000</f>
        <v>77.47486627100001</v>
      </c>
      <c r="E22" s="102">
        <f t="shared" si="0"/>
        <v>4799.8998662710001</v>
      </c>
      <c r="F22" s="102"/>
      <c r="G22" s="102">
        <f>I22-H22</f>
        <v>3105.8048662540004</v>
      </c>
      <c r="H22" s="102">
        <f>(1125640.7*1.10231)/1000</f>
        <v>1240.8050000169999</v>
      </c>
      <c r="I22" s="102">
        <f>E22-J22</f>
        <v>4346.6098662710001</v>
      </c>
      <c r="J22" s="6">
        <v>453.29</v>
      </c>
      <c r="K22" s="87"/>
      <c r="M22" s="120"/>
      <c r="N22" s="120"/>
    </row>
    <row r="23" spans="1:14" ht="14.4">
      <c r="A23" s="15" t="s">
        <v>29</v>
      </c>
      <c r="B23" s="39"/>
      <c r="C23" s="6">
        <f>SUM(C11:C22)</f>
        <v>54145.4</v>
      </c>
      <c r="D23" s="6">
        <f>(623493.3*1.10231)/1000</f>
        <v>687.28289952299997</v>
      </c>
      <c r="E23" s="6">
        <f>B11+C23+D23</f>
        <v>55203.573899523006</v>
      </c>
      <c r="F23" s="6"/>
      <c r="G23" s="6">
        <f>SUM(G11:G22)</f>
        <v>38642.947016567006</v>
      </c>
      <c r="H23" s="6">
        <f>(14612347.3*1.10231)/1000</f>
        <v>16107.336552262999</v>
      </c>
      <c r="I23" s="5">
        <f>SUM(I11:I22)</f>
        <v>54750.283899522998</v>
      </c>
      <c r="J23" s="6"/>
      <c r="K23" s="119"/>
      <c r="M23" s="120"/>
      <c r="N23" s="34"/>
    </row>
    <row r="24" spans="1:14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N24" s="34"/>
    </row>
    <row r="25" spans="1:14" ht="14.4">
      <c r="A25" s="30" t="s">
        <v>158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N25" s="34"/>
    </row>
    <row r="26" spans="1:14" ht="14.4">
      <c r="A26" s="15" t="s">
        <v>39</v>
      </c>
      <c r="B26" s="39">
        <f>J22</f>
        <v>453.29</v>
      </c>
      <c r="C26" s="6">
        <v>5088.8389999999999</v>
      </c>
      <c r="D26" s="102">
        <f>(42814.1*1.10231)/1000</f>
        <v>47.194410570999992</v>
      </c>
      <c r="E26" s="6">
        <f>SUM(B26:D26)</f>
        <v>5589.3234105709998</v>
      </c>
      <c r="F26" s="6"/>
      <c r="G26" s="6">
        <f>I26-H26</f>
        <v>3831.8400592099997</v>
      </c>
      <c r="H26" s="102">
        <f>(1284823.1*1.10231)/1000</f>
        <v>1416.2733513609999</v>
      </c>
      <c r="I26" s="102">
        <f>E26-J26</f>
        <v>5248.1134105709998</v>
      </c>
      <c r="J26" s="6">
        <v>341.21000000000004</v>
      </c>
      <c r="K26" s="84"/>
      <c r="N26" s="34"/>
    </row>
    <row r="27" spans="1:14" ht="14.4">
      <c r="A27" s="15" t="s">
        <v>40</v>
      </c>
      <c r="B27" s="39">
        <f>J26</f>
        <v>341.21000000000004</v>
      </c>
      <c r="C27" s="6">
        <v>4974.8110000000006</v>
      </c>
      <c r="D27" s="102">
        <f>(46652.9*1.10231)/1000</f>
        <v>51.425958199</v>
      </c>
      <c r="E27" s="102">
        <f>SUM(B27:D27)</f>
        <v>5367.4469581990006</v>
      </c>
      <c r="F27" s="6"/>
      <c r="G27" s="102">
        <f>I27-H27</f>
        <v>3144.328219418001</v>
      </c>
      <c r="H27" s="102">
        <f>(1550705.1*1.10231)/1000</f>
        <v>1709.3577387810001</v>
      </c>
      <c r="I27" s="102">
        <f>E27-J27</f>
        <v>4853.6859581990011</v>
      </c>
      <c r="J27" s="6">
        <v>513.76099999999997</v>
      </c>
      <c r="K27" s="84"/>
      <c r="N27" s="34"/>
    </row>
    <row r="28" spans="1:14" ht="16.2">
      <c r="A28" s="79" t="s">
        <v>68</v>
      </c>
      <c r="B28" s="69"/>
      <c r="C28" s="69"/>
      <c r="D28" s="69"/>
      <c r="E28" s="69"/>
      <c r="F28" s="69"/>
      <c r="G28" s="69"/>
      <c r="H28" s="69"/>
      <c r="I28" s="69"/>
      <c r="J28" s="69"/>
    </row>
    <row r="29" spans="1:14" ht="14.4">
      <c r="A29" s="15" t="s">
        <v>69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4" ht="13.8">
      <c r="A30" s="20" t="s">
        <v>57</v>
      </c>
      <c r="B30" s="36">
        <f>Contents!A18</f>
        <v>45671</v>
      </c>
      <c r="C30" s="33"/>
      <c r="D30" s="28"/>
      <c r="E30" s="28"/>
      <c r="F30" s="28"/>
      <c r="G30" s="28"/>
      <c r="H30" s="28"/>
      <c r="I30" s="28"/>
      <c r="J30" s="28"/>
    </row>
    <row r="31" spans="1:14">
      <c r="B31" s="41"/>
      <c r="C31" s="42"/>
      <c r="D31" s="41"/>
      <c r="E31" s="81"/>
      <c r="F31" s="41"/>
      <c r="G31" s="41"/>
      <c r="H31" s="43"/>
      <c r="I31" s="81"/>
      <c r="J31" s="41"/>
    </row>
    <row r="32" spans="1:14">
      <c r="B32" s="41"/>
      <c r="C32" s="41"/>
      <c r="D32" s="41"/>
      <c r="E32" s="41"/>
      <c r="F32" s="41"/>
      <c r="G32" s="41"/>
      <c r="H32" s="41"/>
      <c r="I32" s="41"/>
      <c r="J32" s="41"/>
    </row>
    <row r="33" spans="7:7">
      <c r="G33" s="34"/>
    </row>
    <row r="34" spans="7:7">
      <c r="G34" s="90"/>
    </row>
  </sheetData>
  <mergeCells count="3">
    <mergeCell ref="G2:I2"/>
    <mergeCell ref="B5:J5"/>
    <mergeCell ref="B2:E2"/>
  </mergeCells>
  <phoneticPr fontId="55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2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33203125" defaultRowHeight="13.2"/>
  <cols>
    <col min="1" max="1" width="15.44140625" customWidth="1"/>
    <col min="2" max="2" width="12.44140625" bestFit="1" customWidth="1"/>
    <col min="3" max="3" width="12.3320312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3" max="13" width="11.5546875" bestFit="1" customWidth="1"/>
    <col min="14" max="14" width="11.3320312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83" t="s">
        <v>58</v>
      </c>
      <c r="C2" s="183"/>
      <c r="D2" s="183"/>
      <c r="E2" s="183"/>
      <c r="F2" s="15"/>
      <c r="G2" s="183" t="s">
        <v>59</v>
      </c>
      <c r="H2" s="183"/>
      <c r="I2" s="183"/>
      <c r="J2" s="138"/>
      <c r="K2" s="138"/>
      <c r="L2" s="15"/>
    </row>
    <row r="3" spans="1:20" ht="13.8">
      <c r="A3" s="15" t="s">
        <v>18</v>
      </c>
      <c r="B3" s="17" t="s">
        <v>70</v>
      </c>
      <c r="C3" s="17" t="s">
        <v>27</v>
      </c>
      <c r="D3" s="17" t="s">
        <v>71</v>
      </c>
      <c r="E3" s="17" t="s">
        <v>63</v>
      </c>
      <c r="F3" s="17"/>
      <c r="G3" s="138" t="s">
        <v>64</v>
      </c>
      <c r="H3" s="138"/>
      <c r="I3" s="138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185" t="s">
        <v>75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1:20" ht="16.2">
      <c r="A6" s="15" t="s">
        <v>76</v>
      </c>
      <c r="B6" s="38">
        <v>1991.1479999999999</v>
      </c>
      <c r="C6" s="38">
        <v>26227.309000000001</v>
      </c>
      <c r="D6" s="151">
        <v>375.55383030479999</v>
      </c>
      <c r="E6" s="38">
        <f>SUM(B6:D6)</f>
        <v>28594.010830304804</v>
      </c>
      <c r="F6" s="38"/>
      <c r="G6" s="38">
        <f>K6-J6</f>
        <v>26609.028920468605</v>
      </c>
      <c r="H6" s="38">
        <v>12510.33</v>
      </c>
      <c r="I6" s="118">
        <f>G6-H6</f>
        <v>14098.698920468605</v>
      </c>
      <c r="J6" s="38">
        <v>377.90990983619997</v>
      </c>
      <c r="K6" s="38">
        <f>E6-L6</f>
        <v>26986.938830304804</v>
      </c>
      <c r="L6" s="38">
        <v>1607.0719999999999</v>
      </c>
    </row>
    <row r="7" spans="1:20" ht="16.2">
      <c r="A7" s="15" t="s">
        <v>77</v>
      </c>
      <c r="B7" s="38">
        <f>L6</f>
        <v>1607.0719999999999</v>
      </c>
      <c r="C7" s="38">
        <f>C23</f>
        <v>27129.552000000003</v>
      </c>
      <c r="D7" s="151">
        <f>D23</f>
        <v>620.64231943139998</v>
      </c>
      <c r="E7" s="38">
        <f>SUM(B7:D7)</f>
        <v>29357.266319431405</v>
      </c>
      <c r="F7" s="38"/>
      <c r="G7" s="38">
        <f>K7-J7</f>
        <v>27239.645032409004</v>
      </c>
      <c r="H7" s="38">
        <v>12989.041999999999</v>
      </c>
      <c r="I7" s="118">
        <f>G7-H7</f>
        <v>14250.603032409004</v>
      </c>
      <c r="J7" s="38">
        <f>J23</f>
        <v>616.76328702240005</v>
      </c>
      <c r="K7" s="38">
        <f>E7-L7</f>
        <v>27856.408319431404</v>
      </c>
      <c r="L7" s="38">
        <f>L22</f>
        <v>1500.8579999999999</v>
      </c>
      <c r="M7" s="142"/>
      <c r="N7" s="142"/>
      <c r="O7" s="142"/>
      <c r="P7" s="142"/>
      <c r="Q7" s="142"/>
      <c r="R7" s="142"/>
      <c r="S7" s="142"/>
      <c r="T7" s="142"/>
    </row>
    <row r="8" spans="1:20" ht="16.2">
      <c r="A8" s="15" t="s">
        <v>37</v>
      </c>
      <c r="B8" s="38">
        <f>L7</f>
        <v>1500.8579999999999</v>
      </c>
      <c r="C8" s="38">
        <v>28680</v>
      </c>
      <c r="D8" s="151">
        <v>550</v>
      </c>
      <c r="E8" s="38">
        <f>SUM(B8:D8)</f>
        <v>30730.858</v>
      </c>
      <c r="F8" s="38"/>
      <c r="G8" s="38">
        <f>H8+I8</f>
        <v>27600</v>
      </c>
      <c r="H8" s="38">
        <v>13600</v>
      </c>
      <c r="I8" s="118">
        <v>14000</v>
      </c>
      <c r="J8" s="38">
        <v>1600</v>
      </c>
      <c r="K8" s="38">
        <f>G8+J8</f>
        <v>29200</v>
      </c>
      <c r="L8" s="38">
        <f>E8-K8</f>
        <v>1530.8580000000002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3.8">
      <c r="A10" s="30" t="s">
        <v>53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3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28"/>
      <c r="N11" s="86"/>
      <c r="P11" s="34"/>
    </row>
    <row r="12" spans="1:20" ht="13.8">
      <c r="A12" s="15" t="s">
        <v>40</v>
      </c>
      <c r="B12" s="5"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3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28"/>
      <c r="N12" s="86"/>
      <c r="P12" s="34"/>
    </row>
    <row r="13" spans="1:20" ht="13.8">
      <c r="A13" s="15" t="s">
        <v>42</v>
      </c>
      <c r="B13" s="5"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2186.9834934009996</v>
      </c>
      <c r="H13" s="103">
        <v>1141.8820000000001</v>
      </c>
      <c r="I13" s="6">
        <f t="shared" si="2"/>
        <v>1045.1014934009995</v>
      </c>
      <c r="J13" s="6">
        <f>(5810.2*2204.622)/1000000</f>
        <v>12.809294744399999</v>
      </c>
      <c r="K13" s="6">
        <f t="shared" si="3"/>
        <v>2199.7927881453998</v>
      </c>
      <c r="L13" s="5">
        <v>1823.8340000000001</v>
      </c>
      <c r="M13" s="128"/>
      <c r="N13" s="86"/>
      <c r="P13" s="34"/>
    </row>
    <row r="14" spans="1:20" ht="13.8">
      <c r="A14" s="15" t="s">
        <v>43</v>
      </c>
      <c r="B14" s="5">
        <v>1823.8340000000001</v>
      </c>
      <c r="C14" s="6">
        <v>2288.5720000000001</v>
      </c>
      <c r="D14" s="6">
        <f>(22995*2204.622)/1000000</f>
        <v>50.695282889999994</v>
      </c>
      <c r="E14" s="6">
        <f t="shared" si="0"/>
        <v>4163.1012828900002</v>
      </c>
      <c r="F14" s="5"/>
      <c r="G14" s="5">
        <f t="shared" si="1"/>
        <v>2122.8299197475999</v>
      </c>
      <c r="H14" s="133">
        <v>960.20299999999997</v>
      </c>
      <c r="I14" s="6">
        <f t="shared" si="2"/>
        <v>1162.6269197475999</v>
      </c>
      <c r="J14" s="6">
        <f>(5219.2*2204.622)/1000000</f>
        <v>11.506363142399998</v>
      </c>
      <c r="K14" s="6">
        <f t="shared" si="3"/>
        <v>2134.3362828899999</v>
      </c>
      <c r="L14" s="5">
        <v>2028.7650000000001</v>
      </c>
      <c r="M14" s="128"/>
      <c r="N14" s="86"/>
      <c r="P14" s="34"/>
    </row>
    <row r="15" spans="1:20" ht="13.8">
      <c r="A15" s="15" t="s">
        <v>44</v>
      </c>
      <c r="B15" s="5">
        <v>2028.7650000000001</v>
      </c>
      <c r="C15" s="6">
        <v>2292.36</v>
      </c>
      <c r="D15" s="6">
        <f>(15950.7*2204.622)/1000000</f>
        <v>35.165264135399994</v>
      </c>
      <c r="E15" s="6">
        <f t="shared" si="0"/>
        <v>4356.2902641354003</v>
      </c>
      <c r="F15" s="5"/>
      <c r="G15" s="5">
        <f t="shared" si="1"/>
        <v>2193.7767908488004</v>
      </c>
      <c r="H15" s="133">
        <v>888.49</v>
      </c>
      <c r="I15" s="6">
        <f t="shared" si="2"/>
        <v>1305.2867908488004</v>
      </c>
      <c r="J15" s="6">
        <f>(6450.3*2204.622)/1000000</f>
        <v>14.220473286599999</v>
      </c>
      <c r="K15" s="6">
        <f t="shared" si="3"/>
        <v>2207.9972641354002</v>
      </c>
      <c r="L15" s="5">
        <v>2148.2930000000001</v>
      </c>
      <c r="M15" s="128"/>
      <c r="N15" s="86"/>
      <c r="P15" s="34"/>
    </row>
    <row r="16" spans="1:20" ht="13.8">
      <c r="A16" s="15" t="s">
        <v>46</v>
      </c>
      <c r="B16" s="5">
        <v>2148.2930000000001</v>
      </c>
      <c r="C16" s="6">
        <v>2405.5709999999999</v>
      </c>
      <c r="D16" s="6">
        <f>(22598.7*2204.622)/1000000</f>
        <v>49.821591191399996</v>
      </c>
      <c r="E16" s="6">
        <f t="shared" si="0"/>
        <v>4603.6855911913999</v>
      </c>
      <c r="F16" s="5"/>
      <c r="G16" s="5">
        <f t="shared" si="1"/>
        <v>2135.8192490381998</v>
      </c>
      <c r="H16" s="133">
        <v>1026.1990000000001</v>
      </c>
      <c r="I16" s="6">
        <f t="shared" si="2"/>
        <v>1109.6202490381997</v>
      </c>
      <c r="J16" s="6">
        <f>(44790.6*2204.622)/1000000</f>
        <v>98.74634215319999</v>
      </c>
      <c r="K16" s="6">
        <f t="shared" si="3"/>
        <v>2234.5655911914</v>
      </c>
      <c r="L16" s="5">
        <v>2369.12</v>
      </c>
      <c r="M16" s="128"/>
      <c r="N16" s="86"/>
      <c r="P16" s="34"/>
    </row>
    <row r="17" spans="1:16" ht="13.8">
      <c r="A17" s="15" t="s">
        <v>47</v>
      </c>
      <c r="B17" s="5">
        <v>2369.12</v>
      </c>
      <c r="C17" s="6">
        <v>2097.7559999999999</v>
      </c>
      <c r="D17" s="6">
        <f>(24996.9*2204.622)/1000000</f>
        <v>55.108715671800006</v>
      </c>
      <c r="E17" s="6">
        <f t="shared" si="0"/>
        <v>4521.9847156718006</v>
      </c>
      <c r="F17" s="5"/>
      <c r="G17" s="5">
        <f t="shared" si="1"/>
        <v>2188.2718875420005</v>
      </c>
      <c r="H17" s="133">
        <v>1070.029</v>
      </c>
      <c r="I17" s="6">
        <f t="shared" si="2"/>
        <v>1118.2428875420005</v>
      </c>
      <c r="J17" s="6">
        <f>(10135.9*2204.622)/1000000</f>
        <v>22.345828129800001</v>
      </c>
      <c r="K17" s="6">
        <f t="shared" si="3"/>
        <v>2210.6177156718004</v>
      </c>
      <c r="L17" s="5">
        <v>2311.3670000000002</v>
      </c>
      <c r="M17" s="128"/>
      <c r="N17" s="86"/>
      <c r="P17" s="34"/>
    </row>
    <row r="18" spans="1:16" ht="13.8">
      <c r="A18" s="15" t="s">
        <v>48</v>
      </c>
      <c r="B18" s="5">
        <v>2311.3670000000002</v>
      </c>
      <c r="C18" s="6">
        <v>2268.8420000000001</v>
      </c>
      <c r="D18" s="6">
        <f>(40370*2204.622)/1000000</f>
        <v>89.00059014</v>
      </c>
      <c r="E18" s="6">
        <f t="shared" si="0"/>
        <v>4669.2095901400007</v>
      </c>
      <c r="F18" s="5"/>
      <c r="G18" s="5">
        <f t="shared" si="1"/>
        <v>2387.1196363152008</v>
      </c>
      <c r="H18" s="133">
        <v>1076.011</v>
      </c>
      <c r="I18" s="6">
        <f t="shared" si="2"/>
        <v>1311.1086363152008</v>
      </c>
      <c r="J18" s="6">
        <f>(42508.4*2204.622)/1000000</f>
        <v>93.714953824800006</v>
      </c>
      <c r="K18" s="6">
        <f t="shared" si="3"/>
        <v>2480.8345901400007</v>
      </c>
      <c r="L18" s="5">
        <v>2188.375</v>
      </c>
      <c r="M18" s="128"/>
      <c r="N18" s="86"/>
      <c r="P18" s="34"/>
    </row>
    <row r="19" spans="1:16" ht="13.8">
      <c r="A19" s="15" t="s">
        <v>49</v>
      </c>
      <c r="B19" s="5">
        <v>2188.375</v>
      </c>
      <c r="C19" s="6">
        <v>2183.6149999999998</v>
      </c>
      <c r="D19" s="6">
        <f>(45970.5*2204.622)/1000000</f>
        <v>101.347575651</v>
      </c>
      <c r="E19" s="6">
        <f t="shared" si="0"/>
        <v>4473.3375756509995</v>
      </c>
      <c r="F19" s="5"/>
      <c r="G19" s="5">
        <f t="shared" si="1"/>
        <v>2232.7034918979998</v>
      </c>
      <c r="H19" s="133">
        <v>1266.837</v>
      </c>
      <c r="I19" s="6">
        <f t="shared" si="2"/>
        <v>965.86649189799982</v>
      </c>
      <c r="J19" s="6">
        <f>(52311.5*2204.622)/1000000</f>
        <v>115.327083753</v>
      </c>
      <c r="K19" s="6">
        <f t="shared" si="3"/>
        <v>2348.0305756509997</v>
      </c>
      <c r="L19" s="5">
        <v>2125.3069999999998</v>
      </c>
      <c r="M19" s="128"/>
      <c r="N19" s="86"/>
      <c r="P19" s="34"/>
    </row>
    <row r="20" spans="1:16" ht="13.8">
      <c r="A20" s="15" t="s">
        <v>50</v>
      </c>
      <c r="B20" s="5">
        <v>2125.3069999999998</v>
      </c>
      <c r="C20" s="6">
        <v>2303.0819999999999</v>
      </c>
      <c r="D20" s="6">
        <f>(33095.7*2204.622)/1000000</f>
        <v>72.963508325399999</v>
      </c>
      <c r="E20" s="6">
        <f t="shared" si="0"/>
        <v>4501.352508325399</v>
      </c>
      <c r="F20" s="5"/>
      <c r="G20" s="5">
        <f t="shared" si="1"/>
        <v>2395.743151496999</v>
      </c>
      <c r="H20" s="133">
        <v>1139.1510000000001</v>
      </c>
      <c r="I20" s="6">
        <f t="shared" si="2"/>
        <v>1256.5921514969989</v>
      </c>
      <c r="J20" s="6">
        <f>(44032.2*2204.622)/1000000</f>
        <v>97.074356828399985</v>
      </c>
      <c r="K20" s="6">
        <f t="shared" si="3"/>
        <v>2492.8175083253991</v>
      </c>
      <c r="L20" s="5">
        <v>2008.5350000000001</v>
      </c>
      <c r="M20" s="128"/>
      <c r="N20" s="86"/>
      <c r="P20" s="34"/>
    </row>
    <row r="21" spans="1:16" ht="13.8">
      <c r="A21" s="15" t="s">
        <v>51</v>
      </c>
      <c r="B21" s="5">
        <v>2008.5350000000001</v>
      </c>
      <c r="C21" s="100">
        <v>1991.846</v>
      </c>
      <c r="D21" s="6">
        <f>(6929.7*2204.622)/1000000</f>
        <v>15.277369073399997</v>
      </c>
      <c r="E21" s="6">
        <f t="shared" si="0"/>
        <v>4015.6583690734005</v>
      </c>
      <c r="F21" s="5"/>
      <c r="G21" s="5">
        <f t="shared" si="1"/>
        <v>2322.2227831694004</v>
      </c>
      <c r="H21" s="133">
        <v>1217.0319999999999</v>
      </c>
      <c r="I21" s="6">
        <f t="shared" si="2"/>
        <v>1105.1907831694004</v>
      </c>
      <c r="J21" s="6">
        <f>(29032*2204.622)/1000000</f>
        <v>64.004585903999995</v>
      </c>
      <c r="K21" s="6">
        <f t="shared" si="3"/>
        <v>2386.2273690734005</v>
      </c>
      <c r="L21" s="5">
        <v>1629.431</v>
      </c>
      <c r="M21" s="128"/>
      <c r="N21" s="86"/>
      <c r="P21" s="34"/>
    </row>
    <row r="22" spans="1:16" ht="13.8">
      <c r="A22" s="15" t="s">
        <v>38</v>
      </c>
      <c r="B22" s="5">
        <v>1629.431</v>
      </c>
      <c r="C22" s="100">
        <v>2221.3490000000002</v>
      </c>
      <c r="D22" s="6">
        <f>(9360.5*2204.622)/1000000</f>
        <v>20.636364230999998</v>
      </c>
      <c r="E22" s="6">
        <f t="shared" si="0"/>
        <v>3871.416364231</v>
      </c>
      <c r="F22" s="5"/>
      <c r="G22" s="5">
        <f t="shared" si="1"/>
        <v>2310.2033095858001</v>
      </c>
      <c r="H22" s="133">
        <v>1076.2909999999999</v>
      </c>
      <c r="I22" s="6">
        <f t="shared" si="2"/>
        <v>1233.9123095858001</v>
      </c>
      <c r="J22" s="6">
        <f>(27376.6*2204.622)/1000000</f>
        <v>60.355054645199992</v>
      </c>
      <c r="K22" s="6">
        <f t="shared" si="3"/>
        <v>2370.5583642310003</v>
      </c>
      <c r="L22" s="5">
        <v>1500.8579999999999</v>
      </c>
      <c r="M22" s="128"/>
      <c r="N22" s="86"/>
      <c r="P22" s="34"/>
    </row>
    <row r="23" spans="1:16" ht="13.8">
      <c r="A23" s="15" t="s">
        <v>29</v>
      </c>
      <c r="B23" s="5"/>
      <c r="C23" s="100">
        <f>SUM(C11:C22)</f>
        <v>27129.552000000003</v>
      </c>
      <c r="D23" s="6">
        <f>(281518.7*2204.622)/1000000</f>
        <v>620.64231943139998</v>
      </c>
      <c r="E23" s="6">
        <f>B11+C23+D23</f>
        <v>29357.266319431405</v>
      </c>
      <c r="F23" s="5"/>
      <c r="G23" s="5">
        <f>K23-J23</f>
        <v>27239.645252871196</v>
      </c>
      <c r="H23" s="133">
        <f>SUM(H11:H22)</f>
        <v>12989.041999999999</v>
      </c>
      <c r="I23" s="102">
        <f>G23-H23</f>
        <v>14250.603252871197</v>
      </c>
      <c r="J23" s="6">
        <f>(279759.2*2204.622)/1000000</f>
        <v>616.76328702240005</v>
      </c>
      <c r="K23" s="6">
        <f>SUM(K11:K22)</f>
        <v>27856.408539893597</v>
      </c>
      <c r="L23" s="5"/>
      <c r="P23" s="34"/>
    </row>
    <row r="24" spans="1:16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P24" s="34"/>
    </row>
    <row r="25" spans="1:16" ht="13.8">
      <c r="A25" s="30" t="s">
        <v>158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6" ht="13.8">
      <c r="A26" s="15" t="s">
        <v>39</v>
      </c>
      <c r="B26" s="5">
        <f>L22</f>
        <v>1500.8579999999999</v>
      </c>
      <c r="C26" s="6">
        <v>2569.453</v>
      </c>
      <c r="D26" s="6">
        <f>(13263.8*2204.622)/1000000</f>
        <v>29.241665283599996</v>
      </c>
      <c r="E26" s="6">
        <f>SUM(B26:D26)</f>
        <v>4099.5526652835997</v>
      </c>
      <c r="F26" s="5"/>
      <c r="G26" s="5">
        <f>K26-J26</f>
        <v>2503.1366039863997</v>
      </c>
      <c r="H26" s="150">
        <v>1227.0820000000001</v>
      </c>
      <c r="I26" s="6">
        <f t="shared" ref="I26" si="4">G26-H26</f>
        <v>1276.0546039863996</v>
      </c>
      <c r="J26" s="6">
        <f>(10242.6*2204.622)/1000000</f>
        <v>22.581061297199998</v>
      </c>
      <c r="K26" s="6">
        <f>E26-L26</f>
        <v>2525.7176652835997</v>
      </c>
      <c r="L26" s="6">
        <v>1573.835</v>
      </c>
      <c r="N26" s="34"/>
      <c r="P26" s="34"/>
    </row>
    <row r="27" spans="1:16" ht="13.8">
      <c r="A27" s="15" t="s">
        <v>40</v>
      </c>
      <c r="B27" s="5">
        <f>L26</f>
        <v>1573.835</v>
      </c>
      <c r="C27" s="6">
        <v>2489.9409999999998</v>
      </c>
      <c r="D27" s="102">
        <f>(30494.4*2204.622)/1000000</f>
        <v>67.228625116799989</v>
      </c>
      <c r="E27" s="102">
        <f>SUM(B27:D27)</f>
        <v>4131.0046251167996</v>
      </c>
      <c r="F27" s="5"/>
      <c r="G27" s="78">
        <f>K27-J27</f>
        <v>2389.2472942077993</v>
      </c>
      <c r="H27" s="150" t="s">
        <v>78</v>
      </c>
      <c r="I27" s="102" t="s">
        <v>78</v>
      </c>
      <c r="J27" s="102">
        <f>(58509.5*2204.622)/1000000</f>
        <v>128.991330909</v>
      </c>
      <c r="K27" s="102">
        <f>E27-L27</f>
        <v>2518.2386251167995</v>
      </c>
      <c r="L27" s="6">
        <v>1612.7660000000001</v>
      </c>
      <c r="N27" s="34"/>
      <c r="P27" s="34"/>
    </row>
    <row r="28" spans="1:16" ht="16.2">
      <c r="A28" s="79" t="s">
        <v>79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</row>
    <row r="29" spans="1:16" ht="14.4">
      <c r="A29" s="15" t="s">
        <v>69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6" ht="13.8">
      <c r="A30" s="20" t="s">
        <v>57</v>
      </c>
      <c r="B30" s="36">
        <f>Contents!A18</f>
        <v>45671</v>
      </c>
      <c r="K30" s="34"/>
    </row>
    <row r="31" spans="1:16">
      <c r="E31" s="34"/>
    </row>
    <row r="32" spans="1:16">
      <c r="H32" s="90"/>
    </row>
  </sheetData>
  <mergeCells count="3">
    <mergeCell ref="B5:L5"/>
    <mergeCell ref="G2:I2"/>
    <mergeCell ref="B2:E2"/>
  </mergeCells>
  <phoneticPr fontId="55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33203125" defaultRowHeight="13.2"/>
  <cols>
    <col min="1" max="1" width="15.44140625" customWidth="1"/>
    <col min="2" max="2" width="13.33203125" customWidth="1"/>
    <col min="3" max="3" width="12.3320312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10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83" t="s">
        <v>58</v>
      </c>
      <c r="C2" s="183"/>
      <c r="D2" s="183"/>
      <c r="E2" s="183"/>
      <c r="F2" s="69"/>
      <c r="G2" s="183" t="s">
        <v>59</v>
      </c>
      <c r="H2" s="183"/>
      <c r="I2" s="183"/>
      <c r="J2" s="183"/>
      <c r="K2" s="69"/>
      <c r="L2" s="15"/>
      <c r="M2" s="15"/>
      <c r="N2" s="15"/>
      <c r="O2" s="15"/>
    </row>
    <row r="3" spans="1:15" ht="13.8">
      <c r="A3" s="15" t="s">
        <v>18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80</v>
      </c>
      <c r="B4" s="23" t="s">
        <v>81</v>
      </c>
      <c r="C4" s="55" t="s">
        <v>27</v>
      </c>
      <c r="D4" s="25" t="s">
        <v>71</v>
      </c>
      <c r="E4" s="23" t="s">
        <v>82</v>
      </c>
      <c r="F4" s="24"/>
      <c r="G4" s="23" t="s">
        <v>83</v>
      </c>
      <c r="H4" s="23" t="s">
        <v>31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4">
      <c r="A5" s="15"/>
      <c r="B5" s="188" t="s">
        <v>86</v>
      </c>
      <c r="C5" s="188"/>
      <c r="D5" s="188"/>
      <c r="E5" s="188"/>
      <c r="F5" s="188"/>
      <c r="G5" s="188"/>
      <c r="H5" s="188"/>
      <c r="I5" s="188"/>
      <c r="J5" s="188"/>
      <c r="K5" s="188"/>
      <c r="L5" s="15"/>
      <c r="M5" s="15"/>
      <c r="N5" s="15"/>
      <c r="O5" s="15"/>
    </row>
    <row r="6" spans="1:15" ht="13.8">
      <c r="A6" s="15" t="s">
        <v>35</v>
      </c>
      <c r="B6" s="71">
        <v>395.42099999999999</v>
      </c>
      <c r="C6" s="71">
        <v>4415</v>
      </c>
      <c r="D6" s="122">
        <v>101.14</v>
      </c>
      <c r="E6" s="71">
        <f>B6+C6+D6</f>
        <v>4911.5610000000006</v>
      </c>
      <c r="F6" s="72"/>
      <c r="G6" s="71">
        <v>1389.82</v>
      </c>
      <c r="H6" s="123">
        <v>185.61</v>
      </c>
      <c r="I6" s="71">
        <f>J6-G6-H6</f>
        <v>2950.9960000000005</v>
      </c>
      <c r="J6" s="71">
        <f>E6-K6</f>
        <v>4526.4260000000004</v>
      </c>
      <c r="K6" s="124">
        <v>385.13499999999999</v>
      </c>
      <c r="L6" s="125"/>
      <c r="M6" s="125"/>
      <c r="N6" s="125"/>
      <c r="O6" s="15"/>
    </row>
    <row r="7" spans="1:15" ht="16.2">
      <c r="A7" s="15" t="s">
        <v>36</v>
      </c>
      <c r="B7" s="71">
        <f>K6</f>
        <v>385.13499999999999</v>
      </c>
      <c r="C7" s="71">
        <v>3644</v>
      </c>
      <c r="D7" s="122">
        <v>24.143999999999998</v>
      </c>
      <c r="E7" s="71">
        <f>B7+C7+D7</f>
        <v>4053.279</v>
      </c>
      <c r="F7" s="72"/>
      <c r="G7" s="71">
        <v>1371.923</v>
      </c>
      <c r="H7" s="123">
        <v>389.28699999999998</v>
      </c>
      <c r="I7" s="71">
        <v>1922</v>
      </c>
      <c r="J7" s="71">
        <f>SUM(G7:I7)</f>
        <v>3683.21</v>
      </c>
      <c r="K7" s="71">
        <f>E7-J7</f>
        <v>370.06899999999996</v>
      </c>
      <c r="L7" s="125"/>
      <c r="M7" s="15"/>
      <c r="N7" s="125"/>
      <c r="O7" s="15"/>
    </row>
    <row r="8" spans="1:15" ht="16.2">
      <c r="A8" s="14" t="s">
        <v>37</v>
      </c>
      <c r="B8" s="172">
        <f>K7</f>
        <v>370.06899999999996</v>
      </c>
      <c r="C8" s="172">
        <v>4401</v>
      </c>
      <c r="D8" s="173">
        <v>50</v>
      </c>
      <c r="E8" s="172">
        <f>B8+C8+D8</f>
        <v>4821.0689999999995</v>
      </c>
      <c r="F8" s="174"/>
      <c r="G8" s="172">
        <v>1400</v>
      </c>
      <c r="H8" s="175">
        <v>275</v>
      </c>
      <c r="I8" s="172">
        <v>2746</v>
      </c>
      <c r="J8" s="172">
        <f>SUM(G8:I8)</f>
        <v>4421</v>
      </c>
      <c r="K8" s="172">
        <f>E8-J8</f>
        <v>400.06899999999951</v>
      </c>
      <c r="L8" s="15"/>
      <c r="M8" s="15"/>
      <c r="N8" s="15"/>
      <c r="O8" s="15"/>
    </row>
    <row r="9" spans="1:15" ht="16.2">
      <c r="A9" s="40" t="s">
        <v>87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4">
      <c r="A10" s="15" t="s">
        <v>88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89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83" t="s">
        <v>58</v>
      </c>
      <c r="C15" s="183"/>
      <c r="D15" s="183"/>
      <c r="E15" s="183"/>
      <c r="F15" s="15"/>
      <c r="G15" s="183" t="s">
        <v>59</v>
      </c>
      <c r="H15" s="183"/>
      <c r="I15" s="183"/>
      <c r="J15" s="15"/>
      <c r="K15" s="15"/>
      <c r="L15" s="15"/>
      <c r="M15" s="15"/>
      <c r="N15" s="15"/>
      <c r="O15" s="15"/>
    </row>
    <row r="16" spans="1:15" ht="13.8">
      <c r="A16" s="15" t="s">
        <v>18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5" t="s">
        <v>27</v>
      </c>
      <c r="D17" s="25" t="s">
        <v>71</v>
      </c>
      <c r="E17" s="23" t="s">
        <v>85</v>
      </c>
      <c r="F17" s="24"/>
      <c r="G17" s="71" t="s">
        <v>90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188" t="s">
        <v>91</v>
      </c>
      <c r="C18" s="188"/>
      <c r="D18" s="188"/>
      <c r="E18" s="188"/>
      <c r="F18" s="188"/>
      <c r="G18" s="188"/>
      <c r="H18" s="188"/>
      <c r="I18" s="188"/>
      <c r="J18" s="188"/>
      <c r="K18" s="15"/>
      <c r="L18" s="15"/>
      <c r="M18" s="15"/>
      <c r="N18" s="15"/>
      <c r="O18" s="15"/>
    </row>
    <row r="19" spans="1:15" ht="13.8">
      <c r="A19" s="15" t="s">
        <v>35</v>
      </c>
      <c r="B19" s="71">
        <v>22.315999999999999</v>
      </c>
      <c r="C19" s="123">
        <v>589.51700000000005</v>
      </c>
      <c r="D19" s="122">
        <v>0</v>
      </c>
      <c r="E19" s="123">
        <f>B19+C19+D19</f>
        <v>611.83300000000008</v>
      </c>
      <c r="F19" s="72"/>
      <c r="G19" s="123">
        <f>E19-J19-H19</f>
        <v>526.202</v>
      </c>
      <c r="H19" s="123">
        <v>53.07</v>
      </c>
      <c r="I19" s="123">
        <f>SUM(G19:H19)</f>
        <v>579.27200000000005</v>
      </c>
      <c r="J19" s="71">
        <v>32.561</v>
      </c>
      <c r="K19" s="15"/>
      <c r="L19" s="125"/>
      <c r="M19" s="15"/>
      <c r="N19" s="15"/>
      <c r="O19" s="15"/>
    </row>
    <row r="20" spans="1:15" ht="16.2">
      <c r="A20" s="15" t="s">
        <v>36</v>
      </c>
      <c r="B20" s="71">
        <f>J19</f>
        <v>32.561</v>
      </c>
      <c r="C20" s="123">
        <v>568.43899999999996</v>
      </c>
      <c r="D20" s="122">
        <v>0.05</v>
      </c>
      <c r="E20" s="123">
        <f>B20+C20+D20</f>
        <v>601.04999999999995</v>
      </c>
      <c r="F20" s="72"/>
      <c r="G20" s="123">
        <f>E20-J20-H20</f>
        <v>515.82099999999991</v>
      </c>
      <c r="H20" s="123">
        <v>50.72</v>
      </c>
      <c r="I20" s="123">
        <f>SUM(G20:H20)</f>
        <v>566.54099999999994</v>
      </c>
      <c r="J20" s="71">
        <v>34.509</v>
      </c>
      <c r="K20" s="15"/>
      <c r="L20" s="125"/>
      <c r="M20" s="15"/>
      <c r="N20" s="15"/>
      <c r="O20" s="15"/>
    </row>
    <row r="21" spans="1:15" ht="16.2">
      <c r="A21" s="14" t="s">
        <v>37</v>
      </c>
      <c r="B21" s="172">
        <f>J20</f>
        <v>34.509</v>
      </c>
      <c r="C21" s="175">
        <v>615</v>
      </c>
      <c r="D21" s="173">
        <v>0</v>
      </c>
      <c r="E21" s="175">
        <f>B21+C21+D21</f>
        <v>649.50900000000001</v>
      </c>
      <c r="F21" s="174"/>
      <c r="G21" s="175">
        <v>560</v>
      </c>
      <c r="H21" s="175">
        <v>50</v>
      </c>
      <c r="I21" s="175">
        <f>SUM(G21:H21)</f>
        <v>610</v>
      </c>
      <c r="J21" s="172">
        <f>E21-I21</f>
        <v>39.509000000000015</v>
      </c>
      <c r="K21" s="15"/>
      <c r="L21" s="15"/>
      <c r="M21" s="15"/>
      <c r="N21" s="15"/>
      <c r="O21" s="15"/>
    </row>
    <row r="22" spans="1:15" ht="16.2">
      <c r="A22" s="40" t="s">
        <v>87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92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83" t="s">
        <v>58</v>
      </c>
      <c r="C27" s="183"/>
      <c r="D27" s="183"/>
      <c r="E27" s="183"/>
      <c r="F27" s="15"/>
      <c r="G27" s="183" t="s">
        <v>59</v>
      </c>
      <c r="H27" s="183"/>
      <c r="I27" s="183"/>
      <c r="J27" s="15"/>
      <c r="K27" s="15"/>
      <c r="L27" s="15"/>
      <c r="M27" s="15"/>
      <c r="N27" s="15"/>
      <c r="O27" s="15"/>
    </row>
    <row r="28" spans="1:15" ht="13.8">
      <c r="A28" s="15" t="s">
        <v>18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27</v>
      </c>
      <c r="D29" s="25" t="s">
        <v>71</v>
      </c>
      <c r="E29" s="23" t="s">
        <v>85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188" t="s">
        <v>75</v>
      </c>
      <c r="C30" s="188"/>
      <c r="D30" s="188"/>
      <c r="E30" s="188"/>
      <c r="F30" s="188"/>
      <c r="G30" s="188"/>
      <c r="H30" s="188"/>
      <c r="I30" s="188"/>
      <c r="J30" s="188"/>
      <c r="K30" s="15"/>
      <c r="L30" s="15"/>
      <c r="M30" s="15"/>
      <c r="N30" s="15"/>
      <c r="O30" s="15"/>
    </row>
    <row r="31" spans="1:15" ht="13.8">
      <c r="A31" s="15" t="s">
        <v>35</v>
      </c>
      <c r="B31" s="122">
        <v>49.698</v>
      </c>
      <c r="C31" s="123">
        <v>365.27800000000002</v>
      </c>
      <c r="D31" s="122">
        <v>15.945374023673997</v>
      </c>
      <c r="E31" s="126">
        <f>B31+C31+D31</f>
        <v>430.92137402367399</v>
      </c>
      <c r="F31" s="72"/>
      <c r="G31" s="123">
        <v>309.67673674592402</v>
      </c>
      <c r="H31" s="123">
        <v>71.126637277750007</v>
      </c>
      <c r="I31" s="123">
        <f>SUM(G31:H31)</f>
        <v>380.803374023674</v>
      </c>
      <c r="J31" s="123">
        <f>E31-I31</f>
        <v>50.117999999999995</v>
      </c>
      <c r="K31" s="15"/>
      <c r="L31" s="125"/>
      <c r="M31" s="15"/>
      <c r="N31" s="15"/>
      <c r="O31" s="15"/>
    </row>
    <row r="32" spans="1:15" ht="16.2">
      <c r="A32" s="15" t="s">
        <v>36</v>
      </c>
      <c r="B32" s="122">
        <f>J31</f>
        <v>50.117999999999995</v>
      </c>
      <c r="C32" s="123">
        <v>358.70499999999998</v>
      </c>
      <c r="D32" s="122">
        <v>1.9690000000000001</v>
      </c>
      <c r="E32" s="126">
        <f>B32+C32+D32</f>
        <v>410.79199999999997</v>
      </c>
      <c r="F32" s="72"/>
      <c r="G32" s="123">
        <v>338.37202418091601</v>
      </c>
      <c r="H32" s="123">
        <v>22.446000000000002</v>
      </c>
      <c r="I32" s="123">
        <f>SUM(G32:H32)</f>
        <v>360.81802418091604</v>
      </c>
      <c r="J32" s="123">
        <v>49.993000000000002</v>
      </c>
      <c r="K32" s="15"/>
      <c r="L32" s="15"/>
      <c r="M32" s="15"/>
      <c r="N32" s="15"/>
      <c r="O32" s="15"/>
    </row>
    <row r="33" spans="1:18" ht="16.2">
      <c r="A33" s="14" t="s">
        <v>37</v>
      </c>
      <c r="B33" s="173">
        <f>J32</f>
        <v>49.993000000000002</v>
      </c>
      <c r="C33" s="175">
        <v>375</v>
      </c>
      <c r="D33" s="173">
        <v>5</v>
      </c>
      <c r="E33" s="176">
        <f>B33+C33+D33</f>
        <v>429.99299999999999</v>
      </c>
      <c r="F33" s="174"/>
      <c r="G33" s="175">
        <v>350</v>
      </c>
      <c r="H33" s="175">
        <v>30</v>
      </c>
      <c r="I33" s="175">
        <f>SUM(G33:H33)</f>
        <v>380</v>
      </c>
      <c r="J33" s="175">
        <f>E33-I33</f>
        <v>49.992999999999995</v>
      </c>
      <c r="K33" s="15"/>
      <c r="L33" s="15"/>
      <c r="M33" s="15"/>
      <c r="N33" s="15"/>
      <c r="O33" s="15"/>
    </row>
    <row r="34" spans="1:18" ht="16.2">
      <c r="A34" s="40" t="s">
        <v>87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08"/>
    </row>
    <row r="35" spans="1:18" ht="14.4">
      <c r="A35" s="15" t="s">
        <v>92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8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183" t="s">
        <v>14</v>
      </c>
      <c r="C39" s="183"/>
      <c r="D39" s="17" t="s">
        <v>15</v>
      </c>
      <c r="E39" s="183" t="s">
        <v>16</v>
      </c>
      <c r="F39" s="183"/>
      <c r="G39" s="183"/>
      <c r="H39" s="183"/>
      <c r="I39" s="15"/>
      <c r="J39" s="183" t="s">
        <v>59</v>
      </c>
      <c r="K39" s="183"/>
      <c r="L39" s="183"/>
      <c r="M39" s="183"/>
      <c r="N39" s="183"/>
      <c r="O39" s="69"/>
    </row>
    <row r="40" spans="1:18" ht="13.8">
      <c r="A40" s="15" t="s">
        <v>18</v>
      </c>
      <c r="B40" s="17" t="s">
        <v>19</v>
      </c>
      <c r="C40" s="17" t="s">
        <v>20</v>
      </c>
      <c r="D40" s="15"/>
      <c r="E40" s="17" t="s">
        <v>70</v>
      </c>
      <c r="F40" s="17"/>
      <c r="G40" s="17"/>
      <c r="H40" s="17"/>
      <c r="I40" s="15"/>
      <c r="J40" s="52" t="s">
        <v>90</v>
      </c>
      <c r="K40" s="17"/>
      <c r="L40" s="17" t="s">
        <v>23</v>
      </c>
      <c r="M40" s="17"/>
      <c r="N40" s="17"/>
      <c r="O40" s="17" t="s">
        <v>60</v>
      </c>
    </row>
    <row r="41" spans="1:18" ht="13.8">
      <c r="A41" s="21" t="s">
        <v>80</v>
      </c>
      <c r="B41" s="22"/>
      <c r="C41" s="22"/>
      <c r="D41" s="22"/>
      <c r="E41" s="23" t="s">
        <v>62</v>
      </c>
      <c r="F41" s="23" t="s">
        <v>27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4">
      <c r="A42" s="15"/>
      <c r="B42" s="186" t="s">
        <v>94</v>
      </c>
      <c r="C42" s="187"/>
      <c r="D42" s="74" t="s">
        <v>95</v>
      </c>
      <c r="E42" s="189" t="s">
        <v>96</v>
      </c>
      <c r="F42" s="188"/>
      <c r="G42" s="188"/>
      <c r="H42" s="188"/>
      <c r="I42" s="188"/>
      <c r="J42" s="188"/>
      <c r="K42" s="188"/>
      <c r="L42" s="188"/>
      <c r="M42" s="188"/>
      <c r="N42" s="188"/>
      <c r="O42" s="187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35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123">
        <v>103.13172545378339</v>
      </c>
      <c r="H44" s="71">
        <f>SUM(E44:G44)</f>
        <v>8005.1607254537839</v>
      </c>
      <c r="I44" s="71"/>
      <c r="J44" s="71">
        <v>3298.5</v>
      </c>
      <c r="K44" s="71">
        <v>794.70279860000005</v>
      </c>
      <c r="L44" s="123">
        <f>N44-J44-K44-M44</f>
        <v>681.75480869735929</v>
      </c>
      <c r="M44" s="123">
        <v>1197.1171181564243</v>
      </c>
      <c r="N44" s="71">
        <f>H44-O44</f>
        <v>5972.0747254537837</v>
      </c>
      <c r="O44" s="71">
        <v>2033.086</v>
      </c>
      <c r="P44" s="108"/>
      <c r="Q44" s="108"/>
    </row>
    <row r="45" spans="1:18" ht="16.2">
      <c r="A45" s="15" t="s">
        <v>36</v>
      </c>
      <c r="B45" s="71">
        <v>1645</v>
      </c>
      <c r="C45" s="71">
        <v>1557</v>
      </c>
      <c r="D45" s="71">
        <f>F45*1000/C45</f>
        <v>3774.9261400128453</v>
      </c>
      <c r="E45" s="71">
        <f>O44</f>
        <v>2033.086</v>
      </c>
      <c r="F45" s="71">
        <v>5877.56</v>
      </c>
      <c r="G45" s="123">
        <v>104.31366757849419</v>
      </c>
      <c r="H45" s="71">
        <f>SUM(E45:G45)</f>
        <v>8014.9596675784951</v>
      </c>
      <c r="I45" s="71"/>
      <c r="J45" s="71">
        <v>3123.4</v>
      </c>
      <c r="K45" s="71">
        <v>654.23564369999997</v>
      </c>
      <c r="L45" s="123">
        <f>N45-J45-K45-M45</f>
        <v>1301.3553895999737</v>
      </c>
      <c r="M45" s="123">
        <v>1455.3466342785212</v>
      </c>
      <c r="N45" s="71">
        <f>H45-O45</f>
        <v>6534.3376675784948</v>
      </c>
      <c r="O45" s="71">
        <f>1480.622</f>
        <v>1480.6220000000001</v>
      </c>
      <c r="P45" s="108"/>
      <c r="Q45" s="108"/>
    </row>
    <row r="46" spans="1:18" ht="16.2">
      <c r="A46" s="14" t="s">
        <v>37</v>
      </c>
      <c r="B46" s="172">
        <v>1801</v>
      </c>
      <c r="C46" s="172">
        <v>1758</v>
      </c>
      <c r="D46" s="172">
        <f>F46*1000/C46</f>
        <v>3667.8156996587031</v>
      </c>
      <c r="E46" s="172">
        <f>O45</f>
        <v>1480.6220000000001</v>
      </c>
      <c r="F46" s="172">
        <v>6448.02</v>
      </c>
      <c r="G46" s="175">
        <v>100</v>
      </c>
      <c r="H46" s="172">
        <f>SUM(E46:G46)</f>
        <v>8028.6420000000007</v>
      </c>
      <c r="I46" s="172"/>
      <c r="J46" s="172">
        <v>3143</v>
      </c>
      <c r="K46" s="172">
        <v>775</v>
      </c>
      <c r="L46" s="175">
        <v>1287.5</v>
      </c>
      <c r="M46" s="175">
        <v>1200</v>
      </c>
      <c r="N46" s="172">
        <f>SUM(J46:M46)</f>
        <v>6405.5</v>
      </c>
      <c r="O46" s="172">
        <f>H46-N46</f>
        <v>1623.1420000000007</v>
      </c>
      <c r="P46" s="108"/>
      <c r="Q46" s="108"/>
    </row>
    <row r="47" spans="1:18" ht="16.2">
      <c r="A47" s="40" t="s">
        <v>87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5">
        <f>Contents!A18</f>
        <v>45671</v>
      </c>
      <c r="C50" s="15"/>
      <c r="D50" s="15"/>
      <c r="E50" s="15"/>
      <c r="F50" s="15"/>
      <c r="G50" s="15"/>
      <c r="H50" s="15"/>
      <c r="I50" s="15"/>
      <c r="J50" s="125"/>
      <c r="K50" s="15"/>
      <c r="L50" s="15"/>
      <c r="M50" s="15"/>
      <c r="N50" s="15"/>
      <c r="O50" s="15"/>
    </row>
    <row r="51" spans="1:15" ht="44.7" customHeight="1">
      <c r="A51" s="76"/>
      <c r="B51" s="77"/>
      <c r="C51" s="77"/>
      <c r="D51" s="77"/>
      <c r="E51" s="77"/>
      <c r="F51" s="77"/>
      <c r="G51" s="77"/>
      <c r="H51" s="77"/>
      <c r="I51" s="77"/>
      <c r="J51" s="89"/>
      <c r="K51" s="77"/>
      <c r="L51" s="77"/>
      <c r="M51" s="77"/>
      <c r="N51" s="77"/>
      <c r="O51" s="77"/>
    </row>
    <row r="52" spans="1:15" ht="15.6">
      <c r="G52" s="60"/>
      <c r="H52" s="60"/>
    </row>
    <row r="53" spans="1:15" ht="15.6">
      <c r="G53" s="60"/>
      <c r="H53" s="60"/>
    </row>
    <row r="54" spans="1:15" ht="15.6">
      <c r="G54" s="60"/>
      <c r="H54" s="60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55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2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2" width="18.6640625" bestFit="1" customWidth="1"/>
    <col min="3" max="3" width="22.33203125" bestFit="1" customWidth="1"/>
    <col min="4" max="4" width="23.6640625" customWidth="1"/>
    <col min="5" max="5" width="25.44140625" customWidth="1"/>
    <col min="6" max="6" width="16.5546875" bestFit="1" customWidth="1"/>
    <col min="7" max="7" width="18.664062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4"/>
      <c r="D3" s="44"/>
      <c r="E3" s="44"/>
      <c r="F3" s="44"/>
      <c r="G3" s="44"/>
    </row>
    <row r="4" spans="1:10" ht="14.4">
      <c r="A4" s="45"/>
      <c r="B4" s="46" t="s">
        <v>106</v>
      </c>
      <c r="C4" s="46" t="s">
        <v>107</v>
      </c>
      <c r="D4" s="46" t="s">
        <v>108</v>
      </c>
      <c r="E4" s="46" t="s">
        <v>108</v>
      </c>
      <c r="F4" s="46" t="s">
        <v>109</v>
      </c>
      <c r="G4" s="46" t="s">
        <v>106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110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3.8">
      <c r="A7" s="15" t="s">
        <v>111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3.8">
      <c r="A8" s="15" t="s">
        <v>112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3.8">
      <c r="A9" s="15" t="s">
        <v>113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3.8">
      <c r="A10" s="15" t="s">
        <v>114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3.8">
      <c r="A11" s="15" t="s">
        <v>115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3.8">
      <c r="A12" s="15" t="s">
        <v>116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3.8">
      <c r="A13" s="15" t="s">
        <v>117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3.8">
      <c r="A14" s="15" t="s">
        <v>118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3.8">
      <c r="A15" s="15" t="s">
        <v>119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3.8">
      <c r="A16" s="15" t="s">
        <v>120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3.8">
      <c r="A17" s="15" t="s">
        <v>121</v>
      </c>
      <c r="B17" s="47">
        <v>13.3</v>
      </c>
      <c r="C17" s="47">
        <v>243</v>
      </c>
      <c r="D17" s="91">
        <v>32.9</v>
      </c>
      <c r="E17" s="47">
        <v>32.9</v>
      </c>
      <c r="F17" s="47">
        <v>24.3</v>
      </c>
      <c r="G17" s="47">
        <v>25.9</v>
      </c>
      <c r="J17" s="61"/>
    </row>
    <row r="18" spans="1:10" ht="13.8">
      <c r="A18" s="15" t="s">
        <v>35</v>
      </c>
      <c r="B18" s="47">
        <v>14.2</v>
      </c>
      <c r="C18" s="91">
        <v>306</v>
      </c>
      <c r="D18" s="47">
        <v>27.8</v>
      </c>
      <c r="E18" s="47">
        <v>29.8</v>
      </c>
      <c r="F18" s="47">
        <v>26.8</v>
      </c>
      <c r="G18" s="91">
        <v>17.5</v>
      </c>
      <c r="H18" s="101"/>
      <c r="J18" s="61"/>
    </row>
    <row r="19" spans="1:10" ht="16.2">
      <c r="A19" s="15" t="s">
        <v>122</v>
      </c>
      <c r="B19" s="47">
        <v>12.4</v>
      </c>
      <c r="C19" s="47">
        <v>223</v>
      </c>
      <c r="D19" s="91">
        <v>21.2</v>
      </c>
      <c r="E19" s="47">
        <v>24.3</v>
      </c>
      <c r="F19" s="47">
        <v>26.9</v>
      </c>
      <c r="G19" s="91">
        <v>12.1</v>
      </c>
      <c r="H19" s="101"/>
      <c r="J19" s="61"/>
    </row>
    <row r="20" spans="1:10" ht="16.2">
      <c r="A20" s="15" t="s">
        <v>123</v>
      </c>
      <c r="B20" s="47">
        <v>10.199999999999999</v>
      </c>
      <c r="C20" s="47">
        <v>220</v>
      </c>
      <c r="D20" s="91">
        <v>19.850000000000001</v>
      </c>
      <c r="E20" s="47">
        <v>20.3</v>
      </c>
      <c r="F20" s="47">
        <v>26</v>
      </c>
      <c r="G20" s="91">
        <v>12.5</v>
      </c>
      <c r="H20" s="101"/>
      <c r="J20" s="61"/>
    </row>
    <row r="21" spans="1:10" ht="13.8">
      <c r="A21" s="15"/>
      <c r="B21" s="127"/>
      <c r="C21" s="48"/>
      <c r="D21" s="49"/>
      <c r="E21" s="49"/>
      <c r="F21" s="48"/>
      <c r="G21" s="50"/>
      <c r="H21" s="41"/>
      <c r="J21" s="61"/>
    </row>
    <row r="22" spans="1:10" ht="13.8">
      <c r="A22" s="51" t="s">
        <v>53</v>
      </c>
      <c r="B22" s="47"/>
      <c r="C22" s="47"/>
      <c r="D22" s="47"/>
      <c r="E22" s="131"/>
      <c r="F22" s="47"/>
      <c r="G22" s="131"/>
    </row>
    <row r="23" spans="1:10" ht="13.8">
      <c r="A23" s="15" t="s">
        <v>38</v>
      </c>
      <c r="B23" s="47">
        <v>13.2</v>
      </c>
      <c r="C23" s="47">
        <v>242</v>
      </c>
      <c r="D23" s="47">
        <v>24.2</v>
      </c>
      <c r="E23" s="131">
        <v>25</v>
      </c>
      <c r="F23" s="47">
        <v>26.9</v>
      </c>
      <c r="G23" s="131">
        <v>12</v>
      </c>
    </row>
    <row r="24" spans="1:10" ht="13.8">
      <c r="A24" s="15" t="s">
        <v>39</v>
      </c>
      <c r="B24" s="47">
        <v>12.7</v>
      </c>
      <c r="C24" s="47">
        <v>233</v>
      </c>
      <c r="D24" s="47">
        <v>20</v>
      </c>
      <c r="E24" s="131">
        <v>23.7</v>
      </c>
      <c r="F24" s="47">
        <v>26.7</v>
      </c>
      <c r="G24" s="131">
        <v>13</v>
      </c>
    </row>
    <row r="25" spans="1:10" ht="13.8">
      <c r="A25" s="15" t="s">
        <v>40</v>
      </c>
      <c r="B25" s="47">
        <v>13</v>
      </c>
      <c r="C25" s="47">
        <v>227</v>
      </c>
      <c r="D25" s="47">
        <v>22.6</v>
      </c>
      <c r="E25" s="131">
        <v>25.6</v>
      </c>
      <c r="F25" s="47">
        <v>29.4</v>
      </c>
      <c r="G25" s="131">
        <v>12.2</v>
      </c>
    </row>
    <row r="26" spans="1:10" ht="13.8">
      <c r="A26" s="15" t="s">
        <v>42</v>
      </c>
      <c r="B26" s="47">
        <v>13.1</v>
      </c>
      <c r="C26" s="47">
        <v>209</v>
      </c>
      <c r="D26" s="47">
        <v>24</v>
      </c>
      <c r="E26" s="131">
        <v>23.9</v>
      </c>
      <c r="F26" s="47">
        <v>23.7</v>
      </c>
      <c r="G26" s="131">
        <v>13.4</v>
      </c>
    </row>
    <row r="27" spans="1:10" ht="13.8">
      <c r="A27" s="15" t="s">
        <v>43</v>
      </c>
      <c r="B27" s="47">
        <v>12.8</v>
      </c>
      <c r="C27" s="47">
        <v>174</v>
      </c>
      <c r="D27" s="47">
        <v>21.4</v>
      </c>
      <c r="E27" s="131">
        <v>24.4</v>
      </c>
      <c r="F27" s="47">
        <v>27.1</v>
      </c>
      <c r="G27" s="131">
        <v>12.1</v>
      </c>
    </row>
    <row r="28" spans="1:10" ht="13.8">
      <c r="A28" s="15" t="s">
        <v>44</v>
      </c>
      <c r="B28" s="47">
        <v>11.9</v>
      </c>
      <c r="C28" s="47">
        <v>177</v>
      </c>
      <c r="D28" s="47">
        <v>22.4</v>
      </c>
      <c r="E28" s="131">
        <v>22.8</v>
      </c>
      <c r="F28" s="47">
        <v>26.4</v>
      </c>
      <c r="G28" s="131">
        <v>12.3</v>
      </c>
    </row>
    <row r="29" spans="1:10" ht="13.8">
      <c r="A29" s="15" t="s">
        <v>46</v>
      </c>
      <c r="B29" s="47">
        <v>11.8</v>
      </c>
      <c r="C29" s="47" t="s">
        <v>78</v>
      </c>
      <c r="D29" s="47">
        <v>22.5</v>
      </c>
      <c r="E29" s="131">
        <v>21.6</v>
      </c>
      <c r="F29" s="47">
        <v>27</v>
      </c>
      <c r="G29" s="131">
        <v>11.5</v>
      </c>
    </row>
    <row r="30" spans="1:10" ht="13.8">
      <c r="A30" s="15" t="s">
        <v>47</v>
      </c>
      <c r="B30" s="47">
        <v>11.8</v>
      </c>
      <c r="C30" s="47" t="s">
        <v>78</v>
      </c>
      <c r="D30" s="47">
        <v>20</v>
      </c>
      <c r="E30" s="131">
        <v>21.9</v>
      </c>
      <c r="F30" s="47">
        <v>27.2</v>
      </c>
      <c r="G30" s="131">
        <v>12.1</v>
      </c>
    </row>
    <row r="31" spans="1:10" ht="13.8">
      <c r="A31" s="15" t="s">
        <v>48</v>
      </c>
      <c r="B31" s="47">
        <v>11.9</v>
      </c>
      <c r="C31" s="47" t="s">
        <v>78</v>
      </c>
      <c r="D31" s="47">
        <v>23</v>
      </c>
      <c r="E31" s="131">
        <v>25.1</v>
      </c>
      <c r="F31" s="47">
        <v>26.7</v>
      </c>
      <c r="G31" s="131">
        <v>12.2</v>
      </c>
    </row>
    <row r="32" spans="1:10" ht="13.8">
      <c r="A32" s="132" t="s">
        <v>49</v>
      </c>
      <c r="B32" s="131">
        <v>11.8</v>
      </c>
      <c r="C32" s="131" t="s">
        <v>78</v>
      </c>
      <c r="D32" s="47">
        <v>17</v>
      </c>
      <c r="E32" s="131">
        <v>20.6</v>
      </c>
      <c r="F32" s="131">
        <v>26.2</v>
      </c>
      <c r="G32" s="131">
        <v>12</v>
      </c>
    </row>
    <row r="33" spans="1:12" ht="13.8">
      <c r="A33" s="15" t="s">
        <v>50</v>
      </c>
      <c r="B33" s="47">
        <v>11.3</v>
      </c>
      <c r="C33" s="47" t="s">
        <v>78</v>
      </c>
      <c r="D33" s="47">
        <v>20.9</v>
      </c>
      <c r="E33" s="47">
        <v>20.3</v>
      </c>
      <c r="F33" s="47">
        <v>27.3</v>
      </c>
      <c r="G33" s="47">
        <v>12.2</v>
      </c>
    </row>
    <row r="34" spans="1:12" ht="13.8">
      <c r="A34" s="15" t="s">
        <v>51</v>
      </c>
      <c r="B34" s="47">
        <v>10.3</v>
      </c>
      <c r="C34" s="47">
        <v>226</v>
      </c>
      <c r="D34" s="47">
        <v>18</v>
      </c>
      <c r="E34" s="47">
        <v>20</v>
      </c>
      <c r="F34" s="47">
        <v>26.8</v>
      </c>
      <c r="G34" s="47">
        <v>12</v>
      </c>
    </row>
    <row r="35" spans="1:12" ht="13.8">
      <c r="A35" s="15"/>
      <c r="B35" s="47"/>
      <c r="C35" s="47"/>
      <c r="D35" s="47"/>
      <c r="E35" s="131"/>
      <c r="F35" s="47"/>
      <c r="G35" s="131"/>
    </row>
    <row r="36" spans="1:12" ht="13.8">
      <c r="A36" s="51" t="s">
        <v>158</v>
      </c>
      <c r="B36" s="47"/>
      <c r="C36" s="47"/>
      <c r="D36" s="47"/>
      <c r="E36" s="131"/>
      <c r="F36" s="47"/>
      <c r="G36" s="131"/>
    </row>
    <row r="37" spans="1:12" ht="13.8">
      <c r="A37" s="15" t="s">
        <v>38</v>
      </c>
      <c r="B37" s="47">
        <v>10.199999999999999</v>
      </c>
      <c r="C37" s="47">
        <v>229</v>
      </c>
      <c r="D37" s="47">
        <v>18.2</v>
      </c>
      <c r="E37" s="47">
        <v>19</v>
      </c>
      <c r="F37" s="47">
        <v>26.7</v>
      </c>
      <c r="G37" s="47">
        <v>12</v>
      </c>
      <c r="L37" s="61"/>
    </row>
    <row r="38" spans="1:12" ht="13.8">
      <c r="A38" s="15" t="s">
        <v>39</v>
      </c>
      <c r="B38" s="47">
        <v>9.91</v>
      </c>
      <c r="C38" s="47">
        <v>223</v>
      </c>
      <c r="D38" s="47">
        <v>21</v>
      </c>
      <c r="E38" s="47">
        <v>20.3</v>
      </c>
      <c r="F38" s="47">
        <v>26</v>
      </c>
      <c r="G38" s="47">
        <v>11.9</v>
      </c>
      <c r="L38" s="61"/>
    </row>
    <row r="39" spans="1:12" ht="13.8">
      <c r="A39" s="15" t="s">
        <v>40</v>
      </c>
      <c r="B39" s="47">
        <v>9.84</v>
      </c>
      <c r="C39" s="47">
        <v>221</v>
      </c>
      <c r="D39" s="47">
        <v>18.5</v>
      </c>
      <c r="E39" s="47">
        <v>19.7</v>
      </c>
      <c r="F39" s="47">
        <v>25.2</v>
      </c>
      <c r="G39" s="47">
        <v>11.7</v>
      </c>
      <c r="L39" s="61"/>
    </row>
    <row r="40" spans="1:12" ht="16.2">
      <c r="A40" s="69" t="s">
        <v>124</v>
      </c>
      <c r="B40" s="69"/>
      <c r="C40" s="69"/>
      <c r="D40" s="69"/>
      <c r="E40" s="69"/>
      <c r="F40" s="69"/>
      <c r="G40" s="69"/>
    </row>
    <row r="41" spans="1:12" ht="14.4">
      <c r="A41" s="15" t="s">
        <v>125</v>
      </c>
      <c r="B41" s="15"/>
      <c r="C41" s="15"/>
      <c r="D41" s="15"/>
      <c r="E41" s="15"/>
      <c r="F41" s="15"/>
      <c r="G41" s="15"/>
    </row>
    <row r="42" spans="1:12" ht="13.8">
      <c r="A42" s="20" t="s">
        <v>57</v>
      </c>
      <c r="B42" s="36">
        <f>Contents!A18</f>
        <v>45671</v>
      </c>
      <c r="C42" s="15"/>
      <c r="D42" s="15"/>
      <c r="E42" s="15"/>
      <c r="F42" s="15"/>
      <c r="G42" s="15"/>
    </row>
  </sheetData>
  <phoneticPr fontId="55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3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2" width="11.5546875" customWidth="1"/>
    <col min="3" max="3" width="12.33203125" bestFit="1" customWidth="1"/>
    <col min="4" max="4" width="13.5546875" customWidth="1"/>
    <col min="5" max="5" width="11.5546875" customWidth="1"/>
    <col min="6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98</v>
      </c>
      <c r="B2" s="17" t="s">
        <v>126</v>
      </c>
      <c r="C2" s="17" t="s">
        <v>127</v>
      </c>
      <c r="D2" s="17" t="s">
        <v>128</v>
      </c>
      <c r="E2" s="53" t="s">
        <v>129</v>
      </c>
      <c r="F2" s="53" t="s">
        <v>130</v>
      </c>
      <c r="G2" s="17" t="s">
        <v>131</v>
      </c>
      <c r="H2" s="17" t="s">
        <v>132</v>
      </c>
      <c r="I2" s="54" t="s">
        <v>133</v>
      </c>
      <c r="K2" s="17"/>
      <c r="L2" s="17"/>
    </row>
    <row r="3" spans="1:13" ht="15.6" customHeight="1">
      <c r="A3" s="55" t="s">
        <v>105</v>
      </c>
      <c r="B3" s="23" t="s">
        <v>134</v>
      </c>
      <c r="C3" s="23" t="s">
        <v>135</v>
      </c>
      <c r="D3" s="23" t="s">
        <v>136</v>
      </c>
      <c r="E3" s="23" t="s">
        <v>136</v>
      </c>
      <c r="F3" s="23" t="s">
        <v>137</v>
      </c>
      <c r="G3" s="23" t="s">
        <v>138</v>
      </c>
      <c r="H3" s="23"/>
      <c r="I3" s="23" t="s">
        <v>139</v>
      </c>
    </row>
    <row r="4" spans="1:13" ht="14.4">
      <c r="A4" s="56" t="s">
        <v>140</v>
      </c>
      <c r="C4" s="57"/>
      <c r="D4" s="57"/>
      <c r="E4" s="57"/>
      <c r="F4" s="57"/>
      <c r="G4" s="57"/>
      <c r="H4" s="57"/>
      <c r="I4" s="57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3.8">
      <c r="A6" s="15" t="s">
        <v>110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61"/>
      <c r="L6" s="61"/>
      <c r="M6" s="61"/>
    </row>
    <row r="7" spans="1:13" ht="13.8">
      <c r="A7" s="15" t="s">
        <v>111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61"/>
      <c r="L7" s="61"/>
      <c r="M7" s="61"/>
    </row>
    <row r="8" spans="1:13" ht="13.8">
      <c r="A8" s="15" t="s">
        <v>112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61"/>
      <c r="L8" s="61"/>
      <c r="M8" s="61"/>
    </row>
    <row r="9" spans="1:13" ht="13.8">
      <c r="A9" s="15" t="s">
        <v>113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61"/>
      <c r="L9" s="61"/>
      <c r="M9" s="61"/>
    </row>
    <row r="10" spans="1:13" ht="13.8">
      <c r="A10" s="15" t="s">
        <v>114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61"/>
      <c r="L10" s="61"/>
      <c r="M10" s="61"/>
    </row>
    <row r="11" spans="1:13" ht="13.8">
      <c r="A11" s="15" t="s">
        <v>115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61"/>
      <c r="L11" s="61"/>
      <c r="M11" s="61"/>
    </row>
    <row r="12" spans="1:13" ht="13.8">
      <c r="A12" s="15" t="s">
        <v>116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61"/>
      <c r="L12" s="61"/>
      <c r="M12" s="61"/>
    </row>
    <row r="13" spans="1:13" ht="13.8">
      <c r="A13" s="15" t="s">
        <v>117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61"/>
      <c r="L13" s="61"/>
      <c r="M13" s="61"/>
    </row>
    <row r="14" spans="1:13" ht="13.8">
      <c r="A14" s="15" t="s">
        <v>118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61"/>
      <c r="L14" s="61"/>
      <c r="M14" s="61"/>
    </row>
    <row r="15" spans="1:13" ht="13.8">
      <c r="A15" s="15" t="s">
        <v>119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62</v>
      </c>
      <c r="G15" s="47">
        <v>39.47</v>
      </c>
      <c r="H15" s="47">
        <v>35.75</v>
      </c>
      <c r="I15" s="47">
        <v>38.369999999999997</v>
      </c>
      <c r="K15" s="61"/>
      <c r="L15" s="61"/>
      <c r="M15" s="61"/>
    </row>
    <row r="16" spans="1:13" ht="13.8">
      <c r="A16" s="15" t="s">
        <v>120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101.4</v>
      </c>
      <c r="G16" s="47">
        <v>53.88</v>
      </c>
      <c r="H16" s="47">
        <v>55.89</v>
      </c>
      <c r="I16" s="47">
        <v>54.98</v>
      </c>
      <c r="K16" s="61"/>
      <c r="L16" s="61"/>
      <c r="M16" s="61"/>
    </row>
    <row r="17" spans="1:13" ht="13.8">
      <c r="A17" s="15" t="s">
        <v>121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107.22</v>
      </c>
      <c r="G17" s="47">
        <v>64.28</v>
      </c>
      <c r="H17" s="47">
        <v>82</v>
      </c>
      <c r="I17" s="47">
        <v>81.84</v>
      </c>
      <c r="K17" s="61"/>
      <c r="L17" s="61"/>
      <c r="M17" s="61"/>
    </row>
    <row r="18" spans="1:13" ht="13.8">
      <c r="A18" s="15" t="s">
        <v>35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93.52</v>
      </c>
      <c r="G18" s="47">
        <v>61.62</v>
      </c>
      <c r="H18" s="47">
        <v>84.25</v>
      </c>
      <c r="I18" s="47">
        <v>76.95</v>
      </c>
      <c r="K18" s="61"/>
      <c r="L18" s="61"/>
      <c r="M18" s="61"/>
    </row>
    <row r="19" spans="1:13" ht="16.2">
      <c r="A19" s="15" t="s">
        <v>141</v>
      </c>
      <c r="B19" s="47">
        <v>47.28</v>
      </c>
      <c r="C19" s="47">
        <v>78.94</v>
      </c>
      <c r="D19" s="47">
        <v>58.65</v>
      </c>
      <c r="E19" s="47">
        <v>55.48</v>
      </c>
      <c r="F19" s="91">
        <v>77.94</v>
      </c>
      <c r="G19" s="47" t="s">
        <v>78</v>
      </c>
      <c r="H19" s="47">
        <v>55.041249999999998</v>
      </c>
      <c r="I19" s="47">
        <v>53.968000000000004</v>
      </c>
      <c r="K19" s="61"/>
      <c r="L19" s="61"/>
      <c r="M19" s="61"/>
    </row>
    <row r="20" spans="1:13" ht="16.2">
      <c r="A20" s="15" t="s">
        <v>142</v>
      </c>
      <c r="B20" s="47">
        <v>43</v>
      </c>
      <c r="C20" s="47">
        <v>75</v>
      </c>
      <c r="D20" s="47">
        <v>63</v>
      </c>
      <c r="E20" s="47">
        <v>50</v>
      </c>
      <c r="F20" s="91">
        <v>76</v>
      </c>
      <c r="G20" s="91" t="s">
        <v>78</v>
      </c>
      <c r="H20" s="91">
        <v>51</v>
      </c>
      <c r="I20" s="91">
        <v>46</v>
      </c>
      <c r="K20" s="61"/>
      <c r="L20" s="61"/>
      <c r="M20" s="61"/>
    </row>
    <row r="21" spans="1:13" ht="13.8">
      <c r="A21" s="15"/>
      <c r="B21" s="134"/>
      <c r="C21" s="134"/>
      <c r="D21" s="134"/>
      <c r="E21" s="134"/>
      <c r="F21" s="135"/>
      <c r="G21" s="134"/>
      <c r="H21" s="134"/>
      <c r="I21" s="134"/>
    </row>
    <row r="22" spans="1:13" ht="13.8">
      <c r="A22" s="30" t="s">
        <v>53</v>
      </c>
      <c r="B22" s="47"/>
      <c r="C22" s="47"/>
      <c r="D22" s="47"/>
      <c r="E22" s="47"/>
      <c r="F22" s="47"/>
      <c r="G22" s="47"/>
      <c r="H22" s="47"/>
      <c r="I22" s="47"/>
    </row>
    <row r="23" spans="1:13" ht="13.8">
      <c r="A23" s="15" t="s">
        <v>39</v>
      </c>
      <c r="B23" s="47">
        <v>56.599999999999994</v>
      </c>
      <c r="C23" s="47">
        <v>92</v>
      </c>
      <c r="D23" s="47">
        <v>64.75</v>
      </c>
      <c r="E23" s="47">
        <v>65.1875</v>
      </c>
      <c r="F23" s="47">
        <v>83.25</v>
      </c>
      <c r="G23" s="47" t="s">
        <v>78</v>
      </c>
      <c r="H23" s="91">
        <v>90</v>
      </c>
      <c r="I23" s="47">
        <v>65.17</v>
      </c>
      <c r="K23" s="61"/>
      <c r="M23" s="61"/>
    </row>
    <row r="24" spans="1:13" ht="13.8">
      <c r="A24" s="15" t="s">
        <v>40</v>
      </c>
      <c r="B24" s="47">
        <v>53.39</v>
      </c>
      <c r="C24" s="47">
        <v>86.38</v>
      </c>
      <c r="D24" s="47">
        <v>62.25</v>
      </c>
      <c r="E24" s="47">
        <v>61.63</v>
      </c>
      <c r="F24" s="47">
        <v>81.5</v>
      </c>
      <c r="G24" s="47" t="s">
        <v>78</v>
      </c>
      <c r="H24" s="91" t="s">
        <v>78</v>
      </c>
      <c r="I24" s="47">
        <v>57.024999999999999</v>
      </c>
      <c r="K24" s="61"/>
      <c r="M24" s="61"/>
    </row>
    <row r="25" spans="1:13" ht="13.8">
      <c r="A25" s="15" t="s">
        <v>42</v>
      </c>
      <c r="B25" s="47">
        <v>52.33</v>
      </c>
      <c r="C25" s="47">
        <v>83.1</v>
      </c>
      <c r="D25" s="47">
        <v>58.6</v>
      </c>
      <c r="E25" s="47">
        <v>59.45</v>
      </c>
      <c r="F25" s="47">
        <v>77.8</v>
      </c>
      <c r="G25" s="47" t="s">
        <v>78</v>
      </c>
      <c r="H25" s="91">
        <v>65</v>
      </c>
      <c r="I25" s="47">
        <v>50.67</v>
      </c>
      <c r="K25" s="61"/>
      <c r="M25" s="61"/>
    </row>
    <row r="26" spans="1:13" ht="13.8">
      <c r="A26" s="15" t="s">
        <v>43</v>
      </c>
      <c r="B26" s="47">
        <v>49.1</v>
      </c>
      <c r="C26" s="47">
        <v>79.5</v>
      </c>
      <c r="D26" s="47">
        <v>58.13</v>
      </c>
      <c r="E26" s="47">
        <v>57.25</v>
      </c>
      <c r="F26" s="47">
        <v>76.5</v>
      </c>
      <c r="G26" s="47" t="s">
        <v>78</v>
      </c>
      <c r="H26" s="91" t="s">
        <v>78</v>
      </c>
      <c r="I26" s="47" t="s">
        <v>78</v>
      </c>
      <c r="K26" s="61"/>
      <c r="M26" s="61"/>
    </row>
    <row r="27" spans="1:13" ht="13.8">
      <c r="A27" s="15" t="s">
        <v>44</v>
      </c>
      <c r="B27" s="47">
        <v>47.33</v>
      </c>
      <c r="C27" s="47">
        <v>76.5</v>
      </c>
      <c r="D27" s="47">
        <v>57.38</v>
      </c>
      <c r="E27" s="47">
        <v>53.06</v>
      </c>
      <c r="F27" s="47">
        <v>76.75</v>
      </c>
      <c r="G27" s="47" t="s">
        <v>78</v>
      </c>
      <c r="H27" s="91">
        <v>45.33</v>
      </c>
      <c r="I27" s="47">
        <v>52.5</v>
      </c>
      <c r="K27" s="61"/>
      <c r="M27" s="61"/>
    </row>
    <row r="28" spans="1:13" ht="13.8">
      <c r="A28" s="15" t="s">
        <v>46</v>
      </c>
      <c r="B28" s="47">
        <v>46.57</v>
      </c>
      <c r="C28" s="47">
        <v>79.95</v>
      </c>
      <c r="D28" s="47">
        <v>57.45</v>
      </c>
      <c r="E28" s="47">
        <v>55.55</v>
      </c>
      <c r="F28" s="47">
        <v>76</v>
      </c>
      <c r="G28" s="47" t="s">
        <v>78</v>
      </c>
      <c r="H28" s="91" t="s">
        <v>78</v>
      </c>
      <c r="I28" s="47">
        <v>52</v>
      </c>
      <c r="K28" s="61"/>
      <c r="M28" s="61"/>
    </row>
    <row r="29" spans="1:13" ht="13.8">
      <c r="A29" s="15" t="s">
        <v>47</v>
      </c>
      <c r="B29" s="47">
        <v>45.1325</v>
      </c>
      <c r="C29" s="47">
        <v>77.25</v>
      </c>
      <c r="D29" s="47">
        <v>56.06</v>
      </c>
      <c r="E29" s="47">
        <v>54.38</v>
      </c>
      <c r="F29" s="47">
        <v>75.13</v>
      </c>
      <c r="G29" s="47" t="s">
        <v>78</v>
      </c>
      <c r="H29" s="91">
        <v>41</v>
      </c>
      <c r="I29" s="47">
        <v>52.17</v>
      </c>
      <c r="K29" s="61"/>
      <c r="M29" s="61"/>
    </row>
    <row r="30" spans="1:13" ht="13.8">
      <c r="A30" s="15" t="s">
        <v>48</v>
      </c>
      <c r="B30" s="47">
        <v>43.302</v>
      </c>
      <c r="C30" s="47">
        <v>74.55</v>
      </c>
      <c r="D30" s="47">
        <v>54.6</v>
      </c>
      <c r="E30" s="47">
        <v>52.75</v>
      </c>
      <c r="F30" s="47">
        <v>73.8</v>
      </c>
      <c r="G30" s="47" t="s">
        <v>78</v>
      </c>
      <c r="H30" s="91">
        <v>42</v>
      </c>
      <c r="I30" s="47">
        <v>48.875</v>
      </c>
      <c r="K30" s="61"/>
      <c r="M30" s="61"/>
    </row>
    <row r="31" spans="1:13" ht="13.8">
      <c r="A31" s="15" t="s">
        <v>49</v>
      </c>
      <c r="B31" s="47">
        <v>42.51</v>
      </c>
      <c r="C31" s="47">
        <v>74.38</v>
      </c>
      <c r="D31" s="47">
        <v>58.88</v>
      </c>
      <c r="E31" s="47">
        <v>51.31</v>
      </c>
      <c r="F31" s="47">
        <v>77.5</v>
      </c>
      <c r="G31" s="47" t="s">
        <v>78</v>
      </c>
      <c r="H31" s="91">
        <v>46</v>
      </c>
      <c r="I31" s="47">
        <v>54.1</v>
      </c>
      <c r="K31" s="61"/>
      <c r="M31" s="61"/>
    </row>
    <row r="32" spans="1:13" ht="13.8">
      <c r="A32" s="15" t="s">
        <v>50</v>
      </c>
      <c r="B32" s="47">
        <v>45.57</v>
      </c>
      <c r="C32" s="47">
        <v>77.94</v>
      </c>
      <c r="D32" s="47">
        <v>59.69</v>
      </c>
      <c r="E32" s="47">
        <v>54.75</v>
      </c>
      <c r="F32" s="47">
        <v>79</v>
      </c>
      <c r="G32" s="47" t="s">
        <v>78</v>
      </c>
      <c r="H32" s="91">
        <v>55</v>
      </c>
      <c r="I32" s="91">
        <v>54.5</v>
      </c>
      <c r="K32" s="61"/>
      <c r="M32" s="61"/>
    </row>
    <row r="33" spans="1:13" ht="13.8">
      <c r="A33" s="15" t="s">
        <v>51</v>
      </c>
      <c r="B33" s="47">
        <v>42.51</v>
      </c>
      <c r="C33" s="47">
        <v>72.95</v>
      </c>
      <c r="D33" s="47">
        <v>58.1</v>
      </c>
      <c r="E33" s="47">
        <v>51.05</v>
      </c>
      <c r="F33" s="47">
        <v>78.8</v>
      </c>
      <c r="G33" s="47" t="s">
        <v>78</v>
      </c>
      <c r="H33" s="91">
        <v>56</v>
      </c>
      <c r="I33" s="91">
        <v>52.67</v>
      </c>
      <c r="K33" s="61"/>
      <c r="M33" s="61"/>
    </row>
    <row r="34" spans="1:13" ht="13.8">
      <c r="A34" s="15" t="s">
        <v>38</v>
      </c>
      <c r="B34" s="47">
        <v>43.04</v>
      </c>
      <c r="C34" s="47">
        <v>72.75</v>
      </c>
      <c r="D34" s="47">
        <v>57.9375</v>
      </c>
      <c r="E34" s="47">
        <v>49.4375</v>
      </c>
      <c r="F34" s="47">
        <v>79.25</v>
      </c>
      <c r="G34" s="47" t="s">
        <v>78</v>
      </c>
      <c r="H34" s="91" t="s">
        <v>78</v>
      </c>
      <c r="I34" s="91" t="s">
        <v>78</v>
      </c>
      <c r="K34" s="61"/>
      <c r="M34" s="61"/>
    </row>
    <row r="35" spans="1:13" ht="13.8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3.8">
      <c r="A36" s="30" t="s">
        <v>158</v>
      </c>
      <c r="B36" s="47"/>
      <c r="C36" s="47"/>
      <c r="D36" s="47"/>
      <c r="E36" s="47"/>
      <c r="F36" s="47"/>
      <c r="G36" s="47"/>
      <c r="H36" s="47"/>
      <c r="I36" s="47"/>
      <c r="J36" s="101"/>
      <c r="K36" s="61"/>
      <c r="M36" s="61"/>
    </row>
    <row r="37" spans="1:13" ht="13.8">
      <c r="A37" s="15" t="s">
        <v>39</v>
      </c>
      <c r="B37" s="47">
        <v>44.3</v>
      </c>
      <c r="C37" s="47">
        <v>75.06</v>
      </c>
      <c r="D37" s="47">
        <v>59.5</v>
      </c>
      <c r="E37" s="47">
        <v>50.69</v>
      </c>
      <c r="F37" s="47">
        <v>79.13</v>
      </c>
      <c r="G37" s="47" t="s">
        <v>78</v>
      </c>
      <c r="H37" s="91" t="s">
        <v>78</v>
      </c>
      <c r="I37" s="47">
        <v>49.625</v>
      </c>
      <c r="J37" s="140"/>
      <c r="K37" s="61"/>
      <c r="M37" s="61"/>
    </row>
    <row r="38" spans="1:13" ht="13.8">
      <c r="A38" s="15" t="s">
        <v>40</v>
      </c>
      <c r="B38" s="47">
        <v>45.604999999999997</v>
      </c>
      <c r="C38" s="47">
        <v>76.349999999999994</v>
      </c>
      <c r="D38" s="47">
        <v>59.7</v>
      </c>
      <c r="E38" s="47">
        <v>51.45</v>
      </c>
      <c r="F38" s="47">
        <v>78.2</v>
      </c>
      <c r="G38" s="47" t="s">
        <v>78</v>
      </c>
      <c r="H38" s="91" t="s">
        <v>78</v>
      </c>
      <c r="I38" s="47" t="s">
        <v>78</v>
      </c>
      <c r="J38" s="140"/>
      <c r="K38" s="61"/>
      <c r="M38" s="61"/>
    </row>
    <row r="39" spans="1:13" ht="13.8">
      <c r="A39" s="15" t="s">
        <v>42</v>
      </c>
      <c r="B39" s="47">
        <v>42.48</v>
      </c>
      <c r="C39" s="47">
        <v>71.56</v>
      </c>
      <c r="D39" s="47">
        <v>58.13</v>
      </c>
      <c r="E39" s="47">
        <v>46.94</v>
      </c>
      <c r="F39" s="47">
        <v>78.25</v>
      </c>
      <c r="G39" s="47" t="s">
        <v>78</v>
      </c>
      <c r="H39" s="91">
        <v>55</v>
      </c>
      <c r="I39" s="47" t="s">
        <v>78</v>
      </c>
      <c r="J39" s="140"/>
      <c r="K39" s="61"/>
      <c r="M39" s="61"/>
    </row>
    <row r="40" spans="1:13" ht="16.2">
      <c r="A40" s="79" t="s">
        <v>143</v>
      </c>
      <c r="B40" s="109"/>
      <c r="C40" s="109"/>
      <c r="D40" s="109"/>
      <c r="E40" s="109"/>
      <c r="F40" s="109"/>
      <c r="G40" s="109"/>
      <c r="H40" s="109"/>
      <c r="I40" s="110"/>
    </row>
    <row r="41" spans="1:13" ht="16.2">
      <c r="A41" s="15" t="s">
        <v>144</v>
      </c>
      <c r="B41" s="59"/>
      <c r="C41" s="59"/>
      <c r="D41" s="59"/>
      <c r="E41" s="59"/>
      <c r="F41" s="59"/>
      <c r="G41" s="59"/>
      <c r="H41" s="59"/>
      <c r="I41" s="59"/>
    </row>
    <row r="42" spans="1:13" ht="14.4">
      <c r="A42" s="15" t="s">
        <v>145</v>
      </c>
      <c r="B42" s="15"/>
      <c r="C42" s="15"/>
      <c r="D42" s="15"/>
      <c r="E42" s="15"/>
      <c r="F42" s="59"/>
      <c r="G42" s="15"/>
      <c r="H42" s="15"/>
      <c r="I42" s="15"/>
    </row>
    <row r="43" spans="1:13" ht="13.8">
      <c r="A43" s="20" t="s">
        <v>57</v>
      </c>
      <c r="B43" s="36">
        <f>Contents!A18</f>
        <v>45671</v>
      </c>
      <c r="C43" s="15"/>
      <c r="D43" s="15"/>
      <c r="E43" s="15"/>
      <c r="F43" s="15"/>
      <c r="G43" s="15"/>
      <c r="H43" s="15"/>
      <c r="I43" s="15"/>
    </row>
    <row r="44" spans="1:13" ht="15.6">
      <c r="C44" s="60"/>
      <c r="G44" s="60"/>
      <c r="H44" s="60"/>
      <c r="I44" s="60"/>
    </row>
    <row r="45" spans="1:13" ht="15.6">
      <c r="B45" s="61"/>
      <c r="C45" s="61"/>
      <c r="D45" s="61"/>
      <c r="E45" s="61"/>
      <c r="F45" s="61"/>
      <c r="G45" s="61"/>
      <c r="H45" s="60"/>
      <c r="I45" s="60"/>
    </row>
    <row r="46" spans="1:13" ht="15.6">
      <c r="B46" s="85"/>
      <c r="C46" s="85"/>
      <c r="D46" s="85"/>
      <c r="E46" s="85"/>
      <c r="F46" s="85"/>
      <c r="G46" s="85"/>
      <c r="H46" s="60"/>
      <c r="I46" s="60"/>
    </row>
    <row r="47" spans="1:13" ht="15.6">
      <c r="B47" s="92"/>
      <c r="C47" s="60"/>
      <c r="G47" s="60"/>
      <c r="H47" s="60"/>
      <c r="I47" s="60"/>
    </row>
    <row r="48" spans="1:13" ht="15.6">
      <c r="C48" s="60"/>
      <c r="G48" s="60"/>
      <c r="H48" s="60"/>
      <c r="I48" s="60"/>
    </row>
    <row r="49" spans="3:9" ht="15.6">
      <c r="C49" s="60"/>
      <c r="G49" s="60"/>
      <c r="H49" s="60"/>
      <c r="I49" s="60"/>
    </row>
    <row r="50" spans="3:9" ht="15.6">
      <c r="C50" s="60"/>
      <c r="G50" s="60"/>
      <c r="H50" s="60"/>
      <c r="I50" s="60"/>
    </row>
    <row r="51" spans="3:9" ht="15.6">
      <c r="C51" s="60"/>
      <c r="G51" s="60"/>
      <c r="H51" s="60"/>
      <c r="I51" s="60"/>
    </row>
    <row r="52" spans="3:9" ht="15.6">
      <c r="C52" s="60"/>
      <c r="G52" s="60"/>
      <c r="H52" s="60"/>
      <c r="I52" s="60"/>
    </row>
    <row r="53" spans="3:9" ht="15.6">
      <c r="C53" s="60"/>
      <c r="G53" s="60"/>
      <c r="H53" s="60"/>
      <c r="I53" s="60"/>
    </row>
    <row r="54" spans="3:9" ht="15.6">
      <c r="C54" s="60"/>
      <c r="G54" s="60"/>
      <c r="H54" s="60"/>
      <c r="I54" s="60"/>
    </row>
    <row r="55" spans="3:9" ht="15.6">
      <c r="C55" s="60"/>
      <c r="G55" s="60"/>
      <c r="H55" s="60"/>
      <c r="I55" s="60"/>
    </row>
    <row r="56" spans="3:9" ht="15.6">
      <c r="C56" s="60"/>
      <c r="G56" s="60"/>
      <c r="H56" s="60"/>
      <c r="I56" s="60"/>
    </row>
    <row r="57" spans="3:9" ht="15.6">
      <c r="C57" s="60"/>
      <c r="G57" s="60"/>
      <c r="H57" s="60"/>
      <c r="I57" s="60"/>
    </row>
    <row r="58" spans="3:9" ht="15.6">
      <c r="C58" s="60"/>
      <c r="G58" s="60"/>
      <c r="H58" s="60"/>
      <c r="I58" s="60"/>
    </row>
    <row r="59" spans="3:9" ht="15.6">
      <c r="C59" s="60"/>
      <c r="G59" s="60"/>
      <c r="H59" s="60"/>
      <c r="I59" s="60"/>
    </row>
    <row r="60" spans="3:9" ht="15.6">
      <c r="C60" s="60"/>
      <c r="H60" s="60"/>
      <c r="I60" s="60"/>
    </row>
    <row r="61" spans="3:9" ht="15.6">
      <c r="C61" s="60"/>
      <c r="H61" s="60"/>
      <c r="I61" s="60"/>
    </row>
    <row r="62" spans="3:9" ht="15.6">
      <c r="C62" s="60"/>
      <c r="F62" s="61"/>
      <c r="H62" s="60"/>
      <c r="I62" s="60"/>
    </row>
    <row r="63" spans="3:9" ht="15.6">
      <c r="F63" s="61"/>
      <c r="H63" s="60"/>
      <c r="I63" s="60"/>
    </row>
  </sheetData>
  <phoneticPr fontId="55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3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664062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126</v>
      </c>
      <c r="C2" s="62" t="s">
        <v>127</v>
      </c>
      <c r="D2" s="62" t="s">
        <v>128</v>
      </c>
      <c r="E2" s="62" t="s">
        <v>130</v>
      </c>
      <c r="F2" s="17" t="s">
        <v>146</v>
      </c>
      <c r="G2" s="17" t="s">
        <v>147</v>
      </c>
      <c r="AB2" s="63"/>
    </row>
    <row r="3" spans="1:28" ht="15.6" customHeight="1">
      <c r="A3" s="14" t="s">
        <v>105</v>
      </c>
      <c r="B3" s="23" t="s">
        <v>148</v>
      </c>
      <c r="C3" s="23" t="s">
        <v>149</v>
      </c>
      <c r="D3" s="23" t="s">
        <v>150</v>
      </c>
      <c r="E3" s="23" t="s">
        <v>151</v>
      </c>
      <c r="F3" s="23" t="s">
        <v>152</v>
      </c>
      <c r="G3" s="23" t="s">
        <v>153</v>
      </c>
      <c r="AB3" s="63"/>
    </row>
    <row r="4" spans="1:28" ht="14.4">
      <c r="A4" s="56" t="s">
        <v>154</v>
      </c>
      <c r="C4" s="57"/>
      <c r="D4" s="57"/>
      <c r="E4" s="57"/>
      <c r="F4" s="57"/>
      <c r="G4" s="57"/>
      <c r="AB4" s="63"/>
    </row>
    <row r="5" spans="1:28" ht="13.8">
      <c r="A5" s="15"/>
      <c r="B5" s="15"/>
      <c r="C5" s="15"/>
      <c r="D5" s="15"/>
      <c r="E5" s="15"/>
      <c r="F5" s="15"/>
      <c r="G5" s="15"/>
      <c r="AB5" s="63"/>
    </row>
    <row r="6" spans="1:28" ht="13.8">
      <c r="A6" s="15" t="s">
        <v>110</v>
      </c>
      <c r="B6" s="58">
        <v>345.52</v>
      </c>
      <c r="C6" s="58">
        <v>273.83999999999997</v>
      </c>
      <c r="D6" s="58">
        <v>219.72</v>
      </c>
      <c r="E6" s="50" t="s">
        <v>78</v>
      </c>
      <c r="F6" s="58">
        <v>263.63</v>
      </c>
      <c r="G6" s="58">
        <v>240.65</v>
      </c>
      <c r="H6" s="61"/>
      <c r="I6" s="61"/>
      <c r="J6" s="61"/>
      <c r="AB6" s="63"/>
    </row>
    <row r="7" spans="1:28" ht="13.8">
      <c r="A7" s="15" t="s">
        <v>111</v>
      </c>
      <c r="B7" s="58">
        <v>393.53</v>
      </c>
      <c r="C7" s="58">
        <v>275.13</v>
      </c>
      <c r="D7" s="58">
        <v>246.75</v>
      </c>
      <c r="E7" s="50" t="s">
        <v>78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3.8">
      <c r="A8" s="15" t="s">
        <v>112</v>
      </c>
      <c r="B8" s="58">
        <v>468.11</v>
      </c>
      <c r="C8" s="58">
        <v>331.52</v>
      </c>
      <c r="D8" s="58">
        <v>241.57</v>
      </c>
      <c r="E8" s="50" t="s">
        <v>78</v>
      </c>
      <c r="F8" s="58">
        <v>354.22</v>
      </c>
      <c r="G8" s="58">
        <v>329.31</v>
      </c>
      <c r="H8" s="61"/>
      <c r="I8" s="61"/>
      <c r="J8" s="61"/>
      <c r="AB8" s="63"/>
    </row>
    <row r="9" spans="1:28" ht="13.8">
      <c r="A9" s="15" t="s">
        <v>113</v>
      </c>
      <c r="B9" s="58">
        <v>489.94</v>
      </c>
      <c r="C9" s="58">
        <v>377.71</v>
      </c>
      <c r="D9" s="58">
        <v>238.87</v>
      </c>
      <c r="E9" s="50" t="s">
        <v>78</v>
      </c>
      <c r="F9" s="58">
        <v>359.7</v>
      </c>
      <c r="G9" s="58">
        <v>337.23</v>
      </c>
      <c r="H9" s="61"/>
      <c r="I9" s="61"/>
      <c r="J9" s="61"/>
      <c r="AB9" s="63"/>
    </row>
    <row r="10" spans="1:28" ht="13.8">
      <c r="A10" s="15" t="s">
        <v>114</v>
      </c>
      <c r="B10" s="58">
        <v>368.49</v>
      </c>
      <c r="C10" s="58">
        <v>304.27</v>
      </c>
      <c r="D10" s="58">
        <v>209.97</v>
      </c>
      <c r="E10" s="50" t="s">
        <v>78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3.8">
      <c r="A11" s="15" t="s">
        <v>115</v>
      </c>
      <c r="B11" s="58">
        <v>324.56</v>
      </c>
      <c r="C11" s="58">
        <v>261.19</v>
      </c>
      <c r="D11" s="58">
        <v>153.16999999999999</v>
      </c>
      <c r="E11" s="50" t="s">
        <v>78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3.8">
      <c r="A12" s="15" t="s">
        <v>116</v>
      </c>
      <c r="B12" s="58">
        <v>316.88</v>
      </c>
      <c r="C12" s="58">
        <v>208.61</v>
      </c>
      <c r="D12" s="58">
        <v>145.1</v>
      </c>
      <c r="E12" s="50" t="s">
        <v>78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3.8">
      <c r="A13" s="15" t="s">
        <v>117</v>
      </c>
      <c r="B13" s="58">
        <v>345.02</v>
      </c>
      <c r="C13" s="58">
        <v>260.88</v>
      </c>
      <c r="D13" s="58">
        <v>173.53</v>
      </c>
      <c r="E13" s="50" t="s">
        <v>78</v>
      </c>
      <c r="F13" s="58">
        <v>291.14999999999998</v>
      </c>
      <c r="G13" s="58">
        <v>239.15</v>
      </c>
      <c r="H13" s="61"/>
      <c r="I13" s="61"/>
      <c r="J13" s="61"/>
    </row>
    <row r="14" spans="1:28" ht="13.8">
      <c r="A14" s="15" t="s">
        <v>118</v>
      </c>
      <c r="B14" s="58">
        <v>308.27999999999997</v>
      </c>
      <c r="C14" s="58">
        <v>228.64</v>
      </c>
      <c r="D14" s="58">
        <v>164.16</v>
      </c>
      <c r="E14" s="50" t="s">
        <v>78</v>
      </c>
      <c r="F14" s="58">
        <v>272.38</v>
      </c>
      <c r="G14" s="58">
        <v>225.77</v>
      </c>
      <c r="H14" s="61"/>
      <c r="I14" s="61"/>
      <c r="J14" s="61"/>
    </row>
    <row r="15" spans="1:28" ht="13.8">
      <c r="A15" s="15" t="s">
        <v>119</v>
      </c>
      <c r="B15" s="58">
        <v>299.5</v>
      </c>
      <c r="C15" s="58">
        <v>247.04</v>
      </c>
      <c r="D15" s="58">
        <v>187.7</v>
      </c>
      <c r="E15" s="50" t="s">
        <v>78</v>
      </c>
      <c r="F15" s="58">
        <v>273.99</v>
      </c>
      <c r="G15" s="58">
        <v>245.88</v>
      </c>
      <c r="H15" s="61"/>
      <c r="I15" s="61"/>
      <c r="J15" s="61"/>
    </row>
    <row r="16" spans="1:28" ht="13.8">
      <c r="A16" s="15" t="s">
        <v>120</v>
      </c>
      <c r="B16" s="58">
        <v>392.31</v>
      </c>
      <c r="C16" s="58">
        <v>375.51</v>
      </c>
      <c r="D16" s="88">
        <v>246.22</v>
      </c>
      <c r="E16" s="50" t="s">
        <v>78</v>
      </c>
      <c r="F16" s="58">
        <v>351.87</v>
      </c>
      <c r="G16" s="58">
        <v>288.12</v>
      </c>
      <c r="H16" s="61"/>
      <c r="I16" s="61"/>
      <c r="J16" s="61"/>
    </row>
    <row r="17" spans="1:13" ht="13.8">
      <c r="A17" s="15" t="s">
        <v>121</v>
      </c>
      <c r="B17" s="58">
        <v>439.81</v>
      </c>
      <c r="C17" s="58">
        <v>355.33</v>
      </c>
      <c r="D17" s="58">
        <v>279.98</v>
      </c>
      <c r="E17" s="50" t="s">
        <v>78</v>
      </c>
      <c r="F17" s="58">
        <v>439.1</v>
      </c>
      <c r="G17" s="58">
        <v>332.21</v>
      </c>
      <c r="H17" s="61"/>
      <c r="I17" s="61"/>
      <c r="J17" s="61"/>
    </row>
    <row r="18" spans="1:13" ht="13.8">
      <c r="A18" s="15" t="s">
        <v>35</v>
      </c>
      <c r="B18" s="58">
        <v>451.91</v>
      </c>
      <c r="C18" s="58">
        <v>379.13</v>
      </c>
      <c r="D18" s="58">
        <v>244.34</v>
      </c>
      <c r="E18" s="50" t="s">
        <v>78</v>
      </c>
      <c r="F18" s="58">
        <v>431.34</v>
      </c>
      <c r="G18" s="88">
        <v>359.06</v>
      </c>
      <c r="H18" s="61"/>
      <c r="I18" s="61"/>
      <c r="J18" s="61"/>
    </row>
    <row r="19" spans="1:13" ht="16.2">
      <c r="A19" s="15" t="s">
        <v>141</v>
      </c>
      <c r="B19" s="58">
        <v>384.11</v>
      </c>
      <c r="C19" s="58">
        <v>343.08</v>
      </c>
      <c r="D19" s="58">
        <v>194.19</v>
      </c>
      <c r="E19" s="50" t="s">
        <v>78</v>
      </c>
      <c r="F19" s="58">
        <v>378.28</v>
      </c>
      <c r="G19" s="88">
        <v>297.39368181818185</v>
      </c>
      <c r="H19" s="61"/>
      <c r="I19" s="61"/>
      <c r="J19" s="61"/>
    </row>
    <row r="20" spans="1:13" ht="16.2">
      <c r="A20" s="15" t="s">
        <v>142</v>
      </c>
      <c r="B20" s="58">
        <v>310</v>
      </c>
      <c r="C20" s="58">
        <v>300</v>
      </c>
      <c r="D20" s="58">
        <v>175</v>
      </c>
      <c r="E20" s="50" t="s">
        <v>78</v>
      </c>
      <c r="F20" s="58">
        <v>275</v>
      </c>
      <c r="G20" s="88">
        <v>210</v>
      </c>
      <c r="H20" s="61"/>
      <c r="I20" s="61"/>
      <c r="J20" s="61"/>
    </row>
    <row r="21" spans="1:13" ht="13.8">
      <c r="A21" s="15"/>
      <c r="B21" s="58"/>
      <c r="C21" s="58"/>
      <c r="D21" s="58"/>
      <c r="E21" s="50"/>
      <c r="F21" s="58"/>
      <c r="G21" s="58"/>
      <c r="I21" s="61"/>
      <c r="J21" s="65"/>
      <c r="K21" s="65"/>
      <c r="L21" s="65"/>
      <c r="M21" s="65"/>
    </row>
    <row r="22" spans="1:13" ht="13.8">
      <c r="A22" s="30" t="s">
        <v>53</v>
      </c>
      <c r="B22" s="88"/>
      <c r="C22" s="58"/>
      <c r="D22" s="58"/>
      <c r="E22" s="50"/>
      <c r="F22" s="58"/>
      <c r="G22" s="58"/>
      <c r="H22" s="47"/>
      <c r="I22" s="61"/>
    </row>
    <row r="23" spans="1:13" ht="13.8">
      <c r="A23" s="15" t="s">
        <v>39</v>
      </c>
      <c r="B23" s="88">
        <v>416.16</v>
      </c>
      <c r="C23" s="58">
        <v>348.75</v>
      </c>
      <c r="D23" s="58">
        <v>229.16500000000002</v>
      </c>
      <c r="E23" s="50" t="s">
        <v>78</v>
      </c>
      <c r="F23" s="58">
        <v>407.1</v>
      </c>
      <c r="G23" s="58">
        <v>325</v>
      </c>
      <c r="H23" s="47"/>
      <c r="I23" s="61"/>
    </row>
    <row r="24" spans="1:13" ht="13.8">
      <c r="A24" s="15" t="s">
        <v>40</v>
      </c>
      <c r="B24" s="88">
        <v>464.27</v>
      </c>
      <c r="C24" s="58">
        <v>350</v>
      </c>
      <c r="D24" s="58">
        <v>266.67</v>
      </c>
      <c r="E24" s="50" t="s">
        <v>78</v>
      </c>
      <c r="F24" s="58">
        <v>441.77</v>
      </c>
      <c r="G24" s="88">
        <v>348.33</v>
      </c>
      <c r="H24" s="47"/>
      <c r="I24" s="61"/>
    </row>
    <row r="25" spans="1:13" ht="13.8">
      <c r="A25" s="15" t="s">
        <v>42</v>
      </c>
      <c r="B25" s="88">
        <v>440.6</v>
      </c>
      <c r="C25" s="58">
        <v>358.75</v>
      </c>
      <c r="D25" s="58">
        <v>270</v>
      </c>
      <c r="E25" s="50" t="s">
        <v>78</v>
      </c>
      <c r="F25" s="58">
        <v>395.04999999999995</v>
      </c>
      <c r="G25" s="88">
        <v>365</v>
      </c>
      <c r="H25" s="47"/>
      <c r="I25" s="61"/>
    </row>
    <row r="26" spans="1:13" ht="13.8">
      <c r="A26" s="15" t="s">
        <v>43</v>
      </c>
      <c r="B26" s="88">
        <v>378.4</v>
      </c>
      <c r="C26" s="58">
        <v>352.5</v>
      </c>
      <c r="D26" s="58">
        <v>270</v>
      </c>
      <c r="E26" s="50" t="s">
        <v>78</v>
      </c>
      <c r="F26" s="58">
        <v>349.3</v>
      </c>
      <c r="G26" s="88">
        <v>365</v>
      </c>
      <c r="H26" s="47"/>
      <c r="I26" s="61"/>
    </row>
    <row r="27" spans="1:13" ht="13.8">
      <c r="A27" s="15" t="s">
        <v>44</v>
      </c>
      <c r="B27" s="88">
        <v>363.625</v>
      </c>
      <c r="C27" s="58">
        <v>355</v>
      </c>
      <c r="D27" s="58">
        <v>210</v>
      </c>
      <c r="E27" s="50" t="s">
        <v>78</v>
      </c>
      <c r="F27" s="58">
        <v>357.75</v>
      </c>
      <c r="G27" s="88" t="s">
        <v>78</v>
      </c>
      <c r="H27" s="47"/>
      <c r="I27" s="61"/>
    </row>
    <row r="28" spans="1:13" ht="13.8">
      <c r="A28" s="15" t="s">
        <v>46</v>
      </c>
      <c r="B28" s="88">
        <v>361.75</v>
      </c>
      <c r="C28" s="58">
        <v>343.33</v>
      </c>
      <c r="D28" s="58">
        <v>140</v>
      </c>
      <c r="E28" s="50" t="s">
        <v>78</v>
      </c>
      <c r="F28" s="58">
        <v>348.34</v>
      </c>
      <c r="G28" s="88">
        <v>331</v>
      </c>
      <c r="H28" s="47"/>
      <c r="I28" s="61"/>
    </row>
    <row r="29" spans="1:13" ht="13.8">
      <c r="A29" s="15" t="s">
        <v>47</v>
      </c>
      <c r="B29" s="88">
        <v>357.67500000000001</v>
      </c>
      <c r="C29" s="58">
        <v>333.75</v>
      </c>
      <c r="D29" s="58">
        <v>142.5</v>
      </c>
      <c r="E29" s="50" t="s">
        <v>78</v>
      </c>
      <c r="F29" s="58">
        <v>357.17500000000001</v>
      </c>
      <c r="G29" s="88">
        <v>292.5</v>
      </c>
      <c r="H29" s="47"/>
      <c r="I29" s="61"/>
    </row>
    <row r="30" spans="1:13" ht="13.8">
      <c r="A30" s="15" t="s">
        <v>48</v>
      </c>
      <c r="B30" s="88">
        <v>388.65</v>
      </c>
      <c r="C30" s="58">
        <v>330</v>
      </c>
      <c r="D30" s="58">
        <v>170</v>
      </c>
      <c r="E30" s="50" t="s">
        <v>78</v>
      </c>
      <c r="F30" s="58">
        <v>411.82</v>
      </c>
      <c r="G30" s="88">
        <v>259</v>
      </c>
      <c r="H30" s="47"/>
      <c r="I30" s="61"/>
    </row>
    <row r="31" spans="1:13" ht="13.8">
      <c r="A31" s="15" t="s">
        <v>49</v>
      </c>
      <c r="B31" s="88">
        <v>384.1</v>
      </c>
      <c r="C31" s="58" t="s">
        <v>78</v>
      </c>
      <c r="D31" s="58">
        <v>166.25</v>
      </c>
      <c r="E31" s="50" t="s">
        <v>78</v>
      </c>
      <c r="F31" s="58">
        <v>416.6</v>
      </c>
      <c r="G31" s="88">
        <v>253.54249999999999</v>
      </c>
      <c r="H31" s="47"/>
      <c r="I31" s="61"/>
    </row>
    <row r="32" spans="1:13" ht="13.8">
      <c r="A32" s="15" t="s">
        <v>50</v>
      </c>
      <c r="B32" s="88">
        <v>364.3</v>
      </c>
      <c r="C32" s="58">
        <v>335</v>
      </c>
      <c r="D32" s="58">
        <v>155</v>
      </c>
      <c r="E32" s="50" t="s">
        <v>78</v>
      </c>
      <c r="F32" s="58">
        <v>387.87</v>
      </c>
      <c r="G32" s="88">
        <v>250.833</v>
      </c>
      <c r="H32" s="47"/>
      <c r="I32" s="61"/>
    </row>
    <row r="33" spans="1:10" ht="13.8">
      <c r="A33" s="15" t="s">
        <v>51</v>
      </c>
      <c r="B33" s="88">
        <v>343.4</v>
      </c>
      <c r="C33" s="58" t="s">
        <v>78</v>
      </c>
      <c r="D33" s="58">
        <v>154.5</v>
      </c>
      <c r="E33" s="50" t="s">
        <v>78</v>
      </c>
      <c r="F33" s="58">
        <v>341.42500000000001</v>
      </c>
      <c r="G33" s="88">
        <v>244.5</v>
      </c>
      <c r="H33" s="47"/>
      <c r="I33" s="61"/>
    </row>
    <row r="34" spans="1:10" ht="13.8">
      <c r="A34" s="15" t="s">
        <v>38</v>
      </c>
      <c r="B34" s="88">
        <v>346.33749999999998</v>
      </c>
      <c r="C34" s="58">
        <v>323.75</v>
      </c>
      <c r="D34" s="58">
        <v>156.25</v>
      </c>
      <c r="E34" s="50" t="s">
        <v>78</v>
      </c>
      <c r="F34" s="58">
        <v>325.10000000000002</v>
      </c>
      <c r="G34" s="88">
        <v>236.625</v>
      </c>
      <c r="H34" s="47"/>
      <c r="I34" s="61"/>
    </row>
    <row r="35" spans="1:10" ht="13.8">
      <c r="A35" s="15"/>
      <c r="B35" s="88"/>
      <c r="C35" s="58"/>
      <c r="D35" s="58"/>
      <c r="E35" s="50"/>
      <c r="F35" s="58"/>
      <c r="G35" s="58"/>
      <c r="H35" s="47"/>
      <c r="I35" s="61"/>
    </row>
    <row r="36" spans="1:10" ht="13.8">
      <c r="A36" s="30" t="s">
        <v>158</v>
      </c>
      <c r="B36" s="88"/>
      <c r="C36" s="58"/>
      <c r="D36" s="58"/>
      <c r="E36" s="50"/>
      <c r="F36" s="58"/>
      <c r="G36" s="58"/>
      <c r="H36" s="47"/>
      <c r="I36" s="61"/>
    </row>
    <row r="37" spans="1:10" ht="13.8">
      <c r="A37" s="15" t="s">
        <v>39</v>
      </c>
      <c r="B37" s="88">
        <v>342.85</v>
      </c>
      <c r="C37" s="58">
        <v>322.5</v>
      </c>
      <c r="D37" s="58">
        <v>173.75</v>
      </c>
      <c r="E37" s="50" t="s">
        <v>78</v>
      </c>
      <c r="F37" s="58">
        <v>314.27499999999998</v>
      </c>
      <c r="G37" s="58">
        <v>240</v>
      </c>
      <c r="H37" s="47"/>
      <c r="I37" s="61"/>
    </row>
    <row r="38" spans="1:10" ht="13.8">
      <c r="A38" s="15" t="s">
        <v>40</v>
      </c>
      <c r="B38" s="88">
        <v>316.17500000000001</v>
      </c>
      <c r="C38" s="58">
        <v>315</v>
      </c>
      <c r="D38" s="58">
        <v>177.5</v>
      </c>
      <c r="E38" s="50" t="s">
        <v>78</v>
      </c>
      <c r="F38" s="58">
        <v>283.17500000000001</v>
      </c>
      <c r="G38" s="58">
        <v>225</v>
      </c>
      <c r="H38" s="47"/>
      <c r="I38" s="61"/>
    </row>
    <row r="39" spans="1:10" ht="13.8">
      <c r="A39" s="15" t="s">
        <v>42</v>
      </c>
      <c r="B39" s="88">
        <v>303.63299999999998</v>
      </c>
      <c r="C39" s="58">
        <v>301.25</v>
      </c>
      <c r="D39" s="58">
        <v>175</v>
      </c>
      <c r="E39" s="50" t="s">
        <v>78</v>
      </c>
      <c r="F39" s="58">
        <v>275.89999999999998</v>
      </c>
      <c r="G39" s="58">
        <v>268.33</v>
      </c>
      <c r="H39" s="47"/>
      <c r="I39" s="61"/>
    </row>
    <row r="40" spans="1:10" ht="16.2">
      <c r="A40" s="79" t="s">
        <v>155</v>
      </c>
      <c r="B40" s="111"/>
      <c r="C40" s="111"/>
      <c r="D40" s="111"/>
      <c r="E40" s="111"/>
      <c r="F40" s="111"/>
      <c r="G40" s="111"/>
      <c r="I40" s="64"/>
    </row>
    <row r="41" spans="1:10" ht="16.2">
      <c r="A41" s="40" t="s">
        <v>156</v>
      </c>
      <c r="B41" s="66"/>
      <c r="C41" s="66"/>
      <c r="D41" s="66"/>
      <c r="E41" s="66"/>
      <c r="F41" s="66"/>
      <c r="G41" s="66"/>
      <c r="I41" s="64"/>
      <c r="J41" s="64"/>
    </row>
    <row r="42" spans="1:10" ht="14.4">
      <c r="A42" s="15" t="s">
        <v>157</v>
      </c>
      <c r="B42" s="15"/>
      <c r="C42" s="15"/>
      <c r="D42" s="15"/>
      <c r="E42" s="15"/>
      <c r="F42" s="66"/>
      <c r="G42" s="66"/>
      <c r="I42" s="64"/>
      <c r="J42" s="64"/>
    </row>
    <row r="43" spans="1:10" ht="13.8">
      <c r="A43" s="20" t="s">
        <v>57</v>
      </c>
      <c r="B43" s="36">
        <f>Contents!A18</f>
        <v>45671</v>
      </c>
      <c r="C43" s="15"/>
      <c r="D43" s="15"/>
      <c r="E43" s="15"/>
      <c r="F43" s="66"/>
      <c r="G43" s="66"/>
      <c r="I43" s="67"/>
      <c r="J43" s="67"/>
    </row>
    <row r="44" spans="1:10" ht="13.8">
      <c r="F44" s="66"/>
      <c r="G44" s="66"/>
      <c r="I44" s="67"/>
      <c r="J44" s="67"/>
    </row>
    <row r="45" spans="1:10" ht="13.8">
      <c r="B45" s="92"/>
      <c r="F45" s="66"/>
      <c r="G45" s="66"/>
      <c r="I45" s="64"/>
      <c r="J45" s="64"/>
    </row>
    <row r="46" spans="1:10">
      <c r="B46" s="92"/>
      <c r="I46" s="64"/>
      <c r="J46" s="64"/>
    </row>
    <row r="47" spans="1:10">
      <c r="I47" s="64"/>
      <c r="J47" s="64"/>
    </row>
    <row r="48" spans="1:10">
      <c r="B48" s="90"/>
      <c r="I48" s="64"/>
      <c r="J48" s="64"/>
    </row>
    <row r="49" spans="9:10">
      <c r="I49" s="64"/>
      <c r="J49" s="64"/>
    </row>
    <row r="50" spans="9:10">
      <c r="I50" s="64"/>
      <c r="J50" s="64"/>
    </row>
    <row r="52" spans="9:10">
      <c r="I52" s="68"/>
      <c r="J52" s="68"/>
    </row>
    <row r="53" spans="9:10">
      <c r="I53" s="68"/>
      <c r="J53" s="68"/>
    </row>
  </sheetData>
  <phoneticPr fontId="55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2369-4835-4F48-95CF-5F60CD3F66E6}">
  <dimension ref="A1:H31"/>
  <sheetViews>
    <sheetView zoomScale="120" zoomScaleNormal="120" workbookViewId="0"/>
  </sheetViews>
  <sheetFormatPr defaultRowHeight="13.2"/>
  <cols>
    <col min="1" max="1" width="12.6640625" bestFit="1" customWidth="1"/>
    <col min="2" max="2" width="21.33203125" customWidth="1"/>
    <col min="3" max="3" width="27.109375" customWidth="1"/>
  </cols>
  <sheetData>
    <row r="1" spans="1:3" ht="13.8" thickBot="1">
      <c r="A1" s="152" t="s">
        <v>162</v>
      </c>
      <c r="B1" s="152" t="s">
        <v>178</v>
      </c>
      <c r="C1" s="152" t="s">
        <v>190</v>
      </c>
    </row>
    <row r="2" spans="1:3">
      <c r="A2" s="153">
        <v>44835</v>
      </c>
      <c r="B2" s="143">
        <v>23.442413705245993</v>
      </c>
      <c r="C2" s="143">
        <v>800.52380952380986</v>
      </c>
    </row>
    <row r="3" spans="1:3">
      <c r="A3" s="153">
        <v>44866</v>
      </c>
      <c r="B3" s="143">
        <v>23.447043412747995</v>
      </c>
      <c r="C3" s="143">
        <v>866.24272727272751</v>
      </c>
    </row>
    <row r="4" spans="1:3">
      <c r="A4" s="153">
        <v>44896</v>
      </c>
      <c r="B4" s="143">
        <v>34.799527132175989</v>
      </c>
      <c r="C4" s="143">
        <v>616.18500000000006</v>
      </c>
    </row>
    <row r="5" spans="1:3">
      <c r="A5" s="153">
        <v>44927</v>
      </c>
      <c r="B5" s="143">
        <v>15.413178123205997</v>
      </c>
      <c r="C5" s="143">
        <v>543.19909090909084</v>
      </c>
    </row>
    <row r="6" spans="1:3">
      <c r="A6" s="153">
        <v>44958</v>
      </c>
      <c r="B6" s="143">
        <v>25.948849161923999</v>
      </c>
      <c r="C6" s="143">
        <v>474.55750000000035</v>
      </c>
    </row>
    <row r="7" spans="1:3">
      <c r="A7" s="153">
        <v>44986</v>
      </c>
      <c r="B7" s="143">
        <v>12.624550971167997</v>
      </c>
      <c r="C7" s="143">
        <v>374.19521739130425</v>
      </c>
    </row>
    <row r="8" spans="1:3">
      <c r="A8" s="153">
        <v>45017</v>
      </c>
      <c r="B8" s="143">
        <v>60.624476502855984</v>
      </c>
      <c r="C8" s="143">
        <v>267.74849999999992</v>
      </c>
    </row>
    <row r="9" spans="1:3">
      <c r="A9" s="153">
        <v>45047</v>
      </c>
      <c r="B9" s="143">
        <v>49.898105607507993</v>
      </c>
      <c r="C9" s="143">
        <v>290.43478260869551</v>
      </c>
    </row>
    <row r="10" spans="1:3">
      <c r="A10" s="153">
        <v>45078</v>
      </c>
      <c r="B10" s="143">
        <v>40.435865322467997</v>
      </c>
      <c r="C10" s="143">
        <v>544.63045454545465</v>
      </c>
    </row>
    <row r="11" spans="1:3">
      <c r="A11" s="153">
        <v>45108</v>
      </c>
      <c r="B11" s="143">
        <v>37.193526835233996</v>
      </c>
      <c r="C11" s="143">
        <v>777.55952380952351</v>
      </c>
    </row>
    <row r="12" spans="1:3">
      <c r="A12" s="153">
        <v>45139</v>
      </c>
      <c r="B12" s="143">
        <v>26.090165471865994</v>
      </c>
      <c r="C12" s="143">
        <v>765.16695652173894</v>
      </c>
    </row>
    <row r="13" spans="1:3">
      <c r="A13" s="153">
        <v>45170</v>
      </c>
      <c r="B13" s="143">
        <v>27.992534330663997</v>
      </c>
      <c r="C13" s="143">
        <v>689.81952380952384</v>
      </c>
    </row>
    <row r="14" spans="1:3">
      <c r="A14" s="153">
        <v>45200</v>
      </c>
      <c r="B14" s="143">
        <v>12.961417307503998</v>
      </c>
      <c r="C14" s="143">
        <v>539.58181818181799</v>
      </c>
    </row>
    <row r="15" spans="1:3">
      <c r="A15" s="153">
        <v>45231</v>
      </c>
      <c r="B15" s="143">
        <v>13.697540800321999</v>
      </c>
      <c r="C15" s="143">
        <v>430.68545454545449</v>
      </c>
    </row>
    <row r="16" spans="1:3">
      <c r="A16" s="153">
        <v>45261</v>
      </c>
      <c r="B16" s="143">
        <v>12.809298346723997</v>
      </c>
      <c r="C16" s="143">
        <v>401.90333333333353</v>
      </c>
    </row>
    <row r="17" spans="1:8">
      <c r="A17" s="153">
        <v>45292</v>
      </c>
      <c r="B17" s="143">
        <v>11.506366378303998</v>
      </c>
      <c r="C17" s="143">
        <v>312.98739130434785</v>
      </c>
    </row>
    <row r="18" spans="1:8">
      <c r="A18" s="153">
        <v>45323</v>
      </c>
      <c r="B18" s="143">
        <v>14.220477285785996</v>
      </c>
      <c r="C18" s="143">
        <v>227.32699999999977</v>
      </c>
    </row>
    <row r="19" spans="1:8">
      <c r="A19" s="153">
        <v>45352</v>
      </c>
      <c r="B19" s="143">
        <v>98.746369923371986</v>
      </c>
      <c r="C19" s="143">
        <v>151.88285714285723</v>
      </c>
    </row>
    <row r="20" spans="1:8">
      <c r="A20" s="153">
        <v>45383</v>
      </c>
      <c r="B20" s="143">
        <v>22.345834414057997</v>
      </c>
      <c r="C20" s="143">
        <v>87.668636363636438</v>
      </c>
    </row>
    <row r="21" spans="1:8">
      <c r="A21" s="153">
        <v>45413</v>
      </c>
      <c r="B21" s="143">
        <v>93.714980180007998</v>
      </c>
      <c r="C21" s="143">
        <v>112.98000000000013</v>
      </c>
    </row>
    <row r="22" spans="1:8">
      <c r="A22" s="153">
        <v>45444</v>
      </c>
      <c r="B22" s="143">
        <v>115.32711618612998</v>
      </c>
      <c r="C22" s="143">
        <v>91.30499999999995</v>
      </c>
    </row>
    <row r="23" spans="1:8">
      <c r="A23" s="153">
        <v>45474</v>
      </c>
      <c r="B23" s="143">
        <v>97.074384128363988</v>
      </c>
      <c r="C23" s="143">
        <v>157.46260869565219</v>
      </c>
    </row>
    <row r="24" spans="1:8">
      <c r="A24" s="153">
        <v>45505</v>
      </c>
      <c r="B24" s="143">
        <v>64.004603903839993</v>
      </c>
      <c r="C24" s="143">
        <v>15.707272727272652</v>
      </c>
    </row>
    <row r="25" spans="1:8">
      <c r="A25" s="153">
        <v>45536</v>
      </c>
      <c r="B25" s="143">
        <v>60.355071618691987</v>
      </c>
      <c r="C25" s="143">
        <v>9.6138095238093229</v>
      </c>
    </row>
    <row r="26" spans="1:8">
      <c r="A26" s="153">
        <v>45566</v>
      </c>
      <c r="B26" s="143">
        <v>22.581067647611999</v>
      </c>
      <c r="C26" s="143">
        <v>-52.554782608695632</v>
      </c>
    </row>
    <row r="27" spans="1:8">
      <c r="A27" s="153">
        <v>45597</v>
      </c>
      <c r="B27" s="143">
        <v>128.99136718488998</v>
      </c>
      <c r="C27" s="143">
        <v>-127.00190476190483</v>
      </c>
    </row>
    <row r="28" spans="1:8">
      <c r="A28" s="153">
        <v>45627</v>
      </c>
      <c r="B28" s="143">
        <v>250.19380265331995</v>
      </c>
      <c r="C28" s="143">
        <v>-208.56772727272732</v>
      </c>
    </row>
    <row r="29" spans="1:8">
      <c r="A29" s="153"/>
    </row>
    <row r="31" spans="1:8" ht="15">
      <c r="G31" s="167"/>
      <c r="H31" s="168"/>
    </row>
  </sheetData>
  <phoneticPr fontId="12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schemas.openxmlformats.org/package/2006/metadata/core-properties"/>
    <ds:schemaRef ds:uri="c49de858-f9fd-4eb6-bcba-50396646711f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7818c5c2-d41f-4dce-801c-4e3595afcb3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1sa</vt:lpstr>
      <vt:lpstr>Figure 2sa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soybeans, canola, sunflowerseed, biofuel, prices</cp:keywords>
  <dc:description/>
  <cp:lastModifiedBy>Bukowski, Maria - REE-ERS</cp:lastModifiedBy>
  <cp:revision/>
  <dcterms:created xsi:type="dcterms:W3CDTF">2001-11-13T16:22:15Z</dcterms:created>
  <dcterms:modified xsi:type="dcterms:W3CDTF">2025-01-14T13:22:21Z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