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C March 2024/"/>
    </mc:Choice>
  </mc:AlternateContent>
  <xr:revisionPtr revIDLastSave="4497" documentId="8_{683CF8EE-25BA-4633-9C05-6A802624C744}" xr6:coauthVersionLast="47" xr6:coauthVersionMax="47" xr10:uidLastSave="{BBA499B8-F284-4449-BC45-A33ABA32E0EC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67" r:id="rId9"/>
    <sheet name="Figure 2" sheetId="156" r:id="rId10"/>
    <sheet name="Figure 3" sheetId="168" r:id="rId11"/>
    <sheet name="Figure 4" sheetId="154" r:id="rId12"/>
  </sheets>
  <definedNames>
    <definedName name="_xlnm.Print_Area" localSheetId="1">'Table 1'!$A$1:$N$37</definedName>
    <definedName name="_xlnm.Print_Area" localSheetId="7">'Table 10'!$A$1:$G$42</definedName>
    <definedName name="_xlnm.Print_Area" localSheetId="2">'Table 2'!$A$1:$J$31</definedName>
    <definedName name="_xlnm.Print_Area" localSheetId="3">'Table 3'!$A$1:$L$44</definedName>
    <definedName name="_xlnm.Print_Area" localSheetId="5">'Table 8'!$A$1:$G$41</definedName>
    <definedName name="_xlnm.Print_Area" localSheetId="6">'Table 9'!$A$1:$I$43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68" l="1"/>
  <c r="D5" i="168"/>
  <c r="D6" i="168"/>
  <c r="D7" i="168"/>
  <c r="D8" i="168"/>
  <c r="D3" i="168"/>
  <c r="K8" i="3" l="1"/>
  <c r="J8" i="2"/>
  <c r="I8" i="2"/>
  <c r="J8" i="3"/>
  <c r="J29" i="9"/>
  <c r="D29" i="9"/>
  <c r="H29" i="2"/>
  <c r="D29" i="2"/>
  <c r="G35" i="1"/>
  <c r="L35" i="1"/>
  <c r="C3" i="156"/>
  <c r="C4" i="156"/>
  <c r="C5" i="156"/>
  <c r="C6" i="156"/>
  <c r="C7" i="156"/>
  <c r="C8" i="156"/>
  <c r="C9" i="156"/>
  <c r="C10" i="156"/>
  <c r="C2" i="156"/>
  <c r="G11" i="9"/>
  <c r="G23" i="9"/>
  <c r="J35" i="1" l="1"/>
  <c r="E29" i="2"/>
  <c r="I29" i="2" s="1"/>
  <c r="B29" i="2"/>
  <c r="E29" i="9"/>
  <c r="K29" i="9" s="1"/>
  <c r="G29" i="9" s="1"/>
  <c r="I28" i="9"/>
  <c r="B29" i="9"/>
  <c r="G29" i="2" l="1"/>
  <c r="G34" i="1" l="1"/>
  <c r="D28" i="9"/>
  <c r="D28" i="2"/>
  <c r="H28" i="2"/>
  <c r="J28" i="9"/>
  <c r="L34" i="1"/>
  <c r="B28" i="9" l="1"/>
  <c r="E28" i="9" s="1"/>
  <c r="K28" i="9" s="1"/>
  <c r="G28" i="9" s="1"/>
  <c r="B28" i="2"/>
  <c r="E28" i="2" s="1"/>
  <c r="I28" i="2" s="1"/>
  <c r="G28" i="2" s="1"/>
  <c r="J34" i="1"/>
  <c r="H27" i="2"/>
  <c r="E14" i="1"/>
  <c r="G8" i="9" l="1"/>
  <c r="K8" i="9" s="1"/>
  <c r="J27" i="9" l="1"/>
  <c r="D27" i="9"/>
  <c r="D26" i="9"/>
  <c r="D27" i="2"/>
  <c r="E33" i="1"/>
  <c r="J32" i="1"/>
  <c r="L32" i="1" l="1"/>
  <c r="G32" i="1"/>
  <c r="B27" i="2" l="1"/>
  <c r="E27" i="2" s="1"/>
  <c r="I27" i="2" s="1"/>
  <c r="G27" i="2" s="1"/>
  <c r="B27" i="9"/>
  <c r="E27" i="9" s="1"/>
  <c r="K27" i="9" s="1"/>
  <c r="G27" i="9" s="1"/>
  <c r="I27" i="9" s="1"/>
  <c r="D6" i="9"/>
  <c r="J6" i="9"/>
  <c r="B11" i="9"/>
  <c r="B11" i="2"/>
  <c r="L31" i="1" l="1"/>
  <c r="G31" i="1"/>
  <c r="D26" i="2"/>
  <c r="H26" i="2"/>
  <c r="J26" i="9"/>
  <c r="J31" i="1" l="1"/>
  <c r="E6" i="9"/>
  <c r="G6" i="9" s="1"/>
  <c r="I6" i="9" s="1"/>
  <c r="K6" i="9" l="1"/>
  <c r="E6" i="2"/>
  <c r="H23" i="9"/>
  <c r="H7" i="9" s="1"/>
  <c r="I6" i="2" l="1"/>
  <c r="G6" i="2"/>
  <c r="L7" i="9"/>
  <c r="B8" i="9" s="1"/>
  <c r="J23" i="9"/>
  <c r="J7" i="9" s="1"/>
  <c r="D23" i="9"/>
  <c r="D7" i="9" s="1"/>
  <c r="C23" i="9"/>
  <c r="C7" i="9" s="1"/>
  <c r="J22" i="9"/>
  <c r="D22" i="9"/>
  <c r="B22" i="9"/>
  <c r="E22" i="9" s="1"/>
  <c r="K22" i="9" s="1"/>
  <c r="J21" i="9"/>
  <c r="D21" i="9"/>
  <c r="B21" i="9"/>
  <c r="J20" i="9"/>
  <c r="D20" i="9"/>
  <c r="B20" i="9"/>
  <c r="E20" i="9" s="1"/>
  <c r="K20" i="9" s="1"/>
  <c r="J19" i="9"/>
  <c r="D19" i="9"/>
  <c r="B19" i="9"/>
  <c r="J18" i="9"/>
  <c r="D18" i="9"/>
  <c r="B18" i="9"/>
  <c r="E18" i="9" s="1"/>
  <c r="K18" i="9" s="1"/>
  <c r="G18" i="9" s="1"/>
  <c r="I18" i="9" s="1"/>
  <c r="J17" i="9"/>
  <c r="D17" i="9"/>
  <c r="B17" i="9"/>
  <c r="J16" i="9"/>
  <c r="D16" i="9"/>
  <c r="B16" i="9"/>
  <c r="E16" i="9" s="1"/>
  <c r="K16" i="9" s="1"/>
  <c r="J15" i="9"/>
  <c r="D15" i="9"/>
  <c r="B15" i="9"/>
  <c r="J14" i="9"/>
  <c r="D14" i="9"/>
  <c r="B14" i="9"/>
  <c r="E14" i="9" s="1"/>
  <c r="K14" i="9" s="1"/>
  <c r="J13" i="9"/>
  <c r="D13" i="9"/>
  <c r="B13" i="9"/>
  <c r="J12" i="9"/>
  <c r="D12" i="9"/>
  <c r="B12" i="9"/>
  <c r="E12" i="9" s="1"/>
  <c r="K12" i="9" s="1"/>
  <c r="J11" i="9"/>
  <c r="D11" i="9"/>
  <c r="B26" i="2"/>
  <c r="E26" i="2" s="1"/>
  <c r="I26" i="2" s="1"/>
  <c r="G26" i="2" s="1"/>
  <c r="J7" i="2"/>
  <c r="H23" i="2"/>
  <c r="H7" i="2" s="1"/>
  <c r="D23" i="2"/>
  <c r="D7" i="2" s="1"/>
  <c r="C23" i="2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H15" i="2"/>
  <c r="D15" i="2"/>
  <c r="B15" i="2"/>
  <c r="E15" i="2" s="1"/>
  <c r="I15" i="2" s="1"/>
  <c r="G15" i="2" s="1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E19" i="9" l="1"/>
  <c r="K19" i="9" s="1"/>
  <c r="G19" i="9" s="1"/>
  <c r="I19" i="9" s="1"/>
  <c r="E19" i="2"/>
  <c r="G16" i="2"/>
  <c r="E13" i="9"/>
  <c r="K13" i="9" s="1"/>
  <c r="G12" i="9"/>
  <c r="I12" i="9" s="1"/>
  <c r="G16" i="9"/>
  <c r="I16" i="9" s="1"/>
  <c r="G20" i="9"/>
  <c r="I20" i="9" s="1"/>
  <c r="E14" i="2"/>
  <c r="I14" i="2" s="1"/>
  <c r="G14" i="2" s="1"/>
  <c r="E18" i="2"/>
  <c r="I18" i="2" s="1"/>
  <c r="G18" i="2" s="1"/>
  <c r="E22" i="2"/>
  <c r="I22" i="2" s="1"/>
  <c r="G22" i="2" s="1"/>
  <c r="G13" i="9"/>
  <c r="I13" i="9" s="1"/>
  <c r="C7" i="2"/>
  <c r="E23" i="2"/>
  <c r="I19" i="2"/>
  <c r="G19" i="2" s="1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E23" i="9"/>
  <c r="E7" i="9" s="1"/>
  <c r="E13" i="2"/>
  <c r="I13" i="2" s="1"/>
  <c r="G13" i="2" s="1"/>
  <c r="E17" i="2"/>
  <c r="I17" i="2" s="1"/>
  <c r="G17" i="2" s="1"/>
  <c r="E21" i="2"/>
  <c r="I21" i="2" s="1"/>
  <c r="G21" i="2" s="1"/>
  <c r="J17" i="1"/>
  <c r="G15" i="1"/>
  <c r="B38" i="1"/>
  <c r="E46" i="3"/>
  <c r="N46" i="3"/>
  <c r="I23" i="2" l="1"/>
  <c r="I23" i="9"/>
  <c r="G23" i="2"/>
  <c r="K23" i="9"/>
  <c r="I11" i="9"/>
  <c r="G30" i="1"/>
  <c r="G33" i="1" l="1"/>
  <c r="H33" i="1" s="1"/>
  <c r="M33" i="1" s="1"/>
  <c r="L30" i="1"/>
  <c r="L33" i="1" s="1"/>
  <c r="J30" i="1" l="1"/>
  <c r="J33" i="1" s="1"/>
  <c r="K33" i="1" s="1"/>
  <c r="E8" i="1" l="1"/>
  <c r="L27" i="1"/>
  <c r="L7" i="1" s="1"/>
  <c r="G27" i="1"/>
  <c r="G7" i="1" s="1"/>
  <c r="L25" i="1"/>
  <c r="J25" i="1"/>
  <c r="G25" i="1"/>
  <c r="L24" i="1"/>
  <c r="J24" i="1"/>
  <c r="G24" i="1"/>
  <c r="L23" i="1"/>
  <c r="J23" i="1"/>
  <c r="G23" i="1"/>
  <c r="E26" i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J11" i="1"/>
  <c r="G11" i="1"/>
  <c r="H6" i="1"/>
  <c r="M6" i="1" s="1"/>
  <c r="I32" i="3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J14" i="1"/>
  <c r="D7" i="1"/>
  <c r="K14" i="1" l="1"/>
  <c r="K26" i="1"/>
  <c r="K18" i="1"/>
  <c r="J27" i="1"/>
  <c r="J7" i="1" s="1"/>
  <c r="K22" i="1"/>
  <c r="D46" i="3" l="1"/>
  <c r="I33" i="3" l="1"/>
  <c r="D8" i="1" l="1"/>
  <c r="M8" i="1" l="1"/>
  <c r="I21" i="3" l="1"/>
  <c r="B26" i="9" l="1"/>
  <c r="E26" i="9" l="1"/>
  <c r="K26" i="9" s="1"/>
  <c r="G26" i="9" s="1"/>
  <c r="I26" i="9" s="1"/>
  <c r="K7" i="9"/>
  <c r="G7" i="9" s="1"/>
  <c r="I7" i="9" l="1"/>
  <c r="B7" i="9"/>
  <c r="B44" i="6" l="1"/>
  <c r="B44" i="5"/>
  <c r="B43" i="4"/>
  <c r="B50" i="3"/>
  <c r="B32" i="9"/>
  <c r="B32" i="2"/>
  <c r="E7" i="1" l="1"/>
  <c r="H7" i="1" s="1"/>
  <c r="M7" i="1" s="1"/>
  <c r="K7" i="1" s="1"/>
  <c r="D45" i="3" l="1"/>
  <c r="E45" i="3" l="1"/>
  <c r="H45" i="3" s="1"/>
  <c r="N45" i="3" s="1"/>
  <c r="L45" i="3" s="1"/>
  <c r="B32" i="3"/>
  <c r="E32" i="3" s="1"/>
  <c r="J32" i="3" s="1"/>
  <c r="B20" i="3"/>
  <c r="E20" i="3" s="1"/>
  <c r="G20" i="3" s="1"/>
  <c r="B7" i="3"/>
  <c r="E7" i="3" s="1"/>
  <c r="J7" i="3" s="1"/>
  <c r="H46" i="3" l="1"/>
  <c r="O46" i="3" s="1"/>
  <c r="I20" i="3"/>
  <c r="B21" i="3" s="1"/>
  <c r="E21" i="3" s="1"/>
  <c r="J21" i="3" s="1"/>
  <c r="H8" i="1" l="1"/>
  <c r="N8" i="1" s="1"/>
  <c r="D44" i="3" l="1"/>
  <c r="D6" i="1"/>
  <c r="E6" i="3" l="1"/>
  <c r="E19" i="3"/>
  <c r="G19" i="3" s="1"/>
  <c r="I19" i="3" s="1"/>
  <c r="H44" i="3"/>
  <c r="J6" i="3" l="1"/>
  <c r="I6" i="3" s="1"/>
  <c r="N44" i="3"/>
  <c r="L44" i="3" s="1"/>
  <c r="E31" i="3"/>
  <c r="I31" i="3" s="1"/>
  <c r="G31" i="3" s="1"/>
  <c r="K6" i="1" l="1"/>
  <c r="B33" i="3" l="1"/>
  <c r="E33" i="3" s="1"/>
  <c r="J33" i="3" s="1"/>
  <c r="E8" i="9" l="1"/>
  <c r="L8" i="9" s="1"/>
  <c r="B8" i="3" l="1"/>
  <c r="E8" i="3" s="1"/>
  <c r="I7" i="3"/>
  <c r="B8" i="2" l="1"/>
  <c r="E8" i="2" s="1"/>
  <c r="B7" i="2"/>
  <c r="E7" i="2" s="1"/>
  <c r="I7" i="2" l="1"/>
  <c r="G7" i="2"/>
</calcChain>
</file>

<file path=xl/sharedStrings.xml><?xml version="1.0" encoding="utf-8"?>
<sst xmlns="http://schemas.openxmlformats.org/spreadsheetml/2006/main" count="530" uniqueCount="181">
  <si>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</si>
  <si>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</si>
  <si>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</si>
  <si>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</si>
  <si>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</si>
  <si>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</si>
  <si>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</si>
  <si>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</si>
  <si>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</si>
  <si>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</si>
  <si>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</si>
  <si>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</si>
  <si>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</si>
  <si>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</si>
  <si>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</si>
  <si>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</si>
  <si>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</si>
  <si>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</si>
  <si>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</si>
  <si>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</si>
  <si>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</si>
  <si>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</si>
  <si>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</si>
  <si>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</si>
  <si>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</si>
  <si>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</si>
  <si>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</si>
  <si>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</si>
  <si>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</si>
  <si>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</si>
  <si>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</si>
  <si>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</si>
  <si>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</si>
  <si>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</si>
  <si>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</si>
  <si>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</si>
  <si>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</si>
  <si>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</si>
  <si>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</si>
  <si>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</si>
  <si>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</si>
  <si>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</si>
  <si>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</si>
  <si>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</si>
  <si>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</si>
  <si>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</si>
  <si>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</si>
  <si>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</si>
  <si>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</si>
  <si>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</si>
  <si>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</si>
  <si>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</si>
  <si>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</si>
  <si>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</si>
  <si>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</si>
  <si>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</si>
  <si>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</si>
  <si>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</si>
  <si>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</si>
  <si>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</si>
  <si>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</si>
  <si>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</si>
  <si>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</si>
  <si>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</si>
  <si>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</si>
  <si>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</si>
  <si>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</si>
  <si>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</si>
  <si>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</si>
  <si>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</si>
  <si>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</si>
  <si>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</si>
  <si>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</si>
  <si>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</si>
  <si>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</si>
  <si>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</si>
  <si>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</si>
  <si>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</si>
  <si>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</si>
  <si>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</si>
  <si>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</si>
  <si>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</si>
  <si>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</si>
  <si>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</si>
  <si>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</si>
  <si>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</si>
  <si>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</si>
  <si>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</si>
  <si>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</si>
  <si>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</si>
  <si>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</si>
  <si>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</si>
  <si>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</si>
  <si>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</si>
  <si>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</si>
  <si>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</si>
  <si>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</si>
  <si>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</si>
  <si>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</si>
  <si>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</si>
  <si>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</si>
  <si>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</si>
  <si>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</si>
  <si>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</si>
  <si>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</si>
  <si>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</si>
  <si>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</si>
  <si>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</si>
  <si>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</si>
  <si>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</si>
  <si>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</si>
  <si>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</si>
  <si>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</si>
  <si>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</si>
  <si>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</si>
  <si>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</si>
  <si>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</si>
  <si>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</si>
  <si>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</si>
  <si>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</si>
  <si>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</si>
  <si>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</si>
  <si>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</si>
  <si>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</si>
  <si>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</si>
  <si>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</si>
  <si>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</si>
  <si>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</si>
  <si>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</si>
  <si>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</si>
  <si>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</si>
  <si>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</si>
  <si>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</si>
  <si>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</si>
  <si>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</si>
  <si>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</si>
  <si>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</si>
  <si>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</si>
  <si>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</si>
  <si>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</si>
  <si>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</si>
  <si>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</si>
  <si>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</si>
  <si>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</si>
  <si>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</si>
  <si>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</si>
  <si>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</si>
  <si>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</si>
  <si>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</si>
  <si>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</si>
  <si>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</si>
  <si>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</si>
  <si>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</si>
  <si>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</si>
  <si>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</si>
  <si>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</si>
  <si>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</si>
  <si>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</si>
  <si>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2023/24*</t>
  </si>
  <si>
    <t>Projection</t>
  </si>
  <si>
    <t>Meal price</t>
  </si>
  <si>
    <t>Marketing year (October-September)</t>
  </si>
  <si>
    <t>Argentina</t>
  </si>
  <si>
    <t>Brazil</t>
  </si>
  <si>
    <t>United States</t>
  </si>
  <si>
    <t>Rest of world</t>
  </si>
  <si>
    <t>China</t>
  </si>
  <si>
    <t>2023/24 (Feb)</t>
  </si>
  <si>
    <t>2023/24 (Mar)</t>
  </si>
  <si>
    <t>Oct.–Jan. exports</t>
  </si>
  <si>
    <t>Remaining projection</t>
  </si>
  <si>
    <t>Difference</t>
  </si>
  <si>
    <t>January - December</t>
  </si>
  <si>
    <t>Reported exports to China</t>
  </si>
  <si>
    <t>Imports reported by China</t>
  </si>
  <si>
    <t>China imports from Argentina, Brazil, and the United States</t>
  </si>
  <si>
    <t>Month</t>
  </si>
  <si>
    <t>2022/23 Exports</t>
  </si>
  <si>
    <t>2023/24 Exports</t>
  </si>
  <si>
    <t>2022/23 Price spread</t>
  </si>
  <si>
    <t>2023/24 Price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</si>
</sst>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00"/>
    <numFmt numFmtId="176" formatCode="0.000000"/>
    <numFmt numFmtId="177" formatCode="0.0000000"/>
    <numFmt numFmtId="178" formatCode="_(* #,##0.0_);_(* \(#,##0.0\);_(* &quot;-&quot;_);_(@_)"/>
    <numFmt numFmtId="179" formatCode="_(* #,##0.0_);_(* \(#,##0.0\);_(* &quot;-&quot;?_);_(@_)"/>
    <numFmt numFmtId="180" formatCode="_(* #,##0.000_);_(* \(#,##0.000\);_(* &quot;-&quot;???_);_(@_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0">
    <xf numFmtId="0" fontId="0" fillId="0" borderId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39" fillId="0" borderId="0"/>
    <xf numFmtId="0" fontId="39" fillId="0" borderId="0"/>
    <xf numFmtId="0" fontId="39" fillId="0" borderId="0"/>
    <xf numFmtId="0" fontId="50" fillId="0" borderId="0"/>
    <xf numFmtId="9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52" fillId="0" borderId="0"/>
    <xf numFmtId="0" fontId="37" fillId="0" borderId="0"/>
    <xf numFmtId="0" fontId="36" fillId="0" borderId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43" fontId="34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4" fontId="38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64" fillId="0" borderId="0"/>
  </cellStyleXfs>
  <cellXfs count="188">
    <xf numFmtId="0" fontId="0" fillId="0" borderId="0" xfId="0"/>
    <xf numFmtId="0" fontId="39" fillId="0" borderId="0" xfId="8"/>
    <xf numFmtId="0" fontId="40" fillId="0" borderId="0" xfId="8" applyFont="1"/>
    <xf numFmtId="0" fontId="45" fillId="0" borderId="0" xfId="8" applyFont="1"/>
    <xf numFmtId="0" fontId="46" fillId="0" borderId="0" xfId="8" applyFont="1"/>
    <xf numFmtId="169" fontId="47" fillId="0" borderId="0" xfId="1" applyNumberFormat="1" applyFont="1" applyFill="1" applyBorder="1" applyAlignment="1">
      <alignment horizontal="center"/>
    </xf>
    <xf numFmtId="169" fontId="47" fillId="0" borderId="0" xfId="1" applyNumberFormat="1" applyFont="1" applyFill="1" applyBorder="1" applyAlignment="1">
      <alignment horizontal="right" indent="1"/>
    </xf>
    <xf numFmtId="0" fontId="53" fillId="0" borderId="0" xfId="7" applyFont="1" applyAlignment="1">
      <alignment horizontal="left"/>
    </xf>
    <xf numFmtId="0" fontId="54" fillId="0" borderId="0" xfId="5" applyFont="1" applyAlignment="1" applyProtection="1"/>
    <xf numFmtId="14" fontId="53" fillId="0" borderId="0" xfId="7" applyNumberFormat="1" applyFont="1" applyAlignment="1">
      <alignment horizontal="left"/>
    </xf>
    <xf numFmtId="0" fontId="54" fillId="0" borderId="0" xfId="4" applyFont="1" applyAlignment="1" applyProtection="1"/>
    <xf numFmtId="0" fontId="47" fillId="0" borderId="0" xfId="7" quotePrefix="1" applyFont="1" applyAlignment="1">
      <alignment horizontal="left"/>
    </xf>
    <xf numFmtId="0" fontId="47" fillId="0" borderId="0" xfId="8" applyFont="1" applyAlignment="1">
      <alignment wrapText="1"/>
    </xf>
    <xf numFmtId="169" fontId="47" fillId="0" borderId="0" xfId="1" applyNumberFormat="1" applyFont="1" applyFill="1" applyBorder="1" applyAlignment="1">
      <alignment horizontal="right"/>
    </xf>
    <xf numFmtId="0" fontId="47" fillId="0" borderId="1" xfId="0" applyFont="1" applyBorder="1"/>
    <xf numFmtId="0" fontId="47" fillId="0" borderId="0" xfId="0" applyFont="1"/>
    <xf numFmtId="0" fontId="47" fillId="0" borderId="2" xfId="0" applyFont="1" applyBorder="1" applyAlignment="1">
      <alignment horizontal="right"/>
    </xf>
    <xf numFmtId="0" fontId="47" fillId="0" borderId="0" xfId="0" applyFont="1" applyAlignment="1">
      <alignment horizontal="center"/>
    </xf>
    <xf numFmtId="0" fontId="0" fillId="0" borderId="2" xfId="0" applyBorder="1"/>
    <xf numFmtId="0" fontId="47" fillId="0" borderId="2" xfId="0" applyFont="1" applyBorder="1" applyAlignment="1">
      <alignment horizontal="left"/>
    </xf>
    <xf numFmtId="0" fontId="47" fillId="0" borderId="0" xfId="0" applyFont="1" applyAlignment="1">
      <alignment horizontal="right"/>
    </xf>
    <xf numFmtId="16" fontId="47" fillId="0" borderId="1" xfId="0" quotePrefix="1" applyNumberFormat="1" applyFont="1" applyBorder="1"/>
    <xf numFmtId="16" fontId="47" fillId="0" borderId="1" xfId="0" applyNumberFormat="1" applyFont="1" applyBorder="1"/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>
      <alignment horizontal="right"/>
    </xf>
    <xf numFmtId="0" fontId="4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8" fillId="0" borderId="0" xfId="0" quotePrefix="1" applyFont="1" applyAlignment="1">
      <alignment horizontal="right"/>
    </xf>
    <xf numFmtId="3" fontId="47" fillId="0" borderId="0" xfId="1" applyNumberFormat="1" applyFont="1" applyFill="1" applyBorder="1" applyAlignment="1">
      <alignment horizontal="right" indent="1"/>
    </xf>
    <xf numFmtId="164" fontId="47" fillId="0" borderId="0" xfId="1" applyNumberFormat="1" applyFont="1" applyFill="1" applyBorder="1"/>
    <xf numFmtId="164" fontId="47" fillId="0" borderId="0" xfId="1" applyNumberFormat="1" applyFont="1" applyFill="1" applyBorder="1" applyAlignment="1">
      <alignment horizontal="right"/>
    </xf>
    <xf numFmtId="0" fontId="53" fillId="0" borderId="0" xfId="0" applyFont="1"/>
    <xf numFmtId="169" fontId="47" fillId="0" borderId="0" xfId="1" quotePrefix="1" applyNumberFormat="1" applyFont="1" applyFill="1" applyBorder="1" applyAlignment="1">
      <alignment horizontal="right"/>
    </xf>
    <xf numFmtId="164" fontId="47" fillId="0" borderId="0" xfId="1" applyNumberFormat="1" applyFont="1" applyFill="1" applyBorder="1" applyAlignment="1">
      <alignment horizontal="center"/>
    </xf>
    <xf numFmtId="164" fontId="47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7" fillId="0" borderId="0" xfId="1" applyNumberFormat="1" applyFont="1" applyFill="1"/>
    <xf numFmtId="14" fontId="47" fillId="0" borderId="0" xfId="0" applyNumberFormat="1" applyFont="1" applyAlignment="1">
      <alignment horizontal="left"/>
    </xf>
    <xf numFmtId="3" fontId="47" fillId="0" borderId="0" xfId="1" applyNumberFormat="1" applyFont="1" applyFill="1" applyAlignment="1">
      <alignment horizontal="right" indent="2"/>
    </xf>
    <xf numFmtId="3" fontId="47" fillId="0" borderId="0" xfId="1" applyNumberFormat="1" applyFont="1" applyFill="1" applyAlignment="1">
      <alignment horizontal="right" indent="1"/>
    </xf>
    <xf numFmtId="3" fontId="47" fillId="0" borderId="0" xfId="1" applyNumberFormat="1" applyFont="1" applyFill="1" applyAlignment="1">
      <alignment horizontal="center"/>
    </xf>
    <xf numFmtId="169" fontId="47" fillId="0" borderId="0" xfId="1" applyNumberFormat="1" applyFont="1" applyFill="1" applyBorder="1" applyAlignment="1">
      <alignment horizontal="right" indent="2"/>
    </xf>
    <xf numFmtId="0" fontId="4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7" fillId="0" borderId="1" xfId="1" applyNumberFormat="1" applyFont="1" applyFill="1" applyBorder="1" applyAlignment="1">
      <alignment horizontal="right"/>
    </xf>
    <xf numFmtId="16" fontId="47" fillId="0" borderId="0" xfId="0" applyNumberFormat="1" applyFont="1"/>
    <xf numFmtId="0" fontId="48" fillId="0" borderId="0" xfId="0" applyFont="1" applyAlignment="1">
      <alignment horizontal="center"/>
    </xf>
    <xf numFmtId="2" fontId="47" fillId="0" borderId="0" xfId="0" applyNumberFormat="1" applyFont="1" applyAlignment="1">
      <alignment horizontal="right" indent="2"/>
    </xf>
    <xf numFmtId="170" fontId="47" fillId="0" borderId="0" xfId="0" applyNumberFormat="1" applyFont="1"/>
    <xf numFmtId="43" fontId="47" fillId="0" borderId="0" xfId="1" quotePrefix="1" applyFont="1" applyFill="1" applyBorder="1" applyAlignment="1">
      <alignment horizontal="center"/>
    </xf>
    <xf numFmtId="166" fontId="47" fillId="0" borderId="0" xfId="1" quotePrefix="1" applyNumberFormat="1" applyFont="1" applyFill="1" applyBorder="1" applyAlignment="1">
      <alignment horizontal="center"/>
    </xf>
    <xf numFmtId="43" fontId="47" fillId="0" borderId="0" xfId="1" applyFont="1" applyFill="1" applyBorder="1" applyAlignment="1">
      <alignment horizontal="center"/>
    </xf>
    <xf numFmtId="0" fontId="53" fillId="0" borderId="0" xfId="0" quotePrefix="1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indent="1"/>
    </xf>
    <xf numFmtId="0" fontId="47" fillId="0" borderId="3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8" fillId="0" borderId="3" xfId="0" quotePrefix="1" applyFont="1" applyBorder="1"/>
    <xf numFmtId="0" fontId="48" fillId="0" borderId="3" xfId="0" applyFont="1" applyBorder="1"/>
    <xf numFmtId="2" fontId="47" fillId="0" borderId="0" xfId="0" applyNumberFormat="1" applyFont="1" applyAlignment="1">
      <alignment horizontal="center"/>
    </xf>
    <xf numFmtId="43" fontId="47" fillId="0" borderId="0" xfId="0" applyNumberFormat="1" applyFont="1"/>
    <xf numFmtId="0" fontId="42" fillId="0" borderId="0" xfId="0" applyFont="1"/>
    <xf numFmtId="2" fontId="0" fillId="0" borderId="0" xfId="0" applyNumberFormat="1"/>
    <xf numFmtId="165" fontId="4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1" fillId="0" borderId="0" xfId="0" applyFont="1" applyAlignment="1">
      <alignment vertical="center"/>
    </xf>
    <xf numFmtId="2" fontId="4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7" fillId="0" borderId="3" xfId="0" applyFont="1" applyBorder="1"/>
    <xf numFmtId="165" fontId="47" fillId="0" borderId="0" xfId="1" applyNumberFormat="1" applyFont="1" applyFill="1"/>
    <xf numFmtId="37" fontId="47" fillId="0" borderId="0" xfId="1" applyNumberFormat="1" applyFont="1" applyFill="1" applyBorder="1" applyAlignment="1">
      <alignment horizontal="center"/>
    </xf>
    <xf numFmtId="165" fontId="47" fillId="0" borderId="0" xfId="1" applyNumberFormat="1" applyFont="1" applyFill="1" applyBorder="1"/>
    <xf numFmtId="9" fontId="47" fillId="0" borderId="0" xfId="12" applyFont="1" applyFill="1"/>
    <xf numFmtId="0" fontId="48" fillId="0" borderId="4" xfId="0" applyFont="1" applyBorder="1" applyAlignment="1">
      <alignment horizontal="center"/>
    </xf>
    <xf numFmtId="14" fontId="47" fillId="0" borderId="0" xfId="0" applyNumberFormat="1" applyFont="1" applyAlignment="1">
      <alignment horizontal="right" inden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169" fontId="47" fillId="0" borderId="0" xfId="1" applyNumberFormat="1" applyFont="1" applyFill="1" applyAlignment="1">
      <alignment horizontal="center"/>
    </xf>
    <xf numFmtId="0" fontId="49" fillId="0" borderId="3" xfId="0" applyFont="1" applyBorder="1"/>
    <xf numFmtId="164" fontId="47" fillId="0" borderId="3" xfId="0" applyNumberFormat="1" applyFont="1" applyBorder="1"/>
    <xf numFmtId="171" fontId="0" fillId="0" borderId="0" xfId="1" applyNumberFormat="1" applyFont="1" applyFill="1" applyBorder="1"/>
    <xf numFmtId="0" fontId="38" fillId="0" borderId="0" xfId="8" applyFont="1"/>
    <xf numFmtId="0" fontId="38" fillId="0" borderId="0" xfId="0" applyFont="1"/>
    <xf numFmtId="4" fontId="56" fillId="0" borderId="0" xfId="0" applyNumberFormat="1" applyFont="1"/>
    <xf numFmtId="172" fontId="42" fillId="0" borderId="0" xfId="12" applyNumberFormat="1" applyFont="1" applyFill="1"/>
    <xf numFmtId="4" fontId="0" fillId="0" borderId="0" xfId="0" applyNumberFormat="1"/>
    <xf numFmtId="173" fontId="56" fillId="0" borderId="0" xfId="0" applyNumberFormat="1" applyFont="1"/>
    <xf numFmtId="164" fontId="47" fillId="2" borderId="0" xfId="1" applyNumberFormat="1" applyFont="1" applyFill="1" applyBorder="1" applyAlignment="1">
      <alignment horizontal="center"/>
    </xf>
    <xf numFmtId="2" fontId="55" fillId="0" borderId="0" xfId="0" applyNumberFormat="1" applyFont="1" applyAlignment="1">
      <alignment horizontal="center"/>
    </xf>
    <xf numFmtId="37" fontId="47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55" fillId="0" borderId="0" xfId="0" applyNumberFormat="1" applyFont="1" applyAlignment="1">
      <alignment horizontal="right" indent="2"/>
    </xf>
    <xf numFmtId="9" fontId="0" fillId="0" borderId="0" xfId="12" applyFont="1"/>
    <xf numFmtId="3" fontId="55" fillId="0" borderId="0" xfId="1" applyNumberFormat="1" applyFont="1" applyFill="1" applyBorder="1" applyAlignment="1">
      <alignment horizontal="right"/>
    </xf>
    <xf numFmtId="3" fontId="38" fillId="0" borderId="0" xfId="0" applyNumberFormat="1" applyFont="1"/>
    <xf numFmtId="3" fontId="47" fillId="0" borderId="0" xfId="1" quotePrefix="1" applyNumberFormat="1" applyFont="1" applyFill="1" applyBorder="1" applyAlignment="1">
      <alignment horizontal="right"/>
    </xf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69" fontId="47" fillId="0" borderId="0" xfId="1" applyNumberFormat="1" applyFont="1" applyAlignment="1">
      <alignment horizontal="right" indent="1"/>
    </xf>
    <xf numFmtId="167" fontId="47" fillId="0" borderId="0" xfId="0" applyNumberFormat="1" applyFont="1"/>
    <xf numFmtId="169" fontId="55" fillId="0" borderId="0" xfId="1" applyNumberFormat="1" applyFont="1" applyFill="1" applyBorder="1" applyAlignment="1">
      <alignment horizontal="right" indent="1"/>
    </xf>
    <xf numFmtId="0" fontId="59" fillId="0" borderId="0" xfId="0" applyFont="1"/>
    <xf numFmtId="169" fontId="47" fillId="0" borderId="0" xfId="1" applyNumberFormat="1" applyFont="1" applyFill="1" applyAlignment="1">
      <alignment horizontal="right" indent="1"/>
    </xf>
    <xf numFmtId="17" fontId="47" fillId="0" borderId="0" xfId="0" applyNumberFormat="1" applyFont="1" applyAlignment="1">
      <alignment horizontal="left"/>
    </xf>
    <xf numFmtId="172" fontId="47" fillId="0" borderId="0" xfId="12" applyNumberFormat="1" applyFont="1" applyFill="1" applyBorder="1"/>
    <xf numFmtId="3" fontId="47" fillId="0" borderId="3" xfId="1" applyNumberFormat="1" applyFont="1" applyFill="1" applyBorder="1" applyAlignment="1">
      <alignment horizontal="right" indent="1"/>
    </xf>
    <xf numFmtId="164" fontId="55" fillId="0" borderId="0" xfId="1" applyNumberFormat="1" applyFont="1"/>
    <xf numFmtId="169" fontId="47" fillId="2" borderId="0" xfId="1" applyNumberFormat="1" applyFont="1" applyFill="1" applyBorder="1" applyAlignment="1">
      <alignment horizontal="right" indent="2"/>
    </xf>
    <xf numFmtId="169" fontId="47" fillId="2" borderId="0" xfId="1" applyNumberFormat="1" applyFont="1" applyFill="1" applyBorder="1" applyAlignment="1">
      <alignment horizontal="right" indent="1"/>
    </xf>
    <xf numFmtId="169" fontId="60" fillId="0" borderId="0" xfId="1" applyNumberFormat="1" applyFont="1" applyFill="1" applyBorder="1" applyAlignment="1">
      <alignment horizontal="right"/>
    </xf>
    <xf numFmtId="0" fontId="53" fillId="0" borderId="7" xfId="0" applyFont="1" applyBorder="1" applyAlignment="1">
      <alignment wrapText="1"/>
    </xf>
    <xf numFmtId="41" fontId="57" fillId="0" borderId="0" xfId="33" applyNumberFormat="1" applyFont="1" applyFill="1"/>
    <xf numFmtId="167" fontId="47" fillId="0" borderId="0" xfId="0" applyNumberFormat="1" applyFont="1" applyAlignment="1">
      <alignment horizontal="center"/>
    </xf>
    <xf numFmtId="165" fontId="47" fillId="0" borderId="0" xfId="1" applyNumberFormat="1" applyFont="1" applyFill="1" applyAlignment="1">
      <alignment horizontal="left"/>
    </xf>
    <xf numFmtId="165" fontId="47" fillId="0" borderId="0" xfId="1" applyNumberFormat="1" applyFont="1" applyFill="1" applyAlignment="1">
      <alignment horizontal="center"/>
    </xf>
    <xf numFmtId="169" fontId="55" fillId="0" borderId="0" xfId="1" applyNumberFormat="1" applyFont="1" applyFill="1" applyBorder="1" applyAlignment="1">
      <alignment horizontal="right"/>
    </xf>
    <xf numFmtId="37" fontId="47" fillId="0" borderId="0" xfId="1" applyNumberFormat="1" applyFont="1" applyFill="1" applyBorder="1" applyAlignment="1">
      <alignment horizontal="right" indent="2"/>
    </xf>
    <xf numFmtId="37" fontId="47" fillId="0" borderId="0" xfId="1" applyNumberFormat="1" applyFont="1" applyFill="1" applyBorder="1" applyAlignment="1">
      <alignment horizontal="right" indent="1"/>
    </xf>
    <xf numFmtId="37" fontId="47" fillId="0" borderId="0" xfId="0" applyNumberFormat="1" applyFont="1"/>
    <xf numFmtId="37" fontId="47" fillId="0" borderId="0" xfId="1" applyNumberFormat="1" applyFont="1" applyFill="1" applyAlignment="1">
      <alignment horizontal="center"/>
    </xf>
    <xf numFmtId="174" fontId="47" fillId="0" borderId="0" xfId="1" applyNumberFormat="1" applyFont="1" applyFill="1" applyBorder="1" applyAlignment="1">
      <alignment horizontal="right" indent="2"/>
    </xf>
    <xf numFmtId="1" fontId="47" fillId="0" borderId="0" xfId="0" applyNumberFormat="1" applyFont="1" applyAlignment="1">
      <alignment horizontal="center"/>
    </xf>
    <xf numFmtId="37" fontId="0" fillId="0" borderId="0" xfId="0" applyNumberFormat="1"/>
    <xf numFmtId="43" fontId="47" fillId="0" borderId="3" xfId="0" applyNumberFormat="1" applyFont="1" applyBorder="1"/>
    <xf numFmtId="0" fontId="0" fillId="0" borderId="3" xfId="0" applyBorder="1"/>
    <xf numFmtId="168" fontId="47" fillId="0" borderId="3" xfId="0" applyNumberFormat="1" applyFont="1" applyBorder="1"/>
    <xf numFmtId="164" fontId="55" fillId="0" borderId="0" xfId="1" applyNumberFormat="1" applyFont="1" applyAlignment="1">
      <alignment horizontal="right"/>
    </xf>
    <xf numFmtId="0" fontId="61" fillId="0" borderId="1" xfId="75" applyFont="1" applyBorder="1"/>
    <xf numFmtId="165" fontId="61" fillId="0" borderId="1" xfId="1" applyNumberFormat="1" applyFont="1" applyBorder="1"/>
    <xf numFmtId="0" fontId="55" fillId="0" borderId="0" xfId="75" applyFont="1"/>
    <xf numFmtId="165" fontId="55" fillId="0" borderId="0" xfId="1" applyNumberFormat="1" applyFont="1"/>
    <xf numFmtId="165" fontId="55" fillId="0" borderId="0" xfId="1" applyNumberFormat="1" applyFont="1" applyFill="1"/>
    <xf numFmtId="165" fontId="38" fillId="0" borderId="0" xfId="74" applyNumberFormat="1" applyFont="1"/>
    <xf numFmtId="0" fontId="57" fillId="0" borderId="0" xfId="75" applyFont="1"/>
    <xf numFmtId="1" fontId="57" fillId="0" borderId="0" xfId="75" applyNumberFormat="1" applyFont="1"/>
    <xf numFmtId="2" fontId="57" fillId="0" borderId="0" xfId="75" applyNumberFormat="1" applyFont="1"/>
    <xf numFmtId="167" fontId="57" fillId="0" borderId="0" xfId="75" applyNumberFormat="1" applyFont="1"/>
    <xf numFmtId="14" fontId="57" fillId="0" borderId="0" xfId="75" applyNumberFormat="1" applyFont="1"/>
    <xf numFmtId="164" fontId="47" fillId="0" borderId="0" xfId="1" applyNumberFormat="1" applyFont="1" applyFill="1" applyBorder="1" applyAlignment="1">
      <alignment horizontal="right" indent="1"/>
    </xf>
    <xf numFmtId="0" fontId="55" fillId="0" borderId="0" xfId="77" applyFont="1" applyAlignment="1">
      <alignment horizontal="center"/>
    </xf>
    <xf numFmtId="0" fontId="47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3" xfId="0" quotePrefix="1" applyFont="1" applyBorder="1" applyAlignment="1">
      <alignment horizontal="center"/>
    </xf>
    <xf numFmtId="1" fontId="55" fillId="0" borderId="0" xfId="75" applyNumberFormat="1" applyFont="1"/>
    <xf numFmtId="3" fontId="62" fillId="0" borderId="0" xfId="0" applyNumberFormat="1" applyFont="1"/>
    <xf numFmtId="0" fontId="58" fillId="0" borderId="1" xfId="78" applyFont="1" applyBorder="1" applyAlignment="1">
      <alignment horizontal="center" wrapText="1"/>
    </xf>
    <xf numFmtId="0" fontId="57" fillId="0" borderId="0" xfId="78" applyFont="1"/>
    <xf numFmtId="0" fontId="57" fillId="0" borderId="0" xfId="78" applyFont="1" applyAlignment="1">
      <alignment horizontal="center"/>
    </xf>
    <xf numFmtId="178" fontId="57" fillId="0" borderId="0" xfId="33" applyNumberFormat="1" applyFont="1" applyFill="1"/>
    <xf numFmtId="178" fontId="57" fillId="0" borderId="0" xfId="78" applyNumberFormat="1" applyFont="1"/>
    <xf numFmtId="178" fontId="63" fillId="0" borderId="0" xfId="1" applyNumberFormat="1" applyFont="1" applyFill="1"/>
    <xf numFmtId="178" fontId="57" fillId="0" borderId="0" xfId="33" applyNumberFormat="1" applyFont="1" applyFill="1" applyAlignment="1">
      <alignment horizontal="center"/>
    </xf>
    <xf numFmtId="41" fontId="57" fillId="0" borderId="0" xfId="33" applyNumberFormat="1" applyFont="1" applyFill="1" applyAlignment="1">
      <alignment horizontal="center"/>
    </xf>
    <xf numFmtId="43" fontId="57" fillId="0" borderId="0" xfId="78" applyNumberFormat="1" applyFont="1"/>
    <xf numFmtId="164" fontId="57" fillId="0" borderId="0" xfId="78" applyNumberFormat="1" applyFont="1"/>
    <xf numFmtId="17" fontId="47" fillId="0" borderId="0" xfId="0" applyNumberFormat="1" applyFont="1" applyAlignment="1">
      <alignment vertical="center"/>
    </xf>
    <xf numFmtId="0" fontId="47" fillId="0" borderId="0" xfId="0" applyFont="1" applyAlignment="1">
      <alignment horizontal="right" vertical="center"/>
    </xf>
    <xf numFmtId="165" fontId="47" fillId="0" borderId="0" xfId="0" applyNumberFormat="1" applyFont="1"/>
    <xf numFmtId="165" fontId="0" fillId="0" borderId="0" xfId="0" applyNumberFormat="1"/>
    <xf numFmtId="165" fontId="55" fillId="0" borderId="0" xfId="1" applyNumberFormat="1" applyFont="1" applyFill="1" applyAlignment="1">
      <alignment horizontal="center"/>
    </xf>
    <xf numFmtId="3" fontId="0" fillId="0" borderId="0" xfId="0" applyNumberFormat="1"/>
    <xf numFmtId="172" fontId="0" fillId="0" borderId="0" xfId="12" applyNumberFormat="1" applyFont="1" applyFill="1"/>
    <xf numFmtId="10" fontId="0" fillId="0" borderId="0" xfId="12" applyNumberFormat="1" applyFont="1" applyFill="1"/>
    <xf numFmtId="37" fontId="47" fillId="0" borderId="1" xfId="1" applyNumberFormat="1" applyFont="1" applyFill="1" applyBorder="1" applyAlignment="1">
      <alignment horizontal="center"/>
    </xf>
    <xf numFmtId="37" fontId="47" fillId="0" borderId="1" xfId="1" applyNumberFormat="1" applyFont="1" applyFill="1" applyBorder="1" applyAlignment="1">
      <alignment horizontal="right" indent="2"/>
    </xf>
    <xf numFmtId="165" fontId="47" fillId="0" borderId="1" xfId="1" applyNumberFormat="1" applyFont="1" applyFill="1" applyBorder="1"/>
    <xf numFmtId="37" fontId="47" fillId="0" borderId="1" xfId="1" applyNumberFormat="1" applyFont="1" applyFill="1" applyBorder="1" applyAlignment="1">
      <alignment horizontal="right" indent="1"/>
    </xf>
    <xf numFmtId="1" fontId="47" fillId="0" borderId="1" xfId="0" applyNumberFormat="1" applyFont="1" applyBorder="1" applyAlignment="1">
      <alignment horizontal="center"/>
    </xf>
    <xf numFmtId="164" fontId="47" fillId="0" borderId="0" xfId="0" applyNumberFormat="1" applyFont="1"/>
    <xf numFmtId="1" fontId="47" fillId="0" borderId="0" xfId="0" applyNumberFormat="1" applyFont="1"/>
    <xf numFmtId="0" fontId="64" fillId="0" borderId="0" xfId="79"/>
    <xf numFmtId="1" fontId="0" fillId="0" borderId="0" xfId="0" applyNumberFormat="1"/>
    <xf numFmtId="0" fontId="53" fillId="0" borderId="7" xfId="0" applyFont="1" applyBorder="1"/>
    <xf numFmtId="179" fontId="57" fillId="0" borderId="0" xfId="78" applyNumberFormat="1" applyFont="1"/>
    <xf numFmtId="180" fontId="57" fillId="0" borderId="0" xfId="78" applyNumberFormat="1" applyFont="1"/>
    <xf numFmtId="0" fontId="47" fillId="0" borderId="2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2" xfId="0" quotePrefix="1" applyFont="1" applyBorder="1" applyAlignment="1">
      <alignment horizontal="center"/>
    </xf>
    <xf numFmtId="0" fontId="48" fillId="0" borderId="3" xfId="0" quotePrefix="1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5" xfId="0" quotePrefix="1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5" xfId="0" applyFont="1" applyBorder="1" applyAlignment="1">
      <alignment horizontal="center"/>
    </xf>
  </cellXfs>
  <cellStyles count="80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6" xfId="74" xr:uid="{5AE75EFE-983D-4415-ABF1-C4602BF3FD8A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3" xfId="79" xr:uid="{9E2AFF03-0374-4DAB-9B4E-F3E30AAD9A78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FF00"/>
      <color rgb="FFFF9933"/>
      <color rgb="FFFFFF99"/>
      <color rgb="FF0000FF"/>
      <color rgb="FFFFCC66"/>
      <color rgb="FFFA6400"/>
      <color rgb="FF00B050"/>
      <color rgb="FFC0502F"/>
      <color rgb="FFFFCF01"/>
      <color rgb="FF984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soybean stocks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312022564421"/>
          <c:y val="0.19605913547656637"/>
          <c:w val="0.87435715618094023"/>
          <c:h val="0.555541706107340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(Feb)</c:v>
                </c:pt>
                <c:pt idx="9">
                  <c:v>2023/24 (Mar)</c:v>
                </c:pt>
              </c:strCache>
            </c:strRef>
          </c:cat>
          <c:val>
            <c:numRef>
              <c:f>'Figure 1'!$B$2:$B$11</c:f>
              <c:numCache>
                <c:formatCode>_(* #,##0.0_);_(* \(#,##0.0\);_(* "-"_);_(@_)</c:formatCode>
                <c:ptCount val="10"/>
                <c:pt idx="0">
                  <c:v>27.155999999999999</c:v>
                </c:pt>
                <c:pt idx="1">
                  <c:v>26.995999999999999</c:v>
                </c:pt>
                <c:pt idx="2">
                  <c:v>23.734000000000002</c:v>
                </c:pt>
                <c:pt idx="3">
                  <c:v>28.89</c:v>
                </c:pt>
                <c:pt idx="4">
                  <c:v>26.65</c:v>
                </c:pt>
                <c:pt idx="5">
                  <c:v>25.06</c:v>
                </c:pt>
                <c:pt idx="6">
                  <c:v>23.902999999999999</c:v>
                </c:pt>
                <c:pt idx="7">
                  <c:v>17.209</c:v>
                </c:pt>
                <c:pt idx="8">
                  <c:v>25.959</c:v>
                </c:pt>
                <c:pt idx="9">
                  <c:v>25.959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E-4468-B593-F022CD76AFBC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(Feb)</c:v>
                </c:pt>
                <c:pt idx="9">
                  <c:v>2023/24 (Mar)</c:v>
                </c:pt>
              </c:strCache>
            </c:strRef>
          </c:cat>
          <c:val>
            <c:numRef>
              <c:f>'Figure 1'!$C$2:$C$11</c:f>
              <c:numCache>
                <c:formatCode>_(* #,##0.0_);_(* \(#,##0.0\);_(* "-"_);_(@_)</c:formatCode>
                <c:ptCount val="10"/>
                <c:pt idx="0">
                  <c:v>23.803000000000001</c:v>
                </c:pt>
                <c:pt idx="1">
                  <c:v>32.631999999999998</c:v>
                </c:pt>
                <c:pt idx="2">
                  <c:v>33.030999999999999</c:v>
                </c:pt>
                <c:pt idx="3">
                  <c:v>33.341999999999999</c:v>
                </c:pt>
                <c:pt idx="4">
                  <c:v>20.419</c:v>
                </c:pt>
                <c:pt idx="5">
                  <c:v>29.579000000000001</c:v>
                </c:pt>
                <c:pt idx="6">
                  <c:v>27.597999999999999</c:v>
                </c:pt>
                <c:pt idx="7">
                  <c:v>37.350999999999999</c:v>
                </c:pt>
                <c:pt idx="8">
                  <c:v>36.301000000000002</c:v>
                </c:pt>
                <c:pt idx="9">
                  <c:v>33.051000000000002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E-4468-B593-F022CD76AFBC}"/>
            </c:ext>
          </c:extLst>
        </c:ser>
        <c:ser>
          <c:idx val="0"/>
          <c:order val="2"/>
          <c:tx>
            <c:strRef>
              <c:f>'Figure 1'!$D$1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(Feb)</c:v>
                </c:pt>
                <c:pt idx="9">
                  <c:v>2023/24 (Mar)</c:v>
                </c:pt>
              </c:strCache>
            </c:strRef>
          </c:cat>
          <c:val>
            <c:numRef>
              <c:f>'Figure 1'!$D$2:$D$11</c:f>
              <c:numCache>
                <c:formatCode>_(* #,##0.0_);_(* \(#,##0.0\);_(* "-"_);_(@_)</c:formatCode>
                <c:ptCount val="10"/>
                <c:pt idx="0">
                  <c:v>16.643000000000001</c:v>
                </c:pt>
                <c:pt idx="1">
                  <c:v>20.12</c:v>
                </c:pt>
                <c:pt idx="2">
                  <c:v>22.562000000000001</c:v>
                </c:pt>
                <c:pt idx="3">
                  <c:v>18.350000000000001</c:v>
                </c:pt>
                <c:pt idx="4">
                  <c:v>24.484000000000002</c:v>
                </c:pt>
                <c:pt idx="5">
                  <c:v>28.856000000000002</c:v>
                </c:pt>
                <c:pt idx="6">
                  <c:v>25.146000000000001</c:v>
                </c:pt>
                <c:pt idx="7" formatCode="_(* #,##0.0_);_(* \(#,##0.0\);_(* &quot;-&quot;??_);_(@_)">
                  <c:v>32.340000000000003</c:v>
                </c:pt>
                <c:pt idx="8" formatCode="_(* #,##0.0_);_(* \(#,##0.0\);_(* &quot;-&quot;??_);_(@_)">
                  <c:v>36.03</c:v>
                </c:pt>
                <c:pt idx="9" formatCode="_(* #,##0.0_);_(* \(#,##0.0\);_(* &quot;-&quot;??_);_(@_)">
                  <c:v>37.58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E-4468-B593-F022CD76AFBC}"/>
            </c:ext>
          </c:extLst>
        </c:ser>
        <c:ser>
          <c:idx val="4"/>
          <c:order val="3"/>
          <c:tx>
            <c:strRef>
              <c:f>'Figure 1'!$E$1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(Feb)</c:v>
                </c:pt>
                <c:pt idx="9">
                  <c:v>2023/24 (Mar)</c:v>
                </c:pt>
              </c:strCache>
            </c:strRef>
          </c:cat>
          <c:val>
            <c:numRef>
              <c:f>'Figure 1'!$E$2:$E$11</c:f>
              <c:numCache>
                <c:formatCode>_(* #,##0.0_);_(* \(#,##0.0\);_(* "-"_);_(@_)</c:formatCode>
                <c:ptCount val="10"/>
                <c:pt idx="0">
                  <c:v>5.3540000000000001</c:v>
                </c:pt>
                <c:pt idx="1">
                  <c:v>8.2080000000000002</c:v>
                </c:pt>
                <c:pt idx="2">
                  <c:v>11.923</c:v>
                </c:pt>
                <c:pt idx="3">
                  <c:v>25.175999999999998</c:v>
                </c:pt>
                <c:pt idx="4">
                  <c:v>14.657</c:v>
                </c:pt>
                <c:pt idx="5">
                  <c:v>6.9939999999999998</c:v>
                </c:pt>
                <c:pt idx="6">
                  <c:v>7.468</c:v>
                </c:pt>
                <c:pt idx="7" formatCode="_(* #,##0.0_);_(* \(#,##0.0\);_(* &quot;-&quot;??_);_(@_)">
                  <c:v>7.19</c:v>
                </c:pt>
                <c:pt idx="8" formatCode="_(* #,##0.0_);_(* \(#,##0.0\);_(* &quot;-&quot;??_);_(@_)">
                  <c:v>8.5709999999999997</c:v>
                </c:pt>
                <c:pt idx="9" formatCode="_(* #,##0.0_);_(* \(#,##0.0\);_(* &quot;-&quot;??_);_(@_)">
                  <c:v>8.5709999999999997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E-4468-B593-F022CD76AFBC}"/>
            </c:ext>
          </c:extLst>
        </c:ser>
        <c:ser>
          <c:idx val="3"/>
          <c:order val="4"/>
          <c:tx>
            <c:strRef>
              <c:f>'Figure 1'!$F$1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 1'!$F$2:$F$11</c:f>
              <c:numCache>
                <c:formatCode>_(* #,##0.00_);_(* \(#,##0.00\);_(* "-"??_);_(@_)</c:formatCode>
                <c:ptCount val="10"/>
                <c:pt idx="0">
                  <c:v>6.5939999999999941</c:v>
                </c:pt>
                <c:pt idx="1">
                  <c:v>7.7469999999999999</c:v>
                </c:pt>
                <c:pt idx="2">
                  <c:v>8.7450000000000045</c:v>
                </c:pt>
                <c:pt idx="3">
                  <c:v>8.8629999999999995</c:v>
                </c:pt>
                <c:pt idx="4">
                  <c:v>9.3180000000000121</c:v>
                </c:pt>
                <c:pt idx="5">
                  <c:v>7.777000000000001</c:v>
                </c:pt>
                <c:pt idx="6">
                  <c:v>9.811000000000007</c:v>
                </c:pt>
                <c:pt idx="7">
                  <c:v>8.0589999999999975</c:v>
                </c:pt>
                <c:pt idx="8">
                  <c:v>9.164999999999992</c:v>
                </c:pt>
                <c:pt idx="9">
                  <c:v>9.1069999999999993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E-4468-B593-F022CD76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32671633997"/>
              <c:y val="0.82571622371722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12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16711729012E-2"/>
              <c:y val="0.11136368201914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23486090060338"/>
          <c:y val="0.12636223785452472"/>
          <c:w val="0.7224611699366188"/>
          <c:h val="4.9025191124402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>
                <a:effectLst/>
              </a:rPr>
              <a:t>U.S. soybean</a:t>
            </a:r>
            <a:r>
              <a:rPr lang="en-US" sz="1050" baseline="0">
                <a:effectLst/>
              </a:rPr>
              <a:t> meal exports and prices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5216937083625723E-3"/>
          <c:y val="1.24280081103606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821852786955364E-2"/>
          <c:y val="0.19264295754499883"/>
          <c:w val="0.83276103705604276"/>
          <c:h val="0.544788665115490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2'!$B$1</c:f>
              <c:strCache>
                <c:ptCount val="1"/>
                <c:pt idx="0">
                  <c:v> Oct.–Jan. exports </c:v>
                </c:pt>
              </c:strCache>
            </c:strRef>
          </c:tx>
          <c:invertIfNegative val="0"/>
          <c:cat>
            <c:strRef>
              <c:f>'Figure 2'!$A$2:$A$10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2'!$B$2:$B$10</c:f>
              <c:numCache>
                <c:formatCode>_(* #,##0_);_(* \(#,##0\);_(* "-"??_);_(@_)</c:formatCode>
                <c:ptCount val="9"/>
                <c:pt idx="0">
                  <c:v>4244.5903540781546</c:v>
                </c:pt>
                <c:pt idx="1">
                  <c:v>4192.245007131316</c:v>
                </c:pt>
                <c:pt idx="2">
                  <c:v>4253.6155279287796</c:v>
                </c:pt>
                <c:pt idx="3">
                  <c:v>4964.19295613753</c:v>
                </c:pt>
                <c:pt idx="4">
                  <c:v>4529.876788440979</c:v>
                </c:pt>
                <c:pt idx="5">
                  <c:v>5244.1501562410285</c:v>
                </c:pt>
                <c:pt idx="6">
                  <c:v>5040.1557638256427</c:v>
                </c:pt>
                <c:pt idx="7">
                  <c:v>4884.7510334927956</c:v>
                </c:pt>
                <c:pt idx="8">
                  <c:v>5894.5580318245602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C-40DD-B01C-9ACE85FB6F8C}"/>
            </c:ext>
          </c:extLst>
        </c:ser>
        <c:ser>
          <c:idx val="3"/>
          <c:order val="1"/>
          <c:tx>
            <c:strRef>
              <c:f>'Figure 2'!$C$1</c:f>
              <c:strCache>
                <c:ptCount val="1"/>
                <c:pt idx="0">
                  <c:v> Remaining projection </c:v>
                </c:pt>
              </c:strCache>
            </c:strRef>
          </c:tx>
          <c:invertIfNegative val="0"/>
          <c:cat>
            <c:strRef>
              <c:f>'Figure 2'!$A$2:$A$10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2'!$C$2:$C$10</c:f>
              <c:numCache>
                <c:formatCode>#,##0</c:formatCode>
                <c:ptCount val="9"/>
                <c:pt idx="0">
                  <c:v>7707.9182285805946</c:v>
                </c:pt>
                <c:pt idx="1">
                  <c:v>7387.5862312012032</c:v>
                </c:pt>
                <c:pt idx="2">
                  <c:v>9764.8808472806759</c:v>
                </c:pt>
                <c:pt idx="3">
                  <c:v>8418.5627875481259</c:v>
                </c:pt>
                <c:pt idx="4">
                  <c:v>9303.2347445819032</c:v>
                </c:pt>
                <c:pt idx="5">
                  <c:v>8431.2142349152564</c:v>
                </c:pt>
                <c:pt idx="6">
                  <c:v>8499.9721154189465</c:v>
                </c:pt>
                <c:pt idx="7">
                  <c:v>9778.7571829754834</c:v>
                </c:pt>
                <c:pt idx="8">
                  <c:v>9905.4419681754407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C-40DD-B01C-9ACE85FB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4"/>
          <c:order val="2"/>
          <c:tx>
            <c:strRef>
              <c:f>'Figure 2'!$E$1</c:f>
              <c:strCache>
                <c:ptCount val="1"/>
                <c:pt idx="0">
                  <c:v> Meal price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2'!$A$2:$A$10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2'!$E$2:$E$10</c:f>
              <c:numCache>
                <c:formatCode>_(* #,##0_);_(* \(#,##0\);_(* "-"??_);_(@_)</c:formatCode>
                <c:ptCount val="9"/>
                <c:pt idx="0">
                  <c:v>324.55916666666667</c:v>
                </c:pt>
                <c:pt idx="1">
                  <c:v>316.88416666666666</c:v>
                </c:pt>
                <c:pt idx="2">
                  <c:v>345.02250000000004</c:v>
                </c:pt>
                <c:pt idx="3">
                  <c:v>308.28249999999997</c:v>
                </c:pt>
                <c:pt idx="4">
                  <c:v>299.50083333333328</c:v>
                </c:pt>
                <c:pt idx="5">
                  <c:v>392.31</c:v>
                </c:pt>
                <c:pt idx="6">
                  <c:v>439.54958333333337</c:v>
                </c:pt>
                <c:pt idx="7">
                  <c:v>451.90875</c:v>
                </c:pt>
                <c:pt idx="8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5C-40DD-B01C-9ACE85FB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072671"/>
        <c:axId val="1575778447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021511150237731"/>
              <c:y val="0.85134020858012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short</a:t>
                </a:r>
                <a:r>
                  <a:rPr lang="en-US" sz="900" baseline="0"/>
                  <a:t>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575778447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/>
                  <a:t>Dollars per short ton</a:t>
                </a:r>
              </a:p>
            </c:rich>
          </c:tx>
          <c:layout>
            <c:manualLayout>
              <c:xMode val="edge"/>
              <c:yMode val="edge"/>
              <c:x val="0.88273601860661799"/>
              <c:y val="0.11985545645656849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88072671"/>
        <c:crosses val="max"/>
        <c:crossBetween val="between"/>
      </c:valAx>
      <c:catAx>
        <c:axId val="788072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5778447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9395617888391925"/>
          <c:y val="8.842905300344564E-2"/>
          <c:w val="0.63078559368634446"/>
          <c:h val="4.7048753861519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Difference between China's official import statistics and shipments from major exporters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138848651500325E-2"/>
          <c:y val="2.3943128002690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63909631174287E-2"/>
          <c:y val="0.2494549419860175"/>
          <c:w val="0.92023462434928072"/>
          <c:h val="0.537327116120794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3'!$B$2</c:f>
              <c:strCache>
                <c:ptCount val="1"/>
                <c:pt idx="0">
                  <c:v>Reported exports to China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3'!$A$3:$A$8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 3'!$D$3:$D$8</c:f>
              <c:numCache>
                <c:formatCode>General</c:formatCode>
                <c:ptCount val="6"/>
                <c:pt idx="0">
                  <c:v>0</c:v>
                </c:pt>
                <c:pt idx="1">
                  <c:v>-1</c:v>
                </c:pt>
                <c:pt idx="2">
                  <c:v>-3</c:v>
                </c:pt>
                <c:pt idx="3">
                  <c:v>3</c:v>
                </c:pt>
                <c:pt idx="4">
                  <c:v>-2</c:v>
                </c:pt>
                <c:pt idx="5">
                  <c:v>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F-4043-B605-A47B2DA7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Calendar year</a:t>
                </a:r>
                <a:endParaRPr lang="en-US" sz="9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429634247895804"/>
              <c:y val="0.881782589056087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metric tons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724501773879277E-2"/>
              <c:y val="0.1499843018685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Brazil's soybean monthly exports and price spread compared with the United States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138848651500325E-2"/>
          <c:y val="2.3943128002690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56054325638E-2"/>
          <c:y val="0.31381389576397278"/>
          <c:w val="0.86073052634292535"/>
          <c:h val="0.4056840482545676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4'!$B$1</c:f>
              <c:strCache>
                <c:ptCount val="1"/>
                <c:pt idx="0">
                  <c:v>2022/23 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'Figure 4'!$B$2:$B$13</c:f>
              <c:numCache>
                <c:formatCode>0</c:formatCode>
                <c:ptCount val="12"/>
                <c:pt idx="0">
                  <c:v>3.7982324219999999</c:v>
                </c:pt>
                <c:pt idx="1">
                  <c:v>2.5249117879999998</c:v>
                </c:pt>
                <c:pt idx="2">
                  <c:v>1.9359600910000001</c:v>
                </c:pt>
                <c:pt idx="3">
                  <c:v>0.83958874299999997</c:v>
                </c:pt>
                <c:pt idx="4">
                  <c:v>5.016935589</c:v>
                </c:pt>
                <c:pt idx="5">
                  <c:v>13.241396236</c:v>
                </c:pt>
                <c:pt idx="6">
                  <c:v>14.336464478</c:v>
                </c:pt>
                <c:pt idx="7">
                  <c:v>15.584238723</c:v>
                </c:pt>
                <c:pt idx="8">
                  <c:v>13.745336738000001</c:v>
                </c:pt>
                <c:pt idx="9">
                  <c:v>9.6959327460000004</c:v>
                </c:pt>
                <c:pt idx="10">
                  <c:v>8.3869512739999994</c:v>
                </c:pt>
                <c:pt idx="11">
                  <c:v>6.3980783130000001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E-459D-A216-65C84993CA97}"/>
            </c:ext>
          </c:extLst>
        </c:ser>
        <c:ser>
          <c:idx val="0"/>
          <c:order val="1"/>
          <c:tx>
            <c:strRef>
              <c:f>'Figure 4'!$C$1</c:f>
              <c:strCache>
                <c:ptCount val="1"/>
                <c:pt idx="0">
                  <c:v>2023/24 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</c:strCache>
            </c:strRef>
          </c:cat>
          <c:val>
            <c:numRef>
              <c:f>'Figure 4'!$C$2:$C$6</c:f>
              <c:numCache>
                <c:formatCode>0</c:formatCode>
                <c:ptCount val="5"/>
                <c:pt idx="0">
                  <c:v>5.6000552649999999</c:v>
                </c:pt>
                <c:pt idx="1">
                  <c:v>5.1961901819999996</c:v>
                </c:pt>
                <c:pt idx="2">
                  <c:v>3.8287221759999999</c:v>
                </c:pt>
                <c:pt idx="3">
                  <c:v>2.8548858319999999</c:v>
                </c:pt>
                <c:pt idx="4">
                  <c:v>6.6095478639999996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E-459D-A216-65C84993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1"/>
          <c:order val="2"/>
          <c:tx>
            <c:strRef>
              <c:f>'Figure 4'!$D$1</c:f>
              <c:strCache>
                <c:ptCount val="1"/>
                <c:pt idx="0">
                  <c:v>2022/23 Price spread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4'!$D$2:$D$13</c:f>
              <c:numCache>
                <c:formatCode>0</c:formatCode>
                <c:ptCount val="12"/>
                <c:pt idx="0">
                  <c:v>5.5099999999999909</c:v>
                </c:pt>
                <c:pt idx="1">
                  <c:v>4.2799999999999727</c:v>
                </c:pt>
                <c:pt idx="2">
                  <c:v>-12</c:v>
                </c:pt>
                <c:pt idx="3">
                  <c:v>-16.829999999999927</c:v>
                </c:pt>
                <c:pt idx="4">
                  <c:v>-34.760000000000105</c:v>
                </c:pt>
                <c:pt idx="5">
                  <c:v>-55.419999999999959</c:v>
                </c:pt>
                <c:pt idx="6">
                  <c:v>-90.920000000000016</c:v>
                </c:pt>
                <c:pt idx="7">
                  <c:v>-62.830000000000041</c:v>
                </c:pt>
                <c:pt idx="8">
                  <c:v>-67.230000000000018</c:v>
                </c:pt>
                <c:pt idx="9">
                  <c:v>-58.269999999999982</c:v>
                </c:pt>
                <c:pt idx="10">
                  <c:v>-20.419999999999959</c:v>
                </c:pt>
                <c:pt idx="11">
                  <c:v>-16.25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3-41F6-BACA-F12A0813C585}"/>
            </c:ext>
          </c:extLst>
        </c:ser>
        <c:ser>
          <c:idx val="3"/>
          <c:order val="3"/>
          <c:tx>
            <c:strRef>
              <c:f>'Figure 4'!$E$1</c:f>
              <c:strCache>
                <c:ptCount val="1"/>
                <c:pt idx="0">
                  <c:v>2023/24 Price spread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'Figure 4'!$E$2:$E$13</c:f>
              <c:numCache>
                <c:formatCode>0</c:formatCode>
                <c:ptCount val="12"/>
                <c:pt idx="0">
                  <c:v>-18.449999999999989</c:v>
                </c:pt>
                <c:pt idx="1">
                  <c:v>-15.160000000000025</c:v>
                </c:pt>
                <c:pt idx="2">
                  <c:v>-11.449999999999989</c:v>
                </c:pt>
                <c:pt idx="3">
                  <c:v>-46.430000000000007</c:v>
                </c:pt>
                <c:pt idx="4">
                  <c:v>-57.720000000000027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3-41F6-BACA-F12A0813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821920"/>
        <c:axId val="1193872287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 (MY)</a:t>
                </a:r>
                <a:endParaRPr lang="en-US" sz="9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206493013091959"/>
              <c:y val="0.84082694200787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metric tons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7410390547631419E-3"/>
              <c:y val="0.22897022814766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119387228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Brazil-U.S. spread</a:t>
                </a:r>
              </a:p>
              <a:p>
                <a:pPr algn="r">
                  <a:defRPr/>
                </a:pP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(dollars per metric ton)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3590475569421663"/>
              <c:y val="0.18986982318636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01821920"/>
        <c:crosses val="max"/>
        <c:crossBetween val="between"/>
      </c:valAx>
      <c:catAx>
        <c:axId val="1601821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93872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061125084410163"/>
          <c:y val="0.13811142051850664"/>
          <c:w val="0.58756291352896195"/>
          <c:h val="0.11827568867878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356871</xdr:colOff>
      <xdr:row>0</xdr:row>
      <xdr:rowOff>0</xdr:rowOff>
    </xdr:from>
    <xdr:to>
      <xdr:col>19</xdr:col>
      <xdr:colOff>118533</xdr:colOff>
      <xdr:row>23</xdr:row>
      <xdr:rowOff>67733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338A73-7B9D-46A4-990E-A5027B3C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0.87107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03363"/>
          <a:ext cx="6136734" cy="47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Stocks for the United States as of September 1 and stocks for Argentina,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Brazil, and China as of October 1.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356235</xdr:colOff>
      <xdr:row>0</xdr:row>
      <xdr:rowOff>0</xdr:rowOff>
    </xdr:from>
    <xdr:to>
      <xdr:col>15</xdr:col>
      <xdr:colOff>152400</xdr:colOff>
      <xdr:row>22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7E9ADE6-2A79-49F5-A975-3B31265A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0.88274</cdr:y>
    </cdr:from>
    <cdr:to>
      <cdr:x>1</cdr:x>
      <cdr:y>0.98895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00475"/>
          <a:ext cx="6006465" cy="457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 forecast.</a:t>
          </a:r>
          <a:endParaRPr lang="en-US" sz="8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 World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Outlook Board, March 2024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Estimates.</a:t>
          </a:r>
          <a:endParaRPr lang="en-US" sz="8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275168</xdr:colOff>
      <xdr:row>0</xdr:row>
      <xdr:rowOff>93133</xdr:rowOff>
    </xdr:from>
    <xdr:to>
      <xdr:col>15</xdr:col>
      <xdr:colOff>194733</xdr:colOff>
      <xdr:row>22</xdr:row>
      <xdr:rowOff>126999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5348074B-CDC3-43B7-969A-8727FE9E1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0.91468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970866"/>
          <a:ext cx="6709832" cy="37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Shipments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major exporters (i.e. Argentina, Brazil, and the United States) are lagged to account for time of delivery.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Trade Data Monitor, LLC.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10584</xdr:colOff>
      <xdr:row>0</xdr:row>
      <xdr:rowOff>2117</xdr:rowOff>
    </xdr:from>
    <xdr:to>
      <xdr:col>18</xdr:col>
      <xdr:colOff>66676</xdr:colOff>
      <xdr:row>24</xdr:row>
      <xdr:rowOff>7831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A8AB2478-18C7-494C-AC03-59DA8137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0.88413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4129616"/>
          <a:ext cx="7574492" cy="541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Spread between Paranaguá, Brazil free-on-board (FOB) price and U.S. Gulf FOB price.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Trade Data Monitor, LLC and International Grains Council.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85"/>
      <c r="C1" s="8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5"/>
    </row>
    <row r="5" spans="1:3">
      <c r="A5" s="10" t="s">
        <v>3</v>
      </c>
      <c r="B5" s="4"/>
      <c r="C5" s="85"/>
    </row>
    <row r="6" spans="1:3">
      <c r="A6" s="10" t="s">
        <v>4</v>
      </c>
      <c r="B6" s="4"/>
      <c r="C6" s="85"/>
    </row>
    <row r="7" spans="1:3">
      <c r="A7" s="10" t="s">
        <v>5</v>
      </c>
      <c r="B7" s="4"/>
      <c r="C7" s="85"/>
    </row>
    <row r="8" spans="1:3">
      <c r="A8" s="10" t="s">
        <v>6</v>
      </c>
      <c r="B8" s="4"/>
      <c r="C8" s="85"/>
    </row>
    <row r="9" spans="1:3">
      <c r="A9" s="10" t="s">
        <v>7</v>
      </c>
      <c r="B9" s="4"/>
      <c r="C9" s="85"/>
    </row>
    <row r="10" spans="1:3">
      <c r="A10" s="10" t="s">
        <v>8</v>
      </c>
      <c r="B10" s="4"/>
      <c r="C10" s="85"/>
    </row>
    <row r="11" spans="1:3">
      <c r="A11" s="10" t="s">
        <v>9</v>
      </c>
      <c r="B11" s="4"/>
      <c r="C11" s="85"/>
    </row>
    <row r="12" spans="1:3">
      <c r="A12" s="10" t="s">
        <v>10</v>
      </c>
      <c r="B12" s="4"/>
      <c r="C12" s="85"/>
    </row>
    <row r="13" spans="1:3">
      <c r="A13" s="11" t="s">
        <v>11</v>
      </c>
      <c r="B13" s="4"/>
      <c r="C13" s="85"/>
    </row>
    <row r="14" spans="1:3" ht="13.2">
      <c r="A14" s="85"/>
      <c r="B14" s="85"/>
      <c r="C14" s="85"/>
    </row>
    <row r="15" spans="1:3">
      <c r="A15" s="7" t="s">
        <v>12</v>
      </c>
      <c r="B15" s="85"/>
      <c r="C15" s="85"/>
    </row>
    <row r="16" spans="1:3">
      <c r="A16" s="9">
        <v>45363</v>
      </c>
      <c r="B16" s="85"/>
      <c r="C16" s="8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BB43-873E-46D3-987E-ADBB9C51E018}">
  <dimension ref="A1:K24"/>
  <sheetViews>
    <sheetView workbookViewId="0"/>
  </sheetViews>
  <sheetFormatPr defaultColWidth="8.88671875" defaultRowHeight="13.2"/>
  <cols>
    <col min="1" max="1" width="23.33203125" style="138" customWidth="1"/>
    <col min="2" max="2" width="24.109375" style="138" bestFit="1" customWidth="1"/>
    <col min="3" max="3" width="27.44140625" style="138" bestFit="1" customWidth="1"/>
    <col min="4" max="4" width="28.109375" style="138" bestFit="1" customWidth="1"/>
    <col min="5" max="5" width="22" style="138" bestFit="1" customWidth="1"/>
    <col min="6" max="9" width="8.88671875" style="138"/>
    <col min="10" max="10" width="11.5546875" style="138" bestFit="1" customWidth="1"/>
    <col min="11" max="11" width="10.6640625" style="138" bestFit="1" customWidth="1"/>
    <col min="12" max="16384" width="8.88671875" style="138"/>
  </cols>
  <sheetData>
    <row r="1" spans="1:5" ht="13.8">
      <c r="A1" s="132" t="s">
        <v>161</v>
      </c>
      <c r="B1" s="133" t="s">
        <v>169</v>
      </c>
      <c r="C1" s="133" t="s">
        <v>170</v>
      </c>
      <c r="D1" s="133" t="s">
        <v>159</v>
      </c>
      <c r="E1" s="133" t="s">
        <v>160</v>
      </c>
    </row>
    <row r="2" spans="1:5" ht="15">
      <c r="A2" s="144" t="s">
        <v>115</v>
      </c>
      <c r="B2" s="136">
        <v>4244.5903540781546</v>
      </c>
      <c r="C2" s="149">
        <f>D2-B2</f>
        <v>7707.9182285805946</v>
      </c>
      <c r="D2" s="135">
        <v>11952.508582658749</v>
      </c>
      <c r="E2" s="135">
        <v>324.55916666666667</v>
      </c>
    </row>
    <row r="3" spans="1:5" ht="15">
      <c r="A3" s="144" t="s">
        <v>116</v>
      </c>
      <c r="B3" s="136">
        <v>4192.245007131316</v>
      </c>
      <c r="C3" s="149">
        <f t="shared" ref="C3:C10" si="0">D3-B3</f>
        <v>7387.5862312012032</v>
      </c>
      <c r="D3" s="135">
        <v>11579.831238332519</v>
      </c>
      <c r="E3" s="135">
        <v>316.88416666666666</v>
      </c>
    </row>
    <row r="4" spans="1:5" ht="15">
      <c r="A4" s="144" t="s">
        <v>117</v>
      </c>
      <c r="B4" s="136">
        <v>4253.6155279287796</v>
      </c>
      <c r="C4" s="149">
        <f t="shared" si="0"/>
        <v>9764.8808472806759</v>
      </c>
      <c r="D4" s="135">
        <v>14018.496375209455</v>
      </c>
      <c r="E4" s="135">
        <v>345.02250000000004</v>
      </c>
    </row>
    <row r="5" spans="1:5" ht="15">
      <c r="A5" s="144" t="s">
        <v>118</v>
      </c>
      <c r="B5" s="136">
        <v>4964.19295613753</v>
      </c>
      <c r="C5" s="149">
        <f t="shared" si="0"/>
        <v>8418.5627875481259</v>
      </c>
      <c r="D5" s="135">
        <v>13382.755743685655</v>
      </c>
      <c r="E5" s="135">
        <v>308.28249999999997</v>
      </c>
    </row>
    <row r="6" spans="1:5" ht="15">
      <c r="A6" s="144" t="s">
        <v>119</v>
      </c>
      <c r="B6" s="136">
        <v>4529.876788440979</v>
      </c>
      <c r="C6" s="149">
        <f t="shared" si="0"/>
        <v>9303.2347445819032</v>
      </c>
      <c r="D6" s="135">
        <v>13833.111533022882</v>
      </c>
      <c r="E6" s="135">
        <v>299.50083333333328</v>
      </c>
    </row>
    <row r="7" spans="1:5" ht="15">
      <c r="A7" s="144" t="s">
        <v>120</v>
      </c>
      <c r="B7" s="136">
        <v>5244.1501562410285</v>
      </c>
      <c r="C7" s="149">
        <f t="shared" si="0"/>
        <v>8431.2142349152564</v>
      </c>
      <c r="D7" s="135">
        <v>13675.364391156285</v>
      </c>
      <c r="E7" s="135">
        <v>392.31</v>
      </c>
    </row>
    <row r="8" spans="1:5" ht="15">
      <c r="A8" s="144" t="s">
        <v>34</v>
      </c>
      <c r="B8" s="136">
        <v>5040.1557638256427</v>
      </c>
      <c r="C8" s="149">
        <f t="shared" si="0"/>
        <v>8499.9721154189465</v>
      </c>
      <c r="D8" s="135">
        <v>13540.12787924459</v>
      </c>
      <c r="E8" s="135">
        <v>439.54958333333337</v>
      </c>
    </row>
    <row r="9" spans="1:5" ht="15">
      <c r="A9" s="144" t="s">
        <v>37</v>
      </c>
      <c r="B9" s="136">
        <v>4884.7510334927956</v>
      </c>
      <c r="C9" s="149">
        <f t="shared" si="0"/>
        <v>9778.7571829754834</v>
      </c>
      <c r="D9" s="135">
        <v>14663.508216468279</v>
      </c>
      <c r="E9" s="135">
        <v>451.90875</v>
      </c>
    </row>
    <row r="10" spans="1:5" ht="15">
      <c r="A10" s="144" t="s">
        <v>158</v>
      </c>
      <c r="B10" s="136">
        <v>5894.5580318245602</v>
      </c>
      <c r="C10" s="149">
        <f t="shared" si="0"/>
        <v>9905.4419681754407</v>
      </c>
      <c r="D10" s="135">
        <v>15800</v>
      </c>
      <c r="E10" s="135">
        <v>380</v>
      </c>
    </row>
    <row r="11" spans="1:5" ht="13.8">
      <c r="A11" s="134"/>
      <c r="B11" s="136"/>
      <c r="C11" s="136"/>
      <c r="D11" s="136"/>
      <c r="E11" s="136"/>
    </row>
    <row r="12" spans="1:5" ht="13.8">
      <c r="A12" s="134"/>
      <c r="B12" s="136"/>
      <c r="C12" s="136"/>
      <c r="D12" s="136"/>
      <c r="E12" s="136"/>
    </row>
    <row r="13" spans="1:5" ht="13.8">
      <c r="A13" s="134"/>
      <c r="B13" s="139"/>
      <c r="C13" s="139"/>
      <c r="D13" s="148"/>
      <c r="E13" s="139"/>
    </row>
    <row r="14" spans="1:5">
      <c r="B14" s="140"/>
      <c r="C14" s="140"/>
      <c r="D14" s="140"/>
      <c r="E14" s="141"/>
    </row>
    <row r="15" spans="1:5">
      <c r="B15" s="140"/>
      <c r="C15" s="140"/>
      <c r="D15" s="140"/>
      <c r="E15" s="141"/>
    </row>
    <row r="16" spans="1:5">
      <c r="B16" s="140"/>
      <c r="C16" s="140"/>
      <c r="D16" s="140"/>
      <c r="E16" s="140"/>
    </row>
    <row r="19" spans="10:11">
      <c r="J19" s="137"/>
      <c r="K19" s="142"/>
    </row>
    <row r="20" spans="10:11">
      <c r="J20" s="137"/>
      <c r="K20" s="142"/>
    </row>
    <row r="21" spans="10:11">
      <c r="J21" s="137"/>
      <c r="K21" s="142"/>
    </row>
    <row r="22" spans="10:11">
      <c r="J22" s="137"/>
      <c r="K22" s="142"/>
    </row>
    <row r="23" spans="10:11">
      <c r="J23" s="137"/>
      <c r="K23" s="142"/>
    </row>
    <row r="24" spans="10:11">
      <c r="J24" s="137"/>
    </row>
  </sheetData>
  <phoneticPr fontId="40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C4AB-76CE-4A3A-AA11-8B961D01FBE3}">
  <dimension ref="A1:N40"/>
  <sheetViews>
    <sheetView zoomScale="90" zoomScaleNormal="90" workbookViewId="0">
      <selection activeCell="I29" sqref="I29"/>
    </sheetView>
  </sheetViews>
  <sheetFormatPr defaultColWidth="9.109375" defaultRowHeight="13.8"/>
  <cols>
    <col min="1" max="1" width="15.44140625" style="15" customWidth="1"/>
    <col min="2" max="2" width="20" style="15" customWidth="1"/>
    <col min="3" max="3" width="22" style="15" customWidth="1"/>
    <col min="4" max="4" width="14.88671875" style="15" customWidth="1"/>
    <col min="5" max="6" width="10.33203125" style="15" bestFit="1" customWidth="1"/>
    <col min="7" max="7" width="10.6640625" style="15" bestFit="1" customWidth="1"/>
    <col min="8" max="8" width="9.109375" style="15"/>
    <col min="9" max="9" width="10.109375" style="15" bestFit="1" customWidth="1"/>
    <col min="10" max="16384" width="9.109375" style="15"/>
  </cols>
  <sheetData>
    <row r="1" spans="1:5">
      <c r="A1" s="31" t="s">
        <v>175</v>
      </c>
    </row>
    <row r="2" spans="1:5" ht="45" customHeight="1" thickBot="1">
      <c r="A2" s="115" t="s">
        <v>172</v>
      </c>
      <c r="B2" s="115" t="s">
        <v>173</v>
      </c>
      <c r="C2" s="115" t="s">
        <v>174</v>
      </c>
      <c r="D2" s="115" t="s">
        <v>171</v>
      </c>
    </row>
    <row r="3" spans="1:5">
      <c r="A3" s="79">
        <v>2018</v>
      </c>
      <c r="B3" s="79">
        <v>84</v>
      </c>
      <c r="C3" s="20">
        <v>84</v>
      </c>
      <c r="D3" s="161">
        <f>C3-B3</f>
        <v>0</v>
      </c>
      <c r="E3" s="173"/>
    </row>
    <row r="4" spans="1:5">
      <c r="A4" s="79">
        <v>2019</v>
      </c>
      <c r="B4" s="79">
        <v>84</v>
      </c>
      <c r="C4" s="20">
        <v>83</v>
      </c>
      <c r="D4" s="161">
        <f t="shared" ref="D4:D8" si="0">C4-B4</f>
        <v>-1</v>
      </c>
      <c r="E4" s="173"/>
    </row>
    <row r="5" spans="1:5">
      <c r="A5" s="79">
        <v>2020</v>
      </c>
      <c r="B5" s="79">
        <v>101</v>
      </c>
      <c r="C5" s="20">
        <v>98</v>
      </c>
      <c r="D5" s="161">
        <f t="shared" si="0"/>
        <v>-3</v>
      </c>
      <c r="E5" s="173"/>
    </row>
    <row r="6" spans="1:5">
      <c r="A6" s="79">
        <v>2021</v>
      </c>
      <c r="B6" s="79">
        <v>91</v>
      </c>
      <c r="C6" s="20">
        <v>94</v>
      </c>
      <c r="D6" s="161">
        <f t="shared" si="0"/>
        <v>3</v>
      </c>
      <c r="E6" s="173"/>
    </row>
    <row r="7" spans="1:5">
      <c r="A7" s="79">
        <v>2022</v>
      </c>
      <c r="B7" s="79">
        <v>88</v>
      </c>
      <c r="C7" s="20">
        <v>86</v>
      </c>
      <c r="D7" s="161">
        <f t="shared" si="0"/>
        <v>-2</v>
      </c>
      <c r="E7" s="173"/>
    </row>
    <row r="8" spans="1:5">
      <c r="A8" s="79">
        <v>2023</v>
      </c>
      <c r="B8" s="79">
        <v>104</v>
      </c>
      <c r="C8" s="20">
        <v>96</v>
      </c>
      <c r="D8" s="161">
        <f t="shared" si="0"/>
        <v>-8</v>
      </c>
      <c r="E8" s="173"/>
    </row>
    <row r="9" spans="1:5">
      <c r="A9" s="160"/>
      <c r="B9" s="160"/>
      <c r="C9" s="20"/>
      <c r="D9" s="161"/>
      <c r="E9" s="162"/>
    </row>
    <row r="10" spans="1:5">
      <c r="A10" s="160"/>
      <c r="B10" s="79"/>
      <c r="C10" s="79"/>
      <c r="D10" s="79"/>
      <c r="E10" s="162"/>
    </row>
    <row r="11" spans="1:5">
      <c r="A11" s="160"/>
      <c r="B11" s="79"/>
      <c r="C11" s="79"/>
      <c r="D11" s="79"/>
      <c r="E11" s="162"/>
    </row>
    <row r="12" spans="1:5">
      <c r="A12" s="160"/>
      <c r="B12" s="79"/>
      <c r="C12" s="79"/>
      <c r="D12" s="79"/>
      <c r="E12" s="162"/>
    </row>
    <row r="13" spans="1:5">
      <c r="A13" s="160"/>
      <c r="B13" s="79"/>
      <c r="C13" s="79"/>
      <c r="D13" s="79"/>
      <c r="E13" s="162"/>
    </row>
    <row r="14" spans="1:5">
      <c r="A14" s="160"/>
      <c r="B14" s="79"/>
      <c r="C14" s="79"/>
      <c r="D14" s="79"/>
      <c r="E14" s="162"/>
    </row>
    <row r="15" spans="1:5">
      <c r="A15" s="160"/>
      <c r="B15" s="79"/>
      <c r="C15" s="79"/>
      <c r="D15" s="79"/>
      <c r="E15" s="162"/>
    </row>
    <row r="16" spans="1:5">
      <c r="A16" s="160"/>
      <c r="B16" s="79"/>
      <c r="C16" s="20"/>
      <c r="D16" s="20"/>
      <c r="E16" s="162"/>
    </row>
    <row r="17" spans="1:5">
      <c r="A17" s="160"/>
      <c r="B17" s="79"/>
      <c r="C17" s="20"/>
      <c r="D17" s="20"/>
      <c r="E17" s="162"/>
    </row>
    <row r="18" spans="1:5">
      <c r="A18" s="160"/>
      <c r="B18" s="160"/>
      <c r="C18" s="20"/>
      <c r="D18" s="20"/>
      <c r="E18" s="162"/>
    </row>
    <row r="19" spans="1:5">
      <c r="A19" s="160"/>
      <c r="B19" s="160"/>
      <c r="C19" s="20"/>
      <c r="D19" s="20"/>
      <c r="E19" s="162"/>
    </row>
    <row r="20" spans="1:5">
      <c r="A20" s="108"/>
      <c r="B20" s="108"/>
      <c r="D20" s="108"/>
    </row>
    <row r="36" spans="2:14" ht="15.6">
      <c r="B36" s="175"/>
      <c r="C36" s="175"/>
      <c r="D36" s="175"/>
      <c r="E36" s="175"/>
      <c r="F36" s="175"/>
      <c r="G36" s="175"/>
      <c r="I36" s="175"/>
      <c r="J36" s="175"/>
      <c r="K36" s="175"/>
      <c r="L36" s="175"/>
      <c r="M36" s="175"/>
      <c r="N36" s="175"/>
    </row>
    <row r="37" spans="2:14" ht="15.6">
      <c r="B37" s="175"/>
      <c r="C37" s="175"/>
      <c r="D37" s="175"/>
      <c r="E37" s="175"/>
      <c r="F37" s="175"/>
      <c r="G37" s="175"/>
      <c r="I37" s="175"/>
      <c r="J37" s="175"/>
      <c r="K37" s="175"/>
      <c r="L37" s="175"/>
      <c r="M37" s="175"/>
      <c r="N37" s="175"/>
    </row>
    <row r="38" spans="2:14" ht="15.6">
      <c r="B38" s="175"/>
      <c r="C38" s="175"/>
      <c r="D38" s="175"/>
      <c r="E38" s="175"/>
      <c r="F38" s="175"/>
      <c r="G38" s="175"/>
      <c r="I38" s="175"/>
      <c r="J38" s="175"/>
      <c r="K38" s="175"/>
      <c r="L38" s="175"/>
      <c r="M38" s="175"/>
      <c r="N38" s="175"/>
    </row>
    <row r="40" spans="2:14">
      <c r="B40" s="174"/>
      <c r="C40" s="174"/>
      <c r="D40" s="174"/>
      <c r="E40" s="174"/>
      <c r="F40" s="174"/>
      <c r="G40" s="174"/>
      <c r="I40" s="174"/>
      <c r="J40" s="174"/>
      <c r="K40" s="174"/>
      <c r="L40" s="174"/>
      <c r="M40" s="174"/>
      <c r="N40" s="17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A77B-5040-42F7-BB5A-680BB1DEF1DE}">
  <dimension ref="A1:H20"/>
  <sheetViews>
    <sheetView zoomScale="90" zoomScaleNormal="90" workbookViewId="0"/>
  </sheetViews>
  <sheetFormatPr defaultColWidth="9.109375" defaultRowHeight="13.8"/>
  <cols>
    <col min="1" max="1" width="15.44140625" style="15" customWidth="1"/>
    <col min="2" max="2" width="19.77734375" style="15" customWidth="1"/>
    <col min="3" max="3" width="17.6640625" style="15" customWidth="1"/>
    <col min="4" max="4" width="21.44140625" customWidth="1"/>
    <col min="5" max="5" width="20" customWidth="1"/>
    <col min="6" max="16384" width="9.109375" style="15"/>
  </cols>
  <sheetData>
    <row r="1" spans="1:8" ht="45" customHeight="1" thickBot="1">
      <c r="A1" s="177" t="s">
        <v>176</v>
      </c>
      <c r="B1" s="177" t="s">
        <v>177</v>
      </c>
      <c r="C1" s="177" t="s">
        <v>178</v>
      </c>
      <c r="D1" s="177" t="s">
        <v>179</v>
      </c>
      <c r="E1" s="177" t="s">
        <v>180</v>
      </c>
    </row>
    <row r="2" spans="1:8">
      <c r="A2" s="15" t="s">
        <v>39</v>
      </c>
      <c r="B2" s="174">
        <v>3.7982324219999999</v>
      </c>
      <c r="C2" s="174">
        <v>5.6000552649999999</v>
      </c>
      <c r="D2" s="176">
        <v>5.5099999999999909</v>
      </c>
      <c r="E2" s="176">
        <v>-18.449999999999989</v>
      </c>
      <c r="F2" s="162"/>
      <c r="G2" s="62"/>
      <c r="H2" s="162"/>
    </row>
    <row r="3" spans="1:8">
      <c r="A3" s="15" t="s">
        <v>40</v>
      </c>
      <c r="B3" s="174">
        <v>2.5249117879999998</v>
      </c>
      <c r="C3" s="174">
        <v>5.1961901819999996</v>
      </c>
      <c r="D3" s="176">
        <v>4.2799999999999727</v>
      </c>
      <c r="E3" s="176">
        <v>-15.160000000000025</v>
      </c>
      <c r="F3" s="162"/>
      <c r="G3" s="62"/>
      <c r="H3" s="162"/>
    </row>
    <row r="4" spans="1:8">
      <c r="A4" s="15" t="s">
        <v>42</v>
      </c>
      <c r="B4" s="174">
        <v>1.9359600910000001</v>
      </c>
      <c r="C4" s="174">
        <v>3.8287221759999999</v>
      </c>
      <c r="D4" s="176">
        <v>-12</v>
      </c>
      <c r="E4" s="176">
        <v>-11.449999999999989</v>
      </c>
      <c r="F4" s="162"/>
      <c r="G4" s="62"/>
      <c r="H4" s="162"/>
    </row>
    <row r="5" spans="1:8">
      <c r="A5" s="15" t="s">
        <v>43</v>
      </c>
      <c r="B5" s="174">
        <v>0.83958874299999997</v>
      </c>
      <c r="C5" s="174">
        <v>2.8548858319999999</v>
      </c>
      <c r="D5" s="176">
        <v>-16.829999999999927</v>
      </c>
      <c r="E5" s="176">
        <v>-46.430000000000007</v>
      </c>
      <c r="F5" s="162"/>
      <c r="G5" s="62"/>
      <c r="H5" s="162"/>
    </row>
    <row r="6" spans="1:8">
      <c r="A6" s="15" t="s">
        <v>44</v>
      </c>
      <c r="B6" s="174">
        <v>5.016935589</v>
      </c>
      <c r="C6" s="174">
        <v>6.6095478639999996</v>
      </c>
      <c r="D6" s="176">
        <v>-34.760000000000105</v>
      </c>
      <c r="E6" s="176">
        <v>-57.720000000000027</v>
      </c>
      <c r="F6" s="162"/>
      <c r="G6" s="62"/>
      <c r="H6" s="162"/>
    </row>
    <row r="7" spans="1:8">
      <c r="A7" s="15" t="s">
        <v>46</v>
      </c>
      <c r="B7" s="174">
        <v>13.241396236</v>
      </c>
      <c r="C7" s="174"/>
      <c r="D7" s="176">
        <v>-55.419999999999959</v>
      </c>
      <c r="E7" s="176"/>
      <c r="F7" s="162"/>
      <c r="G7" s="62"/>
      <c r="H7" s="162"/>
    </row>
    <row r="8" spans="1:8">
      <c r="A8" s="15" t="s">
        <v>47</v>
      </c>
      <c r="B8" s="174">
        <v>14.336464478</v>
      </c>
      <c r="C8" s="174"/>
      <c r="D8" s="176">
        <v>-90.920000000000016</v>
      </c>
      <c r="E8" s="176"/>
      <c r="F8" s="162"/>
      <c r="G8" s="62"/>
      <c r="H8" s="162"/>
    </row>
    <row r="9" spans="1:8">
      <c r="A9" s="15" t="s">
        <v>48</v>
      </c>
      <c r="B9" s="174">
        <v>15.584238723</v>
      </c>
      <c r="C9" s="174"/>
      <c r="D9" s="176">
        <v>-62.830000000000041</v>
      </c>
      <c r="E9" s="176"/>
      <c r="F9" s="162"/>
      <c r="G9" s="62"/>
      <c r="H9" s="162"/>
    </row>
    <row r="10" spans="1:8">
      <c r="A10" s="15" t="s">
        <v>50</v>
      </c>
      <c r="B10" s="174">
        <v>13.745336738000001</v>
      </c>
      <c r="C10" s="174"/>
      <c r="D10" s="176">
        <v>-67.230000000000018</v>
      </c>
      <c r="E10" s="176"/>
      <c r="F10" s="162"/>
      <c r="G10" s="62"/>
      <c r="H10" s="162"/>
    </row>
    <row r="11" spans="1:8">
      <c r="A11" s="15" t="s">
        <v>51</v>
      </c>
      <c r="B11" s="174">
        <v>9.6959327460000004</v>
      </c>
      <c r="C11" s="174"/>
      <c r="D11" s="176">
        <v>-58.269999999999982</v>
      </c>
      <c r="E11" s="176"/>
      <c r="F11" s="162"/>
      <c r="G11" s="62"/>
      <c r="H11" s="162"/>
    </row>
    <row r="12" spans="1:8">
      <c r="A12" s="15" t="s">
        <v>52</v>
      </c>
      <c r="B12" s="174">
        <v>8.3869512739999994</v>
      </c>
      <c r="C12" s="174"/>
      <c r="D12" s="176">
        <v>-20.419999999999959</v>
      </c>
      <c r="E12" s="176"/>
      <c r="F12" s="162"/>
      <c r="G12" s="62"/>
      <c r="H12" s="162"/>
    </row>
    <row r="13" spans="1:8">
      <c r="A13" s="15" t="s">
        <v>38</v>
      </c>
      <c r="B13" s="174">
        <v>6.3980783130000001</v>
      </c>
      <c r="C13" s="174"/>
      <c r="D13" s="176">
        <v>-16.25</v>
      </c>
      <c r="E13" s="176"/>
      <c r="F13" s="162"/>
      <c r="G13" s="62"/>
      <c r="H13" s="162"/>
    </row>
    <row r="14" spans="1:8">
      <c r="A14" s="160"/>
      <c r="B14" s="20"/>
      <c r="C14" s="20"/>
      <c r="F14" s="162"/>
      <c r="G14" s="62"/>
      <c r="H14" s="162"/>
    </row>
    <row r="15" spans="1:8">
      <c r="A15" s="160"/>
      <c r="B15" s="20"/>
      <c r="C15" s="20"/>
      <c r="F15" s="162"/>
      <c r="G15" s="62"/>
      <c r="H15" s="162"/>
    </row>
    <row r="16" spans="1:8">
      <c r="A16" s="160"/>
      <c r="B16" s="20"/>
      <c r="C16" s="20"/>
      <c r="F16" s="162"/>
      <c r="G16" s="62"/>
      <c r="H16" s="162"/>
    </row>
    <row r="17" spans="1:8">
      <c r="A17" s="160"/>
      <c r="B17" s="20"/>
      <c r="C17" s="20"/>
      <c r="F17" s="162"/>
      <c r="G17" s="62"/>
      <c r="H17" s="162"/>
    </row>
    <row r="18" spans="1:8">
      <c r="A18" s="160"/>
      <c r="B18" s="20"/>
      <c r="C18" s="20"/>
      <c r="F18" s="162"/>
      <c r="G18" s="62"/>
      <c r="H18" s="162"/>
    </row>
    <row r="19" spans="1:8">
      <c r="A19" s="160"/>
      <c r="B19" s="20"/>
      <c r="C19" s="20"/>
      <c r="F19" s="162"/>
      <c r="G19" s="62"/>
      <c r="H19" s="162"/>
    </row>
    <row r="20" spans="1:8">
      <c r="A20" s="108"/>
      <c r="C20" s="108"/>
    </row>
  </sheetData>
  <phoneticPr fontId="40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1"/>
  <sheetViews>
    <sheetView showGridLines="0" zoomScale="70" zoomScaleNormal="70" workbookViewId="0">
      <selection activeCell="R38" sqref="R38"/>
    </sheetView>
  </sheetViews>
  <sheetFormatPr defaultColWidth="9.109375" defaultRowHeight="13.2"/>
  <cols>
    <col min="1" max="1" width="21.6640625" customWidth="1"/>
    <col min="2" max="2" width="14.109375" customWidth="1"/>
    <col min="3" max="3" width="9.5546875" customWidth="1"/>
    <col min="4" max="4" width="26.6640625" customWidth="1"/>
    <col min="5" max="5" width="9.6640625" customWidth="1"/>
    <col min="6" max="6" width="10.6640625" customWidth="1"/>
    <col min="7" max="7" width="19.88671875" customWidth="1"/>
    <col min="8" max="8" width="9.6640625" customWidth="1"/>
    <col min="9" max="9" width="1.6640625" customWidth="1"/>
    <col min="10" max="10" width="14.6640625" customWidth="1"/>
    <col min="11" max="12" width="10.6640625" customWidth="1"/>
    <col min="13" max="13" width="10.33203125" customWidth="1"/>
    <col min="14" max="14" width="9.6640625" customWidth="1"/>
    <col min="17" max="17" width="15.44140625" bestFit="1" customWidth="1"/>
    <col min="18" max="18" width="13.332031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45"/>
      <c r="D2" s="17" t="s">
        <v>14</v>
      </c>
      <c r="E2" s="18"/>
      <c r="F2" s="145" t="s">
        <v>15</v>
      </c>
      <c r="G2" s="145"/>
      <c r="H2" s="145"/>
      <c r="I2" s="15"/>
      <c r="J2" s="18"/>
      <c r="K2" s="145"/>
      <c r="L2" s="19" t="s">
        <v>16</v>
      </c>
      <c r="M2" s="145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47" t="s">
        <v>31</v>
      </c>
      <c r="C5" s="146"/>
      <c r="D5" s="27" t="s">
        <v>32</v>
      </c>
      <c r="G5" s="147"/>
      <c r="I5" s="147"/>
      <c r="J5" s="147" t="s">
        <v>33</v>
      </c>
      <c r="K5" s="147"/>
      <c r="L5" s="147"/>
      <c r="M5" s="147"/>
      <c r="N5" s="147"/>
      <c r="W5" s="26"/>
    </row>
    <row r="6" spans="1:23" ht="16.5" customHeight="1">
      <c r="A6" s="15" t="s">
        <v>34</v>
      </c>
      <c r="B6" s="117">
        <v>87.194999999999993</v>
      </c>
      <c r="C6" s="117">
        <v>86.292000000000002</v>
      </c>
      <c r="D6" s="117">
        <f>F6/C6</f>
        <v>51.737032401613128</v>
      </c>
      <c r="E6" s="118">
        <v>256.97899999999998</v>
      </c>
      <c r="F6" s="119">
        <v>4464.4920000000002</v>
      </c>
      <c r="G6" s="28">
        <v>15.915130131319001</v>
      </c>
      <c r="H6" s="28">
        <f>SUM(E6:G6)</f>
        <v>4737.3861301313191</v>
      </c>
      <c r="I6" s="15"/>
      <c r="J6" s="119">
        <v>2203.8727764571586</v>
      </c>
      <c r="K6" s="119">
        <f>M6-L6-J6</f>
        <v>107.00538551899945</v>
      </c>
      <c r="L6" s="28">
        <v>2152.1139681551608</v>
      </c>
      <c r="M6" s="28">
        <f>H6-N6</f>
        <v>4462.9921301313188</v>
      </c>
      <c r="N6" s="28">
        <v>274.39400000000001</v>
      </c>
    </row>
    <row r="7" spans="1:23" ht="16.5" customHeight="1">
      <c r="A7" s="15" t="s">
        <v>35</v>
      </c>
      <c r="B7" s="117">
        <v>87.45</v>
      </c>
      <c r="C7" s="117">
        <v>86.174000000000007</v>
      </c>
      <c r="D7" s="117">
        <f>F7/C7</f>
        <v>49.555329913895143</v>
      </c>
      <c r="E7" s="118">
        <f>N6</f>
        <v>274.39400000000001</v>
      </c>
      <c r="F7" s="119">
        <v>4270.3810000000003</v>
      </c>
      <c r="G7" s="28">
        <f>G27</f>
        <v>24.512114749955</v>
      </c>
      <c r="H7" s="28">
        <f>SUM(E7:G7)</f>
        <v>4569.2871147499554</v>
      </c>
      <c r="I7" s="15"/>
      <c r="J7" s="119">
        <f>J27</f>
        <v>2211.9384453555185</v>
      </c>
      <c r="K7" s="119">
        <f>M7-L7-J7</f>
        <v>101.34858267427353</v>
      </c>
      <c r="L7" s="28">
        <f>L27</f>
        <v>1991.816086720163</v>
      </c>
      <c r="M7" s="28">
        <f>H7-N7</f>
        <v>4305.1031147499552</v>
      </c>
      <c r="N7" s="28">
        <v>264.18400000000003</v>
      </c>
      <c r="P7" s="163"/>
    </row>
    <row r="8" spans="1:23" ht="16.5" customHeight="1">
      <c r="A8" s="15" t="s">
        <v>36</v>
      </c>
      <c r="B8" s="117">
        <v>83.6</v>
      </c>
      <c r="C8" s="117">
        <v>82.355999999999995</v>
      </c>
      <c r="D8" s="117">
        <f>F8/C8</f>
        <v>50.569199572587301</v>
      </c>
      <c r="E8" s="118">
        <f>N7</f>
        <v>264.18400000000003</v>
      </c>
      <c r="F8" s="119">
        <v>4164.6769999999997</v>
      </c>
      <c r="G8" s="28">
        <v>30</v>
      </c>
      <c r="H8" s="28">
        <f>SUM(E8:G8)</f>
        <v>4458.8609999999999</v>
      </c>
      <c r="I8" s="15"/>
      <c r="J8" s="119">
        <v>2300</v>
      </c>
      <c r="K8" s="164">
        <v>123.834</v>
      </c>
      <c r="L8" s="28">
        <v>1720</v>
      </c>
      <c r="M8" s="28">
        <f>SUM(J8:L8)</f>
        <v>4143.8339999999998</v>
      </c>
      <c r="N8" s="28">
        <f>H8-M8</f>
        <v>315.02700000000004</v>
      </c>
      <c r="P8" s="163"/>
      <c r="Q8" s="163"/>
    </row>
    <row r="9" spans="1:23" ht="16.5" customHeight="1">
      <c r="A9" s="15"/>
      <c r="B9" s="15"/>
      <c r="C9" s="15"/>
      <c r="D9" s="15"/>
      <c r="E9" s="29"/>
      <c r="F9" s="29"/>
      <c r="G9" s="30"/>
      <c r="H9" s="29"/>
      <c r="I9" s="29"/>
      <c r="J9" s="30"/>
      <c r="K9" s="30"/>
      <c r="L9" s="30"/>
      <c r="M9" s="30"/>
      <c r="N9" s="30"/>
    </row>
    <row r="10" spans="1:23" ht="16.5" customHeight="1">
      <c r="A10" s="31" t="s">
        <v>37</v>
      </c>
      <c r="B10" s="86"/>
      <c r="C10" s="86"/>
      <c r="D10" s="86"/>
      <c r="E10" s="33"/>
      <c r="F10" s="33"/>
      <c r="G10" s="6"/>
      <c r="H10" s="13"/>
      <c r="I10" s="86"/>
      <c r="J10" s="13"/>
      <c r="K10" s="32"/>
      <c r="L10" s="6"/>
      <c r="M10" s="6"/>
      <c r="N10" s="13"/>
    </row>
    <row r="11" spans="1:23" ht="16.5" customHeight="1">
      <c r="A11" s="15" t="s">
        <v>38</v>
      </c>
      <c r="B11" s="86"/>
      <c r="C11" s="86"/>
      <c r="D11" s="86"/>
      <c r="E11" s="33"/>
      <c r="F11" s="33"/>
      <c r="G11" s="6">
        <f>(31794.8*36.74371)/1000000</f>
        <v>1.1682589107079999</v>
      </c>
      <c r="H11" s="13"/>
      <c r="I11" s="86"/>
      <c r="J11" s="6">
        <f>((5028287*0.907185)*36.74371)/1000000</f>
        <v>167.60961304264146</v>
      </c>
      <c r="K11" s="32"/>
      <c r="L11" s="6">
        <f>(2077930.3*36.74371)/1000000</f>
        <v>76.350868343412998</v>
      </c>
      <c r="M11" s="6"/>
      <c r="N11" s="13"/>
      <c r="Q11" s="89"/>
    </row>
    <row r="12" spans="1:23" ht="16.5" customHeight="1">
      <c r="A12" s="15" t="s">
        <v>39</v>
      </c>
      <c r="B12" s="86"/>
      <c r="C12" s="86"/>
      <c r="D12" s="86"/>
      <c r="E12" s="33"/>
      <c r="F12" s="33"/>
      <c r="G12" s="6">
        <f>(33827.2*36.74371)/1000000</f>
        <v>1.2429368269119998</v>
      </c>
      <c r="H12" s="13"/>
      <c r="I12" s="86"/>
      <c r="J12" s="6">
        <f>((5899694*0.907185)*36.74371)/1000000</f>
        <v>196.65652107964277</v>
      </c>
      <c r="K12" s="32"/>
      <c r="L12" s="6">
        <f>(9947619.5*36.74371)/1000000</f>
        <v>365.51244609834498</v>
      </c>
      <c r="M12" s="6"/>
      <c r="N12" s="13"/>
      <c r="Q12" s="89"/>
    </row>
    <row r="13" spans="1:23" ht="16.5" customHeight="1">
      <c r="A13" s="15" t="s">
        <v>40</v>
      </c>
      <c r="B13" s="86"/>
      <c r="C13" s="86"/>
      <c r="D13" s="86"/>
      <c r="E13" s="33"/>
      <c r="F13" s="33"/>
      <c r="G13" s="6">
        <f>(35058.7*36.74371)/1000000</f>
        <v>1.288186705777</v>
      </c>
      <c r="H13" s="13"/>
      <c r="I13" s="86"/>
      <c r="J13" s="6">
        <f>((5687098*0.907185)*36.74371)/1000000</f>
        <v>189.56998578553299</v>
      </c>
      <c r="K13" s="32"/>
      <c r="L13" s="6">
        <f>(9794669.4*36.74371)/1000000</f>
        <v>359.89249197947402</v>
      </c>
      <c r="M13" s="6"/>
      <c r="N13" s="13"/>
      <c r="Q13" s="89"/>
    </row>
    <row r="14" spans="1:23" ht="16.5" customHeight="1">
      <c r="A14" s="15" t="s">
        <v>41</v>
      </c>
      <c r="B14" s="86"/>
      <c r="C14" s="86"/>
      <c r="D14" s="86"/>
      <c r="E14" s="33">
        <f>N6</f>
        <v>274.39400000000001</v>
      </c>
      <c r="F14" s="33">
        <v>4270.3810000000003</v>
      </c>
      <c r="G14" s="6">
        <f>SUM(G11:G13)</f>
        <v>3.699382443397</v>
      </c>
      <c r="H14" s="13">
        <f>SUM(E14:G14)</f>
        <v>4548.4743824433972</v>
      </c>
      <c r="I14" s="86"/>
      <c r="J14" s="6">
        <f>SUM(J11:J13)</f>
        <v>553.83611990781719</v>
      </c>
      <c r="K14" s="32">
        <f>M14-L14-J14</f>
        <v>171.73045611434793</v>
      </c>
      <c r="L14" s="6">
        <f>SUM(L11:L13)</f>
        <v>801.75580642123202</v>
      </c>
      <c r="M14" s="6">
        <f>H14-N14</f>
        <v>1527.3223824433971</v>
      </c>
      <c r="N14" s="13">
        <f>3021.152</f>
        <v>3021.152</v>
      </c>
    </row>
    <row r="15" spans="1:23" ht="16.5" customHeight="1">
      <c r="A15" s="15" t="s">
        <v>42</v>
      </c>
      <c r="B15" s="86"/>
      <c r="C15" s="86"/>
      <c r="D15" s="86"/>
      <c r="E15" s="33"/>
      <c r="F15" s="91"/>
      <c r="G15" s="6">
        <f>(36017.3*36.74371)/1000000</f>
        <v>1.3234092261829999</v>
      </c>
      <c r="H15" s="13"/>
      <c r="I15" s="86"/>
      <c r="J15" s="6">
        <f>((5622561*0.907185)*36.74371)/1000000</f>
        <v>187.41875185697378</v>
      </c>
      <c r="K15" s="32"/>
      <c r="L15" s="6">
        <f>(7968849.1*36.74371)/1000000</f>
        <v>292.80508036416103</v>
      </c>
      <c r="M15" s="6"/>
      <c r="N15" s="13"/>
    </row>
    <row r="16" spans="1:23" ht="16.5" customHeight="1">
      <c r="A16" s="15" t="s">
        <v>43</v>
      </c>
      <c r="B16" s="86"/>
      <c r="C16" s="86"/>
      <c r="D16" s="86"/>
      <c r="E16" s="33"/>
      <c r="F16" s="91"/>
      <c r="G16" s="6">
        <f>(5893.9*36.74371)/1000000</f>
        <v>0.216563752369</v>
      </c>
      <c r="H16" s="13"/>
      <c r="I16" s="86"/>
      <c r="J16" s="6">
        <f>((5734398*0.907185)*36.74371)/1000000</f>
        <v>191.14665288844833</v>
      </c>
      <c r="K16" s="32"/>
      <c r="L16" s="6">
        <f>(8559125.5*36.74371)/1000000</f>
        <v>314.49402522560501</v>
      </c>
      <c r="M16" s="6"/>
      <c r="N16" s="13"/>
    </row>
    <row r="17" spans="1:24" ht="16.5" customHeight="1">
      <c r="A17" s="15" t="s">
        <v>44</v>
      </c>
      <c r="B17" s="86"/>
      <c r="C17" s="86"/>
      <c r="D17" s="86"/>
      <c r="E17" s="33"/>
      <c r="F17" s="91"/>
      <c r="G17" s="6">
        <f>(27761.8*36.7371)/1000000</f>
        <v>1.0198880227799998</v>
      </c>
      <c r="H17" s="13"/>
      <c r="I17" s="86"/>
      <c r="J17" s="6">
        <f>((5306995*0.907185)*36.74371)/1000000</f>
        <v>176.89988227983665</v>
      </c>
      <c r="K17" s="32"/>
      <c r="L17" s="6">
        <f>(5374314*36.74371)/1000000</f>
        <v>197.47223506494001</v>
      </c>
      <c r="M17" s="6"/>
      <c r="N17" s="13"/>
      <c r="Q17" s="89"/>
    </row>
    <row r="18" spans="1:24" ht="16.5" customHeight="1">
      <c r="A18" s="15" t="s">
        <v>45</v>
      </c>
      <c r="B18" s="86"/>
      <c r="C18" s="86"/>
      <c r="D18" s="86"/>
      <c r="E18" s="33">
        <f>N14</f>
        <v>3021.152</v>
      </c>
      <c r="F18" s="91"/>
      <c r="G18" s="6">
        <f>SUM(G15:G17)</f>
        <v>2.559861001332</v>
      </c>
      <c r="H18" s="13">
        <f>SUM(E18:G18)</f>
        <v>3023.7118610013322</v>
      </c>
      <c r="I18" s="86"/>
      <c r="J18" s="6">
        <f>SUM(J15:J17)</f>
        <v>555.46528702525882</v>
      </c>
      <c r="K18" s="32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5"/>
    </row>
    <row r="19" spans="1:24" ht="16.5" customHeight="1">
      <c r="A19" s="15" t="s">
        <v>46</v>
      </c>
      <c r="B19" s="86"/>
      <c r="C19" s="86"/>
      <c r="D19" s="86"/>
      <c r="E19" s="33"/>
      <c r="F19" s="91"/>
      <c r="G19" s="6">
        <f>(34752.6*36.74371)/1000000</f>
        <v>1.2769394561459999</v>
      </c>
      <c r="H19" s="13"/>
      <c r="I19" s="86"/>
      <c r="J19" s="6">
        <f>((5939012*0.907185)*36.74371)/1000000</f>
        <v>197.96712144227334</v>
      </c>
      <c r="K19" s="32"/>
      <c r="L19" s="6">
        <f>(3135729.4*36.74371)/1000000</f>
        <v>115.21833171207399</v>
      </c>
      <c r="M19" s="6"/>
      <c r="N19" s="13"/>
      <c r="Q19" s="89"/>
    </row>
    <row r="20" spans="1:24" ht="16.5" customHeight="1">
      <c r="A20" s="15" t="s">
        <v>47</v>
      </c>
      <c r="B20" s="86"/>
      <c r="C20" s="86"/>
      <c r="D20" s="86"/>
      <c r="E20" s="33"/>
      <c r="F20" s="91"/>
      <c r="G20" s="6">
        <f>(8485.3*36.74371)/1000000</f>
        <v>0.31178140246299996</v>
      </c>
      <c r="H20" s="13"/>
      <c r="I20" s="86"/>
      <c r="J20" s="6">
        <f>((5609607*0.907185)*36.74371)/1000000</f>
        <v>186.98695173749888</v>
      </c>
      <c r="K20" s="32"/>
      <c r="L20" s="6">
        <f>(2554266.9*36.74371)/1000000</f>
        <v>93.853242236198994</v>
      </c>
      <c r="M20" s="6"/>
      <c r="N20" s="13"/>
    </row>
    <row r="21" spans="1:24" ht="16.5" customHeight="1">
      <c r="A21" s="15" t="s">
        <v>48</v>
      </c>
      <c r="B21" s="86"/>
      <c r="C21" s="86"/>
      <c r="D21" s="86"/>
      <c r="E21" s="33"/>
      <c r="F21" s="91"/>
      <c r="G21" s="6">
        <f>(126995.3*36.74371)/1000000</f>
        <v>4.6662784745629997</v>
      </c>
      <c r="H21" s="13"/>
      <c r="I21" s="86"/>
      <c r="J21" s="6">
        <f>((5679096*0.907185)*36.74371)/1000000</f>
        <v>189.30325237839708</v>
      </c>
      <c r="K21" s="32"/>
      <c r="L21" s="6">
        <f>(986447.6*36.74371)/1000000</f>
        <v>36.245744544596</v>
      </c>
      <c r="M21" s="6"/>
      <c r="N21" s="13"/>
      <c r="P21" s="86"/>
      <c r="Q21" s="89"/>
    </row>
    <row r="22" spans="1:24" ht="16.5" customHeight="1">
      <c r="A22" s="15" t="s">
        <v>49</v>
      </c>
      <c r="B22" s="86"/>
      <c r="C22" s="86"/>
      <c r="D22" s="86"/>
      <c r="E22" s="33">
        <f>N18</f>
        <v>1686.6320000000001</v>
      </c>
      <c r="F22" s="91"/>
      <c r="G22" s="6">
        <f>SUM(G19:G21)</f>
        <v>6.254999333172</v>
      </c>
      <c r="H22" s="13">
        <f>SUM(E22:G22)</f>
        <v>1692.8869993331721</v>
      </c>
      <c r="I22" s="86"/>
      <c r="J22" s="6">
        <f>SUM(J19:J21)</f>
        <v>574.25732555816921</v>
      </c>
      <c r="K22" s="32">
        <f>M22-L22-J22</f>
        <v>76.924355282133774</v>
      </c>
      <c r="L22" s="6">
        <f>SUM(L19:L21)</f>
        <v>245.31731849286899</v>
      </c>
      <c r="M22" s="6">
        <f>H22-N22</f>
        <v>896.49899933317204</v>
      </c>
      <c r="N22" s="13">
        <v>796.38800000000003</v>
      </c>
      <c r="P22" s="86"/>
    </row>
    <row r="23" spans="1:24" ht="16.5" customHeight="1">
      <c r="A23" s="15" t="s">
        <v>50</v>
      </c>
      <c r="B23" s="86"/>
      <c r="C23" s="86"/>
      <c r="D23" s="86"/>
      <c r="E23" s="33"/>
      <c r="F23" s="91"/>
      <c r="G23" s="6">
        <f>(166679*36.744)/1000000</f>
        <v>6.1244531760000003</v>
      </c>
      <c r="H23" s="13"/>
      <c r="I23" s="86"/>
      <c r="J23" s="6">
        <f>((5236516*0.907185)*36.74371)/1000000</f>
        <v>174.55058162980768</v>
      </c>
      <c r="K23" s="32"/>
      <c r="L23" s="6">
        <f>(831037.3*36.74371)/1000000</f>
        <v>30.535393550383002</v>
      </c>
      <c r="M23" s="6"/>
      <c r="N23" s="13"/>
    </row>
    <row r="24" spans="1:24" ht="16.5" customHeight="1">
      <c r="A24" s="15" t="s">
        <v>51</v>
      </c>
      <c r="B24" s="86"/>
      <c r="C24" s="86"/>
      <c r="D24" s="86"/>
      <c r="E24" s="33"/>
      <c r="F24" s="91"/>
      <c r="G24" s="6">
        <f>(114325.1*36.74371)/1000000</f>
        <v>4.2007283201210006</v>
      </c>
      <c r="H24" s="13"/>
      <c r="I24" s="86"/>
      <c r="J24" s="6">
        <f>((5545001*0.907185)*36.74371)/1000000</f>
        <v>184.83341780830332</v>
      </c>
      <c r="K24" s="32"/>
      <c r="L24" s="6">
        <f>(1275803.3*36.74371)/1000000</f>
        <v>46.877746472243004</v>
      </c>
      <c r="M24" s="6"/>
      <c r="N24" s="13"/>
      <c r="Q24" s="89"/>
    </row>
    <row r="25" spans="1:24" ht="16.5" customHeight="1">
      <c r="A25" s="15" t="s">
        <v>52</v>
      </c>
      <c r="B25" s="86"/>
      <c r="C25" s="86"/>
      <c r="D25" s="86"/>
      <c r="E25" s="33"/>
      <c r="F25" s="91"/>
      <c r="G25" s="6">
        <f>(45519.5*36.74371)/1000000</f>
        <v>1.6725553073450001</v>
      </c>
      <c r="H25" s="13"/>
      <c r="I25" s="86"/>
      <c r="J25" s="6">
        <f>((5069870*0.907185)*36.74371)/1000000</f>
        <v>168.99571342616218</v>
      </c>
      <c r="K25" s="32"/>
      <c r="L25" s="6">
        <f>(1702563*36.74371)/1000000</f>
        <v>62.558481128730001</v>
      </c>
      <c r="M25" s="6"/>
      <c r="N25" s="13"/>
    </row>
    <row r="26" spans="1:24" ht="16.5" customHeight="1">
      <c r="A26" s="15" t="s">
        <v>53</v>
      </c>
      <c r="B26" s="86"/>
      <c r="C26" s="86"/>
      <c r="D26" s="86"/>
      <c r="E26" s="33">
        <f>N22</f>
        <v>796.38800000000003</v>
      </c>
      <c r="F26" s="91"/>
      <c r="G26" s="6">
        <f>SUM(G23:G25)</f>
        <v>11.997736803466001</v>
      </c>
      <c r="H26" s="13">
        <f>SUM(E26:G26)</f>
        <v>808.38573680346599</v>
      </c>
      <c r="I26" s="86"/>
      <c r="J26" s="6">
        <f>SUM(J23:J25)</f>
        <v>528.37971286427319</v>
      </c>
      <c r="K26" s="32">
        <f>M26-J26-L26</f>
        <v>-124.14959721216317</v>
      </c>
      <c r="L26" s="6">
        <f>SUM(L23:L25)</f>
        <v>139.971621151356</v>
      </c>
      <c r="M26" s="6">
        <f>H26-N26</f>
        <v>544.20173680346602</v>
      </c>
      <c r="N26" s="104">
        <v>264.18400000000003</v>
      </c>
    </row>
    <row r="27" spans="1:24" ht="16.5" customHeight="1">
      <c r="A27" s="15" t="s">
        <v>28</v>
      </c>
      <c r="B27" s="86"/>
      <c r="C27" s="86"/>
      <c r="D27" s="86"/>
      <c r="E27" s="33"/>
      <c r="F27" s="91"/>
      <c r="G27" s="103">
        <f>(667110.5*36.74371)/1000000</f>
        <v>24.512114749955</v>
      </c>
      <c r="H27" s="97"/>
      <c r="I27" s="98"/>
      <c r="J27" s="6">
        <f>SUM(J14,J18,J22,J26)</f>
        <v>2211.9384453555185</v>
      </c>
      <c r="K27" s="99"/>
      <c r="L27" s="6">
        <f>(54208355.3*36.74371)/1000000</f>
        <v>1991.816086720163</v>
      </c>
      <c r="M27" s="6"/>
      <c r="N27" s="13"/>
      <c r="Q27" s="89"/>
    </row>
    <row r="28" spans="1:24" ht="16.5" customHeight="1">
      <c r="A28" s="15"/>
      <c r="B28" s="86"/>
      <c r="C28" s="86"/>
      <c r="D28" s="86"/>
      <c r="E28" s="33"/>
      <c r="F28" s="33"/>
      <c r="G28" s="6"/>
      <c r="H28" s="13"/>
      <c r="I28" s="86"/>
      <c r="J28" s="13"/>
      <c r="K28" s="32"/>
      <c r="L28" s="6"/>
      <c r="M28" s="6"/>
      <c r="N28" s="13"/>
      <c r="R28" s="86"/>
    </row>
    <row r="29" spans="1:24" ht="16.5" customHeight="1">
      <c r="A29" s="31" t="s">
        <v>54</v>
      </c>
      <c r="B29" s="86"/>
      <c r="C29" s="86"/>
      <c r="D29" s="86"/>
      <c r="E29" s="33"/>
      <c r="F29" s="33"/>
      <c r="G29" s="6"/>
      <c r="H29" s="13"/>
      <c r="I29" s="86"/>
      <c r="J29" s="13"/>
      <c r="K29" s="32"/>
      <c r="L29" s="6"/>
      <c r="M29" s="6"/>
      <c r="N29" s="13"/>
      <c r="Q29" s="86"/>
      <c r="V29" s="101"/>
      <c r="X29" s="102"/>
    </row>
    <row r="30" spans="1:24" ht="16.5" customHeight="1">
      <c r="A30" s="15" t="s">
        <v>38</v>
      </c>
      <c r="B30" s="86"/>
      <c r="C30" s="86"/>
      <c r="D30" s="86"/>
      <c r="E30" s="33"/>
      <c r="F30" s="33"/>
      <c r="G30" s="6">
        <f>(37462.8*36.74371)/1000000</f>
        <v>1.3765222589880002</v>
      </c>
      <c r="H30" s="13"/>
      <c r="I30" s="86"/>
      <c r="J30" s="6">
        <f>((5242931*0.907185)*36.74371)/1000000</f>
        <v>174.76441502230665</v>
      </c>
      <c r="K30" s="32"/>
      <c r="L30" s="6">
        <f>(2471110*36.74371)/1000000</f>
        <v>90.797749218099995</v>
      </c>
      <c r="M30" s="6"/>
      <c r="N30" s="13"/>
      <c r="T30" s="100"/>
    </row>
    <row r="31" spans="1:24" ht="16.5" customHeight="1">
      <c r="A31" s="15" t="s">
        <v>39</v>
      </c>
      <c r="B31" s="86"/>
      <c r="C31" s="86"/>
      <c r="D31" s="86"/>
      <c r="E31" s="33"/>
      <c r="F31" s="33"/>
      <c r="G31" s="6">
        <f>(19548.9*36.74371)/1000000</f>
        <v>0.71829911241900002</v>
      </c>
      <c r="H31" s="13"/>
      <c r="I31" s="86"/>
      <c r="J31" s="6">
        <f>((6041685*0.907185)*36.74371)/1000000</f>
        <v>201.38955572256145</v>
      </c>
      <c r="K31" s="32"/>
      <c r="L31" s="6">
        <f>(9477743.2*36.74371)/1000000</f>
        <v>348.24744759527192</v>
      </c>
      <c r="M31" s="6"/>
      <c r="N31" s="13"/>
      <c r="T31" s="100"/>
    </row>
    <row r="32" spans="1:24" ht="16.5" customHeight="1">
      <c r="A32" s="15" t="s">
        <v>40</v>
      </c>
      <c r="B32" s="86"/>
      <c r="C32" s="86"/>
      <c r="D32" s="86"/>
      <c r="E32" s="33"/>
      <c r="F32" s="33"/>
      <c r="G32" s="6">
        <f>(46150.7*36.74371)/1000000</f>
        <v>1.6957479370969999</v>
      </c>
      <c r="H32" s="13"/>
      <c r="I32" s="86"/>
      <c r="J32" s="6">
        <f>((6002708*0.907185)*36.74371)/1000000</f>
        <v>200.09032202974259</v>
      </c>
      <c r="K32" s="32"/>
      <c r="L32" s="6">
        <f>(7463380.7*36.74371)/1000000</f>
        <v>274.232296060397</v>
      </c>
      <c r="M32" s="6"/>
      <c r="N32" s="114"/>
      <c r="T32" s="100"/>
    </row>
    <row r="33" spans="1:20" ht="16.5" customHeight="1">
      <c r="A33" s="15" t="s">
        <v>41</v>
      </c>
      <c r="B33" s="86"/>
      <c r="C33" s="86"/>
      <c r="D33" s="86"/>
      <c r="E33" s="33">
        <f>N26</f>
        <v>264.18400000000003</v>
      </c>
      <c r="F33" s="33">
        <v>4164.6769999999997</v>
      </c>
      <c r="G33" s="6">
        <f>SUM(G30:G32)</f>
        <v>3.7905693085040002</v>
      </c>
      <c r="H33" s="13">
        <f>SUM(E33:G33)</f>
        <v>4432.6515693085039</v>
      </c>
      <c r="I33" s="86"/>
      <c r="J33" s="6">
        <f>SUM(J30:J32)</f>
        <v>576.2442927746107</v>
      </c>
      <c r="K33" s="32">
        <f>M33-L33-J33</f>
        <v>143.18078366012412</v>
      </c>
      <c r="L33" s="6">
        <f>SUM(L30:L32)</f>
        <v>713.27749287376901</v>
      </c>
      <c r="M33" s="6">
        <f>H33-N33</f>
        <v>1432.7025693085038</v>
      </c>
      <c r="N33" s="120">
        <v>2999.9490000000001</v>
      </c>
      <c r="T33" s="100"/>
    </row>
    <row r="34" spans="1:20" ht="16.5" customHeight="1">
      <c r="A34" s="15" t="s">
        <v>42</v>
      </c>
      <c r="B34" s="86"/>
      <c r="C34" s="86"/>
      <c r="D34" s="86"/>
      <c r="E34" s="33"/>
      <c r="F34" s="33"/>
      <c r="G34" s="6">
        <f>(18657.9*36.74371)/1000000</f>
        <v>0.68556046680899996</v>
      </c>
      <c r="H34" s="13"/>
      <c r="I34" s="86"/>
      <c r="J34" s="6">
        <f>((6128558*0.907185)*36.74371)/1000000</f>
        <v>204.28532319045925</v>
      </c>
      <c r="K34" s="32"/>
      <c r="L34" s="6">
        <f>(4824464.6*36.74371)/1000000</f>
        <v>177.26872816766598</v>
      </c>
      <c r="M34" s="6"/>
      <c r="N34" s="120"/>
      <c r="T34" s="100"/>
    </row>
    <row r="35" spans="1:20" ht="16.5" customHeight="1">
      <c r="A35" s="15" t="s">
        <v>43</v>
      </c>
      <c r="B35" s="86"/>
      <c r="C35" s="86"/>
      <c r="D35" s="86"/>
      <c r="E35" s="33"/>
      <c r="F35" s="33"/>
      <c r="G35" s="6">
        <f>(25838.2*36.74371)/1000000</f>
        <v>0.94939132772200008</v>
      </c>
      <c r="H35" s="13"/>
      <c r="I35" s="86"/>
      <c r="J35" s="6">
        <f>((5844947*0.907185)*36.74371)/1000000</f>
        <v>194.83162057471029</v>
      </c>
      <c r="K35" s="32"/>
      <c r="L35" s="6">
        <f>(5961252*36.74371)/1000000</f>
        <v>219.03851472491999</v>
      </c>
      <c r="M35" s="6"/>
      <c r="N35" s="120"/>
      <c r="T35" s="100"/>
    </row>
    <row r="36" spans="1:20" ht="16.5" customHeight="1">
      <c r="A36" s="82" t="s">
        <v>55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83"/>
      <c r="M36" s="72"/>
      <c r="N36" s="72"/>
      <c r="T36" s="100"/>
    </row>
    <row r="37" spans="1:20" ht="16.5" customHeight="1">
      <c r="A37" s="15" t="s">
        <v>56</v>
      </c>
      <c r="B37" s="15"/>
      <c r="C37" s="15"/>
      <c r="D37" s="15"/>
      <c r="E37" s="36"/>
      <c r="F37" s="36"/>
      <c r="G37" s="36"/>
      <c r="H37" s="36"/>
      <c r="I37" s="36"/>
      <c r="J37" s="36"/>
      <c r="K37" s="36"/>
      <c r="L37" s="36"/>
      <c r="M37" s="36"/>
      <c r="N37" s="36"/>
      <c r="T37" s="100"/>
    </row>
    <row r="38" spans="1:20" ht="16.5" customHeight="1">
      <c r="A38" s="20" t="s">
        <v>57</v>
      </c>
      <c r="B38" s="37">
        <f>Contents!A16</f>
        <v>45363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T38" s="100"/>
    </row>
    <row r="39" spans="1:20" ht="16.5" customHeight="1">
      <c r="T39" s="100"/>
    </row>
    <row r="40" spans="1:20" ht="16.5" customHeight="1">
      <c r="K40" s="35"/>
      <c r="T40" s="100"/>
    </row>
    <row r="41" spans="1:20" ht="16.5" customHeight="1">
      <c r="K41" s="96"/>
      <c r="P41" s="35"/>
      <c r="T41" s="100"/>
    </row>
    <row r="42" spans="1:20" ht="16.5" customHeight="1">
      <c r="T42" s="100"/>
    </row>
    <row r="43" spans="1:20" ht="16.5" customHeight="1">
      <c r="J43" s="35"/>
      <c r="L43" s="35"/>
      <c r="T43" s="100"/>
    </row>
    <row r="44" spans="1:20" ht="16.5" customHeight="1">
      <c r="J44" s="35"/>
      <c r="L44" s="35"/>
      <c r="T44" s="100"/>
    </row>
    <row r="45" spans="1:20" ht="16.5" customHeight="1">
      <c r="J45" s="35"/>
      <c r="L45" s="35"/>
      <c r="T45" s="100"/>
    </row>
    <row r="46" spans="1:20" ht="16.5" customHeight="1">
      <c r="T46" s="100"/>
    </row>
    <row r="47" spans="1:20" ht="16.5" customHeight="1">
      <c r="T47" s="100"/>
    </row>
    <row r="48" spans="1:20" ht="16.5" customHeight="1">
      <c r="T48" s="100"/>
    </row>
    <row r="49" spans="15:73" ht="16.5" customHeight="1">
      <c r="T49" s="100"/>
    </row>
    <row r="50" spans="15:73" ht="16.5" customHeight="1"/>
    <row r="51" spans="15:73" ht="16.5" customHeight="1"/>
    <row r="52" spans="15:73" ht="16.5" customHeight="1"/>
    <row r="53" spans="15:73" ht="16.5" customHeight="1"/>
    <row r="54" spans="15:73" ht="16.5" customHeight="1">
      <c r="O54" s="86"/>
      <c r="P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</row>
    <row r="55" spans="15:73">
      <c r="O55" s="86"/>
      <c r="P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</row>
    <row r="56" spans="15:73">
      <c r="O56" s="86"/>
      <c r="P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</row>
    <row r="57" spans="15:73">
      <c r="O57" s="86"/>
      <c r="P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</row>
    <row r="58" spans="15:73">
      <c r="O58" s="86"/>
      <c r="P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</row>
    <row r="59" spans="15:73">
      <c r="O59" s="86"/>
      <c r="P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</row>
    <row r="60" spans="15:73">
      <c r="O60" s="86"/>
      <c r="P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</row>
    <row r="61" spans="15:73">
      <c r="O61" s="86"/>
      <c r="P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</row>
    <row r="62" spans="15:73">
      <c r="O62" s="86"/>
      <c r="P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</row>
    <row r="63" spans="15:73">
      <c r="O63" s="86"/>
      <c r="P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</row>
    <row r="64" spans="15:73">
      <c r="O64" s="86"/>
      <c r="P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</row>
    <row r="65" spans="15:73">
      <c r="O65" s="86"/>
      <c r="P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</row>
    <row r="66" spans="15:73">
      <c r="O66" s="86"/>
      <c r="P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</row>
    <row r="67" spans="15:73">
      <c r="O67" s="86"/>
      <c r="P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</row>
    <row r="68" spans="15:73">
      <c r="O68" s="86"/>
      <c r="P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</row>
    <row r="69" spans="15:73">
      <c r="O69" s="86"/>
      <c r="P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</row>
    <row r="70" spans="15:73">
      <c r="O70" s="86"/>
      <c r="P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</row>
    <row r="71" spans="15:73">
      <c r="O71" s="86"/>
      <c r="P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</row>
    <row r="72" spans="15:73">
      <c r="O72" s="86"/>
      <c r="P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</row>
    <row r="73" spans="15:73">
      <c r="O73" s="86"/>
      <c r="P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5:73">
      <c r="O74" s="86"/>
      <c r="P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5:73">
      <c r="O75" s="86"/>
      <c r="P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</row>
    <row r="76" spans="15:73">
      <c r="O76" s="86"/>
      <c r="P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</row>
    <row r="77" spans="15:73">
      <c r="O77" s="86"/>
      <c r="P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</row>
    <row r="78" spans="15:73">
      <c r="O78" s="86"/>
      <c r="P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79" spans="15:73">
      <c r="O79" s="86"/>
      <c r="P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</row>
    <row r="80" spans="15:73">
      <c r="O80" s="86"/>
      <c r="P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</row>
    <row r="81" spans="15:73">
      <c r="O81" s="86"/>
      <c r="P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</row>
    <row r="82" spans="15:73"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</row>
    <row r="83" spans="15:73"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</row>
    <row r="84" spans="15:73"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</row>
    <row r="85" spans="15:73"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</row>
    <row r="86" spans="15:73"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</row>
    <row r="87" spans="15:73"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</row>
    <row r="88" spans="15:73"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</row>
    <row r="89" spans="15:73"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5:73"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</row>
    <row r="91" spans="15:73"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</row>
    <row r="92" spans="15:73"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</row>
    <row r="93" spans="15:73"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</row>
    <row r="94" spans="15:73"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</row>
    <row r="95" spans="15:73"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</row>
    <row r="96" spans="15:73"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</row>
    <row r="97" spans="15:73"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</row>
    <row r="98" spans="15:73"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</row>
    <row r="99" spans="15:73"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</row>
    <row r="100" spans="15:73"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</row>
    <row r="101" spans="15:73"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</row>
    <row r="102" spans="15:73"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</row>
    <row r="103" spans="15:73"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</row>
    <row r="104" spans="15:73"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</row>
    <row r="105" spans="15:73"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</row>
    <row r="106" spans="15:73"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</row>
    <row r="107" spans="15:73"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</row>
    <row r="108" spans="15:73"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</row>
    <row r="109" spans="15:73"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</row>
    <row r="110" spans="15:73"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</row>
    <row r="111" spans="15:73"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</row>
    <row r="112" spans="15:73"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</row>
    <row r="113" spans="15:73"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</row>
    <row r="114" spans="15:73"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</row>
    <row r="115" spans="15:73"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</row>
    <row r="116" spans="15:73"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</row>
    <row r="117" spans="15:73"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</row>
    <row r="118" spans="15:73"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</row>
    <row r="119" spans="15:73"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</row>
    <row r="120" spans="15:73"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</row>
    <row r="121" spans="15:73"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</row>
    <row r="122" spans="15:73"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</row>
    <row r="123" spans="15:73"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</row>
    <row r="124" spans="15:73"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</row>
    <row r="125" spans="15:73"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</row>
    <row r="126" spans="15:73"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</row>
    <row r="127" spans="15:73"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</row>
    <row r="128" spans="15:73"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</row>
    <row r="129" spans="15:73"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</row>
    <row r="130" spans="15:73"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</row>
    <row r="131" spans="15:73"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</row>
    <row r="132" spans="15:73"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</row>
    <row r="133" spans="15:73"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</row>
    <row r="134" spans="15:73"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</row>
    <row r="135" spans="15:73"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</row>
    <row r="136" spans="15:73"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</row>
    <row r="137" spans="15:73"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</row>
    <row r="138" spans="15:73"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</row>
    <row r="139" spans="15:73"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</row>
    <row r="140" spans="15:73"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</row>
    <row r="141" spans="15:73"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</row>
    <row r="142" spans="15:73"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</row>
    <row r="143" spans="15:73"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</row>
    <row r="144" spans="15:73"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</row>
    <row r="145" spans="15:73"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</row>
    <row r="146" spans="15:73"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</row>
    <row r="147" spans="15:73"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</row>
    <row r="148" spans="15:73"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</row>
    <row r="149" spans="15:73"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</row>
    <row r="150" spans="15:73"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</row>
    <row r="151" spans="15:73"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</row>
    <row r="152" spans="15:73"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</row>
    <row r="153" spans="15:73"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</row>
    <row r="154" spans="15:73"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</row>
    <row r="155" spans="15:73"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</row>
    <row r="156" spans="15:73"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</row>
    <row r="157" spans="15:73"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</row>
    <row r="158" spans="15:73"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</row>
    <row r="159" spans="15:73"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</row>
    <row r="160" spans="15:73"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</row>
    <row r="161" spans="15:73"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</row>
    <row r="162" spans="15:73"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</row>
    <row r="163" spans="15:73"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</row>
    <row r="164" spans="15:73"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</row>
    <row r="165" spans="15:73"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</row>
    <row r="166" spans="15:73"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</row>
    <row r="167" spans="15:73"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</row>
    <row r="168" spans="15:73"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</row>
    <row r="169" spans="15:73"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</row>
    <row r="170" spans="15:73"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</row>
    <row r="171" spans="15:73"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</row>
    <row r="172" spans="15:73"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</row>
    <row r="173" spans="15:73"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</row>
    <row r="174" spans="15:73"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</row>
    <row r="175" spans="15:73"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</row>
    <row r="176" spans="15:73"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</row>
    <row r="177" spans="15:73"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</row>
    <row r="178" spans="15:73"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</row>
    <row r="179" spans="15:73"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</row>
    <row r="180" spans="15:73"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</row>
    <row r="181" spans="15:73"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</row>
    <row r="182" spans="15:73"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</row>
    <row r="183" spans="15:73"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</row>
    <row r="184" spans="15:73"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</row>
    <row r="185" spans="15:73"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</row>
    <row r="186" spans="15:73"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</row>
    <row r="187" spans="15:73"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</row>
    <row r="188" spans="15:73"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</row>
    <row r="189" spans="15:73"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</row>
    <row r="190" spans="15:73"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</row>
    <row r="191" spans="15:73"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</row>
    <row r="192" spans="15:73"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</row>
    <row r="193" spans="15:73"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</row>
    <row r="194" spans="15:73"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</row>
    <row r="195" spans="15:73"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</row>
    <row r="196" spans="15:73"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</row>
    <row r="197" spans="15:73"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</row>
    <row r="198" spans="15:73"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</row>
    <row r="199" spans="15:73"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</row>
    <row r="200" spans="15:73"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</row>
    <row r="201" spans="15:73"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</row>
    <row r="202" spans="15:73"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</row>
    <row r="203" spans="15:73"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</row>
    <row r="204" spans="15:73"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</row>
    <row r="205" spans="15:73"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</row>
    <row r="206" spans="15:73"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</row>
    <row r="207" spans="15:73"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</row>
    <row r="208" spans="15:73"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</row>
    <row r="209" spans="15:73"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</row>
    <row r="210" spans="15:73"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</row>
    <row r="211" spans="15:73"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</row>
    <row r="212" spans="15:73"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</row>
    <row r="213" spans="15:73"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</row>
    <row r="214" spans="15:73"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</row>
    <row r="215" spans="15:73"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</row>
    <row r="216" spans="15:73"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</row>
    <row r="217" spans="15:73"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</row>
    <row r="218" spans="15:73"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</row>
    <row r="219" spans="15:73"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</row>
    <row r="220" spans="15:73"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</row>
    <row r="221" spans="15:73"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</row>
    <row r="222" spans="15:73"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</row>
    <row r="223" spans="15:73"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</row>
    <row r="224" spans="15:73"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</row>
    <row r="225" spans="15:73"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</row>
    <row r="226" spans="15:73"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</row>
    <row r="227" spans="15:73"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</row>
    <row r="228" spans="15:73"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</row>
    <row r="229" spans="15:73"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</row>
    <row r="230" spans="15:73"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</row>
    <row r="231" spans="15:73"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</row>
    <row r="232" spans="15:73"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</row>
    <row r="233" spans="15:73"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</row>
    <row r="234" spans="15:73"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</row>
    <row r="235" spans="15:73"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</row>
    <row r="236" spans="15:73"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</row>
    <row r="237" spans="15:73"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</row>
    <row r="238" spans="15:73"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</row>
    <row r="239" spans="15:73"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</row>
    <row r="240" spans="15:73"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</row>
    <row r="241" spans="15:73"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</row>
    <row r="242" spans="15:73"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</row>
    <row r="243" spans="15:73"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</row>
    <row r="244" spans="15:73"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</row>
    <row r="245" spans="15:73"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</row>
    <row r="246" spans="15:73"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</row>
    <row r="247" spans="15:73"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</row>
    <row r="248" spans="15:73"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</row>
    <row r="249" spans="15:73"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</row>
    <row r="250" spans="15:73"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</row>
    <row r="251" spans="15:73"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</row>
    <row r="252" spans="15:73"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</row>
    <row r="253" spans="15:73"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</row>
    <row r="254" spans="15:73"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</row>
    <row r="255" spans="15:73"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</row>
    <row r="256" spans="15:73"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</row>
    <row r="257" spans="15:73"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</row>
    <row r="258" spans="15:73"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</row>
    <row r="259" spans="15:73"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</row>
    <row r="260" spans="15:73"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</row>
    <row r="261" spans="15:73"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</row>
    <row r="262" spans="15:73"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</row>
    <row r="263" spans="15:73"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</row>
    <row r="264" spans="15:73"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</row>
    <row r="265" spans="15:73"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</row>
    <row r="266" spans="15:73"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</row>
    <row r="267" spans="15:73"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</row>
    <row r="268" spans="15:73"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</row>
    <row r="269" spans="15:73"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</row>
    <row r="270" spans="15:73"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</row>
    <row r="271" spans="15:73"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</row>
    <row r="272" spans="15:73"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</row>
    <row r="273" spans="15:73"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</row>
    <row r="274" spans="15:73"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</row>
    <row r="275" spans="15:73"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</row>
    <row r="276" spans="15:73"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</row>
    <row r="277" spans="15:73"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</row>
    <row r="278" spans="15:73"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</row>
    <row r="279" spans="15:73"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</row>
    <row r="280" spans="15:73"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</row>
    <row r="281" spans="15:73"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</row>
    <row r="282" spans="15:73"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</row>
    <row r="283" spans="15:73"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</row>
    <row r="284" spans="15:73"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</row>
    <row r="285" spans="15:73"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</row>
    <row r="286" spans="15:73"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</row>
    <row r="287" spans="15:73"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</row>
    <row r="288" spans="15:73"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</row>
    <row r="289" spans="15:73"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</row>
    <row r="290" spans="15:73"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</row>
    <row r="291" spans="15:73"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</row>
    <row r="292" spans="15:73"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</row>
    <row r="293" spans="15:73"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</row>
    <row r="294" spans="15:73"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</row>
    <row r="295" spans="15:73"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</row>
    <row r="296" spans="15:73"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</row>
    <row r="297" spans="15:73"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</row>
    <row r="298" spans="15:73"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</row>
    <row r="299" spans="15:73"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</row>
    <row r="300" spans="15:73"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</row>
    <row r="301" spans="15:73"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</row>
    <row r="302" spans="15:73"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</row>
    <row r="303" spans="15:73"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</row>
    <row r="304" spans="15:73"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</row>
    <row r="305" spans="15:73"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</row>
    <row r="306" spans="15:73"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</row>
    <row r="307" spans="15:73"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</row>
    <row r="308" spans="15:73"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</row>
    <row r="309" spans="15:73"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</row>
    <row r="310" spans="15:73"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  <c r="BT310" s="86"/>
      <c r="BU310" s="86"/>
    </row>
    <row r="311" spans="15:73"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  <c r="BT311" s="86"/>
      <c r="BU311" s="86"/>
    </row>
    <row r="312" spans="15:73"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</row>
    <row r="313" spans="15:73"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</row>
    <row r="314" spans="15:73"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</row>
    <row r="315" spans="15:73"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</row>
    <row r="316" spans="15:73"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</row>
    <row r="317" spans="15:73"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</row>
    <row r="318" spans="15:73"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</row>
    <row r="319" spans="15:73"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</row>
    <row r="320" spans="15:73"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</row>
    <row r="321" spans="15:73"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</row>
    <row r="322" spans="15:73"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</row>
    <row r="323" spans="15:73"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</row>
    <row r="324" spans="15:73"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</row>
    <row r="325" spans="15:73"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</row>
    <row r="326" spans="15:73"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</row>
    <row r="327" spans="15:73"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</row>
    <row r="328" spans="15:73"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</row>
    <row r="329" spans="15:73"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</row>
    <row r="330" spans="15:73"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</row>
    <row r="331" spans="15:73"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</row>
    <row r="332" spans="15:73"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</row>
    <row r="333" spans="15:73"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</row>
    <row r="334" spans="15:73"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</row>
    <row r="335" spans="15:73"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</row>
    <row r="336" spans="15:73"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</row>
    <row r="337" spans="15:73"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</row>
    <row r="338" spans="15:73"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</row>
    <row r="339" spans="15:73"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</row>
    <row r="340" spans="15:73"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</row>
    <row r="341" spans="15:73"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</row>
    <row r="342" spans="15:73"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</row>
    <row r="343" spans="15:73"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</row>
    <row r="344" spans="15:73"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</row>
    <row r="345" spans="15:73"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</row>
    <row r="346" spans="15:73"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</row>
    <row r="347" spans="15:73"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  <c r="BT347" s="86"/>
      <c r="BU347" s="86"/>
    </row>
    <row r="348" spans="15:73"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  <c r="BT348" s="86"/>
      <c r="BU348" s="86"/>
    </row>
    <row r="349" spans="15:73"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  <c r="BT349" s="86"/>
      <c r="BU349" s="86"/>
    </row>
    <row r="350" spans="15:73"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</row>
    <row r="351" spans="15:73"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  <c r="BT351" s="86"/>
      <c r="BU351" s="86"/>
    </row>
    <row r="352" spans="15:73"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  <c r="BT352" s="86"/>
      <c r="BU352" s="86"/>
    </row>
    <row r="353" spans="15:73"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  <c r="BT353" s="86"/>
      <c r="BU353" s="86"/>
    </row>
    <row r="354" spans="15:73"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  <c r="BT354" s="86"/>
      <c r="BU354" s="86"/>
    </row>
    <row r="355" spans="15:73"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  <c r="BT355" s="86"/>
      <c r="BU355" s="86"/>
    </row>
    <row r="356" spans="15:73"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  <c r="BT356" s="86"/>
      <c r="BU356" s="86"/>
    </row>
    <row r="357" spans="15:73"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  <c r="BT357" s="86"/>
      <c r="BU357" s="86"/>
    </row>
    <row r="358" spans="15:73"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  <c r="BT358" s="86"/>
      <c r="BU358" s="86"/>
    </row>
    <row r="359" spans="15:73"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  <c r="BT359" s="86"/>
      <c r="BU359" s="86"/>
    </row>
    <row r="360" spans="15:73"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  <c r="BT360" s="86"/>
      <c r="BU360" s="86"/>
    </row>
    <row r="361" spans="15:73"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  <c r="BT361" s="86"/>
      <c r="BU361" s="86"/>
    </row>
    <row r="362" spans="15:73"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  <c r="BT362" s="86"/>
      <c r="BU362" s="86"/>
    </row>
    <row r="363" spans="15:73"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  <c r="BT363" s="86"/>
      <c r="BU363" s="86"/>
    </row>
    <row r="364" spans="15:73"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  <c r="BT364" s="86"/>
      <c r="BU364" s="86"/>
    </row>
    <row r="365" spans="15:73"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  <c r="BT365" s="86"/>
      <c r="BU365" s="86"/>
    </row>
    <row r="366" spans="15:73"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  <c r="BT366" s="86"/>
      <c r="BU366" s="86"/>
    </row>
    <row r="367" spans="15:73"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  <c r="BT367" s="86"/>
      <c r="BU367" s="86"/>
    </row>
    <row r="368" spans="15:73"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  <c r="BT368" s="86"/>
      <c r="BU368" s="86"/>
    </row>
    <row r="369" spans="15:73"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  <c r="BT369" s="86"/>
      <c r="BU369" s="86"/>
    </row>
    <row r="370" spans="15:73"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  <c r="BT370" s="86"/>
      <c r="BU370" s="86"/>
    </row>
    <row r="371" spans="15:73"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  <c r="BT371" s="86"/>
      <c r="BU371" s="86"/>
    </row>
    <row r="372" spans="15:73"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  <c r="BT372" s="86"/>
      <c r="BU372" s="86"/>
    </row>
    <row r="373" spans="15:73"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  <c r="BT373" s="86"/>
      <c r="BU373" s="86"/>
    </row>
    <row r="374" spans="15:73"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  <c r="BT374" s="86"/>
      <c r="BU374" s="86"/>
    </row>
    <row r="375" spans="15:73"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  <c r="BT375" s="86"/>
      <c r="BU375" s="86"/>
    </row>
    <row r="376" spans="15:73"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  <c r="BT376" s="86"/>
      <c r="BU376" s="86"/>
    </row>
    <row r="377" spans="15:73"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  <c r="BT377" s="86"/>
      <c r="BU377" s="86"/>
    </row>
    <row r="378" spans="15:73"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  <c r="BT378" s="86"/>
      <c r="BU378" s="86"/>
    </row>
    <row r="379" spans="15:73"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  <c r="BT379" s="86"/>
      <c r="BU379" s="86"/>
    </row>
    <row r="380" spans="15:73"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  <c r="BT380" s="86"/>
      <c r="BU380" s="86"/>
    </row>
    <row r="381" spans="15:73"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  <c r="BT381" s="86"/>
      <c r="BU381" s="86"/>
    </row>
    <row r="382" spans="15:73"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  <c r="BT382" s="86"/>
      <c r="BU382" s="86"/>
    </row>
    <row r="383" spans="15:73"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  <c r="BT383" s="86"/>
      <c r="BU383" s="86"/>
    </row>
    <row r="384" spans="15:73"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  <c r="BT384" s="86"/>
      <c r="BU384" s="86"/>
    </row>
    <row r="385" spans="15:73"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  <c r="BT385" s="86"/>
      <c r="BU385" s="86"/>
    </row>
    <row r="386" spans="15:73"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  <c r="BT386" s="86"/>
      <c r="BU386" s="86"/>
    </row>
    <row r="387" spans="15:73"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  <c r="BT387" s="86"/>
      <c r="BU387" s="86"/>
    </row>
    <row r="388" spans="15:73"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  <c r="BT388" s="86"/>
      <c r="BU388" s="86"/>
    </row>
    <row r="389" spans="15:73"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  <c r="BT389" s="86"/>
      <c r="BU389" s="86"/>
    </row>
    <row r="390" spans="15:73"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  <c r="BT390" s="86"/>
      <c r="BU390" s="86"/>
    </row>
    <row r="391" spans="15:73"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  <c r="BT391" s="86"/>
      <c r="BU391" s="86"/>
    </row>
    <row r="392" spans="15:73"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  <c r="BT392" s="86"/>
      <c r="BU392" s="86"/>
    </row>
    <row r="393" spans="15:73"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  <c r="BT393" s="86"/>
      <c r="BU393" s="86"/>
    </row>
    <row r="394" spans="15:73"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  <c r="BT394" s="86"/>
      <c r="BU394" s="86"/>
    </row>
    <row r="395" spans="15:73"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  <c r="BT395" s="86"/>
      <c r="BU395" s="86"/>
    </row>
    <row r="396" spans="15:73"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  <c r="BT396" s="86"/>
      <c r="BU396" s="86"/>
    </row>
    <row r="397" spans="15:73"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  <c r="BT397" s="86"/>
      <c r="BU397" s="86"/>
    </row>
    <row r="398" spans="15:73"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  <c r="BT398" s="86"/>
      <c r="BU398" s="86"/>
    </row>
    <row r="399" spans="15:73"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  <c r="BT399" s="86"/>
      <c r="BU399" s="86"/>
    </row>
    <row r="400" spans="15:73"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  <c r="BT400" s="86"/>
      <c r="BU400" s="86"/>
    </row>
    <row r="401" spans="15:73"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6"/>
    </row>
    <row r="402" spans="15:73"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6"/>
    </row>
    <row r="403" spans="15:73"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6"/>
    </row>
    <row r="404" spans="15:73"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6"/>
    </row>
    <row r="405" spans="15:73"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6"/>
    </row>
    <row r="406" spans="15:73"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6"/>
    </row>
    <row r="407" spans="15:73"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6"/>
    </row>
    <row r="408" spans="15:73"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6"/>
    </row>
    <row r="409" spans="15:73"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6"/>
    </row>
    <row r="410" spans="15:73"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6"/>
    </row>
    <row r="411" spans="15:73"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6"/>
    </row>
    <row r="412" spans="15:73"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6"/>
    </row>
    <row r="413" spans="15:73"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6"/>
    </row>
    <row r="414" spans="15:73"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6"/>
    </row>
    <row r="415" spans="15:73"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6"/>
    </row>
    <row r="416" spans="15:73"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6"/>
    </row>
    <row r="417" spans="15:73"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6"/>
    </row>
    <row r="418" spans="15:73"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6"/>
    </row>
    <row r="419" spans="15:73"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6"/>
    </row>
    <row r="420" spans="15:73"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6"/>
    </row>
    <row r="421" spans="15:73"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6"/>
    </row>
    <row r="422" spans="15:73"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6"/>
    </row>
    <row r="423" spans="15:73"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</row>
    <row r="424" spans="15:73"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</row>
    <row r="425" spans="15:73"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</row>
    <row r="426" spans="15:73"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6"/>
    </row>
    <row r="427" spans="15:73"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6"/>
    </row>
    <row r="428" spans="15:73"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6"/>
    </row>
    <row r="429" spans="15:73"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6"/>
    </row>
    <row r="430" spans="15:73"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6"/>
    </row>
    <row r="431" spans="15:73"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6"/>
    </row>
    <row r="432" spans="15:73"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6"/>
    </row>
    <row r="433" spans="15:73"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6"/>
    </row>
    <row r="434" spans="15:73"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6"/>
    </row>
    <row r="435" spans="15:73"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6"/>
    </row>
    <row r="436" spans="15:73"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6"/>
    </row>
    <row r="437" spans="15:73"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6"/>
    </row>
    <row r="438" spans="15:73"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6"/>
    </row>
    <row r="439" spans="15:73"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6"/>
    </row>
    <row r="440" spans="15:73"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6"/>
    </row>
    <row r="441" spans="15:73"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6"/>
    </row>
    <row r="442" spans="15:73"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</row>
    <row r="443" spans="15:73"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</row>
    <row r="444" spans="15:73"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6"/>
    </row>
    <row r="445" spans="15:73"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6"/>
    </row>
    <row r="446" spans="15:73"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6"/>
    </row>
    <row r="447" spans="15:73"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6"/>
    </row>
    <row r="448" spans="15:73"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6"/>
    </row>
    <row r="449" spans="15:73"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6"/>
    </row>
    <row r="450" spans="15:73"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6"/>
    </row>
    <row r="451" spans="15:73"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6"/>
    </row>
    <row r="452" spans="15:73"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6"/>
    </row>
    <row r="453" spans="15:73"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6"/>
    </row>
    <row r="454" spans="15:73"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6"/>
    </row>
    <row r="455" spans="15:73"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6"/>
    </row>
    <row r="456" spans="15:73"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6"/>
    </row>
    <row r="457" spans="15:73"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6"/>
    </row>
    <row r="458" spans="15:73"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6"/>
    </row>
    <row r="459" spans="15:73"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6"/>
    </row>
    <row r="460" spans="15:73"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6"/>
    </row>
    <row r="461" spans="15:73"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6"/>
    </row>
    <row r="462" spans="15:73"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6"/>
    </row>
    <row r="463" spans="15:73"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6"/>
    </row>
    <row r="464" spans="15:73"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6"/>
    </row>
    <row r="465" spans="15:73"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6"/>
    </row>
    <row r="466" spans="15:73"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</row>
    <row r="467" spans="15:73"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6"/>
    </row>
    <row r="468" spans="15:73"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6"/>
    </row>
    <row r="469" spans="15:73"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6"/>
    </row>
    <row r="470" spans="15:73"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6"/>
    </row>
    <row r="471" spans="15:73"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6"/>
    </row>
    <row r="472" spans="15:73"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6"/>
    </row>
    <row r="473" spans="15:73"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6"/>
    </row>
    <row r="474" spans="15:73"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6"/>
    </row>
    <row r="475" spans="15:73"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6"/>
    </row>
    <row r="476" spans="15:73"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6"/>
    </row>
    <row r="477" spans="15:73"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6"/>
    </row>
    <row r="478" spans="15:73"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6"/>
    </row>
    <row r="479" spans="15:73"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6"/>
    </row>
    <row r="480" spans="15:73"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6"/>
    </row>
    <row r="481" spans="15:73"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6"/>
    </row>
    <row r="482" spans="15:73"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6"/>
    </row>
    <row r="483" spans="15:73"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6"/>
    </row>
    <row r="484" spans="15:73"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</row>
    <row r="485" spans="15:73"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6"/>
    </row>
    <row r="486" spans="15:73"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6"/>
    </row>
    <row r="487" spans="15:73"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6"/>
    </row>
    <row r="488" spans="15:73"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6"/>
    </row>
    <row r="489" spans="15:73"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6"/>
    </row>
    <row r="490" spans="15:73"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6"/>
    </row>
    <row r="491" spans="15:73"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6"/>
    </row>
    <row r="492" spans="15:73"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6"/>
    </row>
    <row r="493" spans="15:73"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6"/>
    </row>
    <row r="494" spans="15:73"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6"/>
    </row>
    <row r="495" spans="15:73"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6"/>
    </row>
    <row r="496" spans="15:73"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</row>
    <row r="497" spans="15:73"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6"/>
    </row>
    <row r="498" spans="15:73"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6"/>
    </row>
    <row r="499" spans="15:73"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6"/>
    </row>
    <row r="500" spans="15:73"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6"/>
    </row>
    <row r="501" spans="15:73"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6"/>
    </row>
    <row r="502" spans="15:73"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6"/>
    </row>
    <row r="503" spans="15:73"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6"/>
    </row>
    <row r="504" spans="15:73"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6"/>
    </row>
    <row r="505" spans="15:73"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6"/>
    </row>
    <row r="506" spans="15:73"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6"/>
    </row>
    <row r="507" spans="15:73"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6"/>
    </row>
    <row r="508" spans="15:73"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6"/>
    </row>
    <row r="509" spans="15:73"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</row>
    <row r="510" spans="15:73"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</row>
    <row r="511" spans="15:73"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</row>
    <row r="512" spans="15:73"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6"/>
    </row>
    <row r="513" spans="15:73"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6"/>
    </row>
    <row r="514" spans="15:73"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6"/>
    </row>
    <row r="515" spans="15:73"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6"/>
    </row>
    <row r="516" spans="15:73"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6"/>
    </row>
    <row r="517" spans="15:73"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</row>
    <row r="518" spans="15:73"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</row>
    <row r="519" spans="15:73"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</row>
    <row r="520" spans="15:73"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</row>
    <row r="521" spans="15:73"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</row>
    <row r="522" spans="15:73"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</row>
    <row r="523" spans="15:73"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</row>
    <row r="524" spans="15:73"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</row>
    <row r="525" spans="15:73"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</row>
    <row r="526" spans="15:73"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</row>
    <row r="527" spans="15:73"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</row>
    <row r="528" spans="15:73"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</row>
    <row r="529" spans="15:73"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</row>
    <row r="530" spans="15:73"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</row>
    <row r="531" spans="15:73"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</row>
    <row r="532" spans="15:73"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</row>
    <row r="533" spans="15:73"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</row>
    <row r="534" spans="15:73"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</row>
    <row r="535" spans="15:73"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</row>
    <row r="536" spans="15:73"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</row>
    <row r="537" spans="15:73"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</row>
    <row r="538" spans="15:73"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</row>
    <row r="539" spans="15:73"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</row>
    <row r="540" spans="15:73"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</row>
    <row r="541" spans="15:73"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</row>
    <row r="542" spans="15:73"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</row>
    <row r="543" spans="15:73"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</row>
    <row r="544" spans="15:73"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</row>
    <row r="545" spans="15:73"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</row>
    <row r="546" spans="15:73"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</row>
    <row r="547" spans="15:73"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</row>
    <row r="548" spans="15:73"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</row>
    <row r="549" spans="15:73"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</row>
    <row r="550" spans="15:73"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</row>
    <row r="551" spans="15:73"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6"/>
    </row>
  </sheetData>
  <dataConsolidate link="1"/>
  <phoneticPr fontId="4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6"/>
  <sheetViews>
    <sheetView showGridLines="0" topLeftCell="A12" zoomScaleNormal="100" workbookViewId="0"/>
  </sheetViews>
  <sheetFormatPr defaultColWidth="9.109375" defaultRowHeight="13.2"/>
  <cols>
    <col min="1" max="1" width="16" customWidth="1"/>
    <col min="2" max="2" width="12.33203125" bestFit="1" customWidth="1"/>
    <col min="3" max="3" width="13.44140625" bestFit="1" customWidth="1"/>
    <col min="4" max="4" width="11.109375" bestFit="1" customWidth="1"/>
    <col min="5" max="5" width="13.44140625" bestFit="1" customWidth="1"/>
    <col min="6" max="6" width="1.6640625" customWidth="1"/>
    <col min="7" max="7" width="14.44140625" bestFit="1" customWidth="1"/>
    <col min="8" max="9" width="13.44140625" bestFit="1" customWidth="1"/>
    <col min="10" max="10" width="10.6640625" customWidth="1"/>
    <col min="11" max="11" width="13.5546875" customWidth="1"/>
    <col min="12" max="12" width="11.664062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80" t="s">
        <v>58</v>
      </c>
      <c r="C2" s="180"/>
      <c r="D2" s="180"/>
      <c r="E2" s="180"/>
      <c r="F2" s="15"/>
      <c r="G2" s="180" t="s">
        <v>59</v>
      </c>
      <c r="H2" s="180"/>
      <c r="I2" s="180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4">
      <c r="A5" s="15"/>
      <c r="B5" s="181" t="s">
        <v>67</v>
      </c>
      <c r="C5" s="181"/>
      <c r="D5" s="181"/>
      <c r="E5" s="181"/>
      <c r="F5" s="181"/>
      <c r="G5" s="181"/>
      <c r="H5" s="181"/>
      <c r="I5" s="181"/>
      <c r="J5" s="181"/>
    </row>
    <row r="6" spans="1:12" ht="13.8">
      <c r="A6" s="15" t="s">
        <v>34</v>
      </c>
      <c r="B6" s="38">
        <v>340.786</v>
      </c>
      <c r="C6" s="39">
        <v>51814.455000000002</v>
      </c>
      <c r="D6" s="39">
        <v>654.51012091299992</v>
      </c>
      <c r="E6" s="28">
        <f>SUM(B6:D6)</f>
        <v>52809.751120913003</v>
      </c>
      <c r="F6" s="39"/>
      <c r="G6" s="39">
        <f>E6-H6-J6</f>
        <v>38958.712222688002</v>
      </c>
      <c r="H6" s="39">
        <v>13540.111898224999</v>
      </c>
      <c r="I6" s="39">
        <f>E6-J6</f>
        <v>52498.824120912999</v>
      </c>
      <c r="J6" s="39">
        <v>310.92700000000002</v>
      </c>
    </row>
    <row r="7" spans="1:12" ht="16.2">
      <c r="A7" s="15" t="s">
        <v>35</v>
      </c>
      <c r="B7" s="38">
        <f>J6</f>
        <v>310.92700000000002</v>
      </c>
      <c r="C7" s="39">
        <f>C23</f>
        <v>52493.097999999998</v>
      </c>
      <c r="D7" s="39">
        <f>D23</f>
        <v>632.09806422399993</v>
      </c>
      <c r="E7" s="28">
        <f>SUM(B7:D7)</f>
        <v>53436.123064224004</v>
      </c>
      <c r="F7" s="39"/>
      <c r="G7" s="39">
        <f>E7-H7-J7</f>
        <v>38401.723957986855</v>
      </c>
      <c r="H7" s="39">
        <f>H23</f>
        <v>14663.508106237146</v>
      </c>
      <c r="I7" s="39">
        <f>E7-J7</f>
        <v>53065.232064224001</v>
      </c>
      <c r="J7" s="39">
        <f>J22</f>
        <v>370.89100000000002</v>
      </c>
      <c r="K7" s="165"/>
      <c r="L7" s="166"/>
    </row>
    <row r="8" spans="1:12" ht="16.2">
      <c r="A8" s="15" t="s">
        <v>36</v>
      </c>
      <c r="B8" s="38">
        <f>J7</f>
        <v>370.89100000000002</v>
      </c>
      <c r="C8" s="39">
        <v>54254.108999999997</v>
      </c>
      <c r="D8" s="39">
        <v>600</v>
      </c>
      <c r="E8" s="28">
        <f>SUM(B8:D8)</f>
        <v>55225</v>
      </c>
      <c r="F8" s="39"/>
      <c r="G8" s="39">
        <v>39025</v>
      </c>
      <c r="H8" s="39">
        <v>15800</v>
      </c>
      <c r="I8" s="39">
        <f>SUM(G8:H8)</f>
        <v>54825</v>
      </c>
      <c r="J8" s="39">
        <f>E8-I8</f>
        <v>400</v>
      </c>
      <c r="L8" s="167"/>
    </row>
    <row r="9" spans="1:12" ht="13.8">
      <c r="A9" s="15"/>
      <c r="B9" s="40"/>
      <c r="C9" s="40"/>
      <c r="D9" s="40"/>
      <c r="E9" s="40"/>
      <c r="F9" s="40"/>
      <c r="G9" s="39"/>
      <c r="H9" s="40"/>
      <c r="I9" s="40"/>
      <c r="J9" s="40"/>
    </row>
    <row r="10" spans="1:12" ht="13.8">
      <c r="A10" s="31" t="s">
        <v>37</v>
      </c>
      <c r="B10" s="41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39</v>
      </c>
      <c r="B11" s="41">
        <f>J6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4972.2048571759997</v>
      </c>
      <c r="F11" s="6"/>
      <c r="G11" s="6">
        <f>I11-H11</f>
        <v>3639.9264505289998</v>
      </c>
      <c r="H11" s="6">
        <f>(865513.7*1.10231)/1000</f>
        <v>954.06440664699983</v>
      </c>
      <c r="I11" s="5">
        <f>E11-J11</f>
        <v>4593.9908571759997</v>
      </c>
      <c r="J11" s="6">
        <v>378.214</v>
      </c>
      <c r="K11" s="87"/>
      <c r="L11" s="89"/>
    </row>
    <row r="12" spans="1:12" ht="14.4">
      <c r="A12" s="15" t="s">
        <v>40</v>
      </c>
      <c r="B12" s="41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3367.700833154001</v>
      </c>
      <c r="H12" s="6">
        <f>(1079708.1*1.10231)/1000</f>
        <v>1190.173035711</v>
      </c>
      <c r="I12" s="5">
        <f t="shared" ref="I12:I22" si="3">E12-J12</f>
        <v>4557.873868865001</v>
      </c>
      <c r="J12" s="6">
        <v>349.10500000000002</v>
      </c>
      <c r="K12" s="87"/>
      <c r="L12" s="89"/>
    </row>
    <row r="13" spans="1:12" ht="14.4">
      <c r="A13" s="15" t="s">
        <v>42</v>
      </c>
      <c r="B13" s="41">
        <f t="shared" si="1"/>
        <v>349.10500000000002</v>
      </c>
      <c r="C13" s="6">
        <v>4437.4089999999997</v>
      </c>
      <c r="D13" s="6">
        <f>(32194.3*1.10231)/1000</f>
        <v>35.488098832999995</v>
      </c>
      <c r="E13" s="6">
        <f t="shared" si="0"/>
        <v>4822.0020988329989</v>
      </c>
      <c r="F13" s="6"/>
      <c r="G13" s="6">
        <f t="shared" si="2"/>
        <v>3173.9462998459985</v>
      </c>
      <c r="H13" s="6">
        <f>(1081527.7*1.10231)/1000</f>
        <v>1192.1787989869997</v>
      </c>
      <c r="I13" s="5">
        <f t="shared" si="3"/>
        <v>4366.1250988329984</v>
      </c>
      <c r="J13" s="6">
        <v>455.87700000000001</v>
      </c>
      <c r="K13" s="87"/>
      <c r="L13" s="89"/>
    </row>
    <row r="14" spans="1:12" ht="14.4">
      <c r="A14" s="15" t="s">
        <v>43</v>
      </c>
      <c r="B14" s="41">
        <f t="shared" si="1"/>
        <v>455.87700000000001</v>
      </c>
      <c r="C14" s="6">
        <v>4540.9090000000006</v>
      </c>
      <c r="D14" s="6">
        <f>(87357.8*1.10231)/1000</f>
        <v>96.295376517999983</v>
      </c>
      <c r="E14" s="6">
        <f t="shared" si="0"/>
        <v>5093.081376518001</v>
      </c>
      <c r="F14" s="6"/>
      <c r="G14" s="6">
        <f t="shared" si="2"/>
        <v>3101.8863894670012</v>
      </c>
      <c r="H14" s="6">
        <f>(1404622.1*1.10231)/1000</f>
        <v>1548.3289870509998</v>
      </c>
      <c r="I14" s="5">
        <f t="shared" si="3"/>
        <v>4650.215376518001</v>
      </c>
      <c r="J14" s="6">
        <v>442.86599999999999</v>
      </c>
      <c r="K14" s="87"/>
      <c r="L14" s="89"/>
    </row>
    <row r="15" spans="1:12" ht="14.4">
      <c r="A15" s="15" t="s">
        <v>44</v>
      </c>
      <c r="B15" s="41">
        <f t="shared" si="1"/>
        <v>442.86599999999999</v>
      </c>
      <c r="C15" s="6">
        <v>4197.5839999999998</v>
      </c>
      <c r="D15" s="6">
        <f>(40187.2*1.10231)/1000</f>
        <v>44.298752431999993</v>
      </c>
      <c r="E15" s="6">
        <f t="shared" si="0"/>
        <v>4684.7487524319995</v>
      </c>
      <c r="F15" s="6"/>
      <c r="G15" s="6">
        <f t="shared" si="2"/>
        <v>3189.261751647</v>
      </c>
      <c r="H15" s="6">
        <f>(925173.5*1.10231)/1000</f>
        <v>1019.828000785</v>
      </c>
      <c r="I15" s="5">
        <f t="shared" si="3"/>
        <v>4209.0897524319998</v>
      </c>
      <c r="J15" s="6">
        <v>475.65899999999999</v>
      </c>
      <c r="K15" s="87"/>
      <c r="L15" s="89"/>
    </row>
    <row r="16" spans="1:12" ht="14.4">
      <c r="A16" s="15" t="s">
        <v>46</v>
      </c>
      <c r="B16" s="41">
        <f t="shared" si="1"/>
        <v>475.65899999999999</v>
      </c>
      <c r="C16" s="6">
        <v>4698.1610000000001</v>
      </c>
      <c r="D16" s="6">
        <f>(43410.1*1.10231)/1000</f>
        <v>47.851387330999991</v>
      </c>
      <c r="E16" s="6">
        <f t="shared" si="0"/>
        <v>5221.671387331</v>
      </c>
      <c r="F16" s="6"/>
      <c r="G16" s="6">
        <f t="shared" si="2"/>
        <v>3369.7769356149997</v>
      </c>
      <c r="H16" s="6">
        <f>(1336143.6*1.10231)/1000</f>
        <v>1472.8444517160001</v>
      </c>
      <c r="I16" s="5">
        <f t="shared" si="3"/>
        <v>4842.6213873309998</v>
      </c>
      <c r="J16" s="6">
        <v>379.04999999999995</v>
      </c>
      <c r="K16" s="87"/>
      <c r="L16" s="89"/>
    </row>
    <row r="17" spans="1:13" ht="14.4">
      <c r="A17" s="15" t="s">
        <v>47</v>
      </c>
      <c r="B17" s="41">
        <f t="shared" si="1"/>
        <v>379.04999999999995</v>
      </c>
      <c r="C17" s="6">
        <v>4433.6350000000002</v>
      </c>
      <c r="D17" s="6">
        <f>(25951.8*1.10231)/1000</f>
        <v>28.606928657999998</v>
      </c>
      <c r="E17" s="6">
        <f t="shared" si="0"/>
        <v>4841.291928658</v>
      </c>
      <c r="F17" s="6"/>
      <c r="G17" s="6">
        <f t="shared" si="2"/>
        <v>3019.334526696</v>
      </c>
      <c r="H17" s="6">
        <f>(1128650.2*1.10231)/1000</f>
        <v>1244.1224019619999</v>
      </c>
      <c r="I17" s="5">
        <f t="shared" si="3"/>
        <v>4263.4569286579999</v>
      </c>
      <c r="J17" s="6">
        <v>577.83499999999992</v>
      </c>
      <c r="K17" s="87"/>
      <c r="L17" s="89"/>
    </row>
    <row r="18" spans="1:13" ht="14.4">
      <c r="A18" s="15" t="s">
        <v>48</v>
      </c>
      <c r="B18" s="41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0"/>
        <v>5094.2713006490003</v>
      </c>
      <c r="F18" s="6"/>
      <c r="G18" s="6">
        <f t="shared" si="2"/>
        <v>3474.6210888970008</v>
      </c>
      <c r="H18" s="6">
        <f>(1080559.2*1.10231)/1000</f>
        <v>1191.1112117519997</v>
      </c>
      <c r="I18" s="5">
        <f t="shared" si="3"/>
        <v>4665.7323006490005</v>
      </c>
      <c r="J18" s="6">
        <v>428.53899999999999</v>
      </c>
      <c r="K18" s="87"/>
      <c r="L18" s="89"/>
    </row>
    <row r="19" spans="1:13" ht="14.4">
      <c r="A19" s="15" t="s">
        <v>50</v>
      </c>
      <c r="B19" s="41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0"/>
        <v>4632.8251534669998</v>
      </c>
      <c r="F19" s="6"/>
      <c r="G19" s="6">
        <f t="shared" si="2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87"/>
    </row>
    <row r="20" spans="1:13" ht="14.4">
      <c r="A20" s="15" t="s">
        <v>51</v>
      </c>
      <c r="B20" s="41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0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3"/>
        <v>4308.5391473620011</v>
      </c>
      <c r="J20" s="6">
        <v>469.548</v>
      </c>
      <c r="K20" s="87"/>
    </row>
    <row r="21" spans="1:13" ht="14.4">
      <c r="A21" s="15" t="s">
        <v>52</v>
      </c>
      <c r="B21" s="41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0"/>
        <v>4553.8776895809997</v>
      </c>
      <c r="F21" s="6"/>
      <c r="G21" s="6">
        <f t="shared" ref="G21:G22" si="4">I21-H21</f>
        <v>3059.2082030979991</v>
      </c>
      <c r="H21" s="6">
        <f>(1068509.3*1.10231)/1000</f>
        <v>1177.828486483</v>
      </c>
      <c r="I21" s="5">
        <f t="shared" si="3"/>
        <v>4237.0366895809993</v>
      </c>
      <c r="J21" s="6">
        <v>316.84100000000001</v>
      </c>
      <c r="K21" s="87"/>
    </row>
    <row r="22" spans="1:13" ht="14.4">
      <c r="A22" s="15" t="s">
        <v>38</v>
      </c>
      <c r="B22" s="41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3013.3502875580007</v>
      </c>
      <c r="H22" s="6">
        <f>(988777.5*1.10231)/1000</f>
        <v>1089.9393260249999</v>
      </c>
      <c r="I22" s="5">
        <f t="shared" si="3"/>
        <v>4103.2896135830006</v>
      </c>
      <c r="J22" s="6">
        <v>370.89100000000002</v>
      </c>
      <c r="K22" s="90"/>
    </row>
    <row r="23" spans="1:13" ht="14.4">
      <c r="A23" s="15" t="s">
        <v>28</v>
      </c>
      <c r="B23" s="41"/>
      <c r="C23" s="6">
        <f>SUM(C11:C22)</f>
        <v>52493.097999999998</v>
      </c>
      <c r="D23" s="6">
        <f>(573430.4*1.10231)/1000</f>
        <v>632.09806422399993</v>
      </c>
      <c r="E23" s="6">
        <f>B11+C23+D23</f>
        <v>53436.123064224004</v>
      </c>
      <c r="F23" s="6"/>
      <c r="G23" s="6">
        <f>SUM(G11:G22)</f>
        <v>38401.741384276</v>
      </c>
      <c r="H23" s="6">
        <f>(13302510.8*1.10231131)/1000</f>
        <v>14663.508106237146</v>
      </c>
      <c r="I23" s="5">
        <f>SUM(I11:I22)</f>
        <v>53065.232174455006</v>
      </c>
      <c r="J23" s="6"/>
      <c r="K23" s="87"/>
    </row>
    <row r="24" spans="1:13" ht="14.4">
      <c r="A24" s="15"/>
      <c r="B24" s="41"/>
      <c r="C24" s="6"/>
      <c r="D24" s="6"/>
      <c r="E24" s="6"/>
      <c r="F24" s="6"/>
      <c r="G24" s="6"/>
      <c r="H24" s="6"/>
      <c r="I24" s="6"/>
      <c r="J24" s="6"/>
      <c r="K24" s="87"/>
    </row>
    <row r="25" spans="1:13" ht="14.4">
      <c r="A25" s="31" t="s">
        <v>54</v>
      </c>
      <c r="B25" s="41"/>
      <c r="C25" s="6"/>
      <c r="D25" s="6"/>
      <c r="E25" s="6"/>
      <c r="F25" s="6"/>
      <c r="G25" s="6"/>
      <c r="H25" s="6"/>
      <c r="I25" s="6"/>
      <c r="J25" s="6"/>
      <c r="K25" s="87"/>
    </row>
    <row r="26" spans="1:13" ht="14.4">
      <c r="A26" s="15" t="s">
        <v>39</v>
      </c>
      <c r="B26" s="112">
        <f>J22</f>
        <v>370.89100000000002</v>
      </c>
      <c r="C26" s="113">
        <v>4738.4830000000002</v>
      </c>
      <c r="D26" s="6">
        <f>(43328.6*1.10231)/1000</f>
        <v>47.761549065999994</v>
      </c>
      <c r="E26" s="6">
        <f>SUM(B26:D26)</f>
        <v>5157.1355490659998</v>
      </c>
      <c r="F26" s="6"/>
      <c r="G26" s="6">
        <f>I26-H26</f>
        <v>3508.2654674079995</v>
      </c>
      <c r="H26" s="6">
        <f>(1192251.8*1.10231)/1000</f>
        <v>1314.231081658</v>
      </c>
      <c r="I26" s="103">
        <f>E26-J26</f>
        <v>4822.4965490659997</v>
      </c>
      <c r="J26" s="113">
        <v>334.63900000000001</v>
      </c>
      <c r="K26" s="87"/>
    </row>
    <row r="27" spans="1:13" ht="14.4">
      <c r="A27" s="15" t="s">
        <v>40</v>
      </c>
      <c r="B27" s="41">
        <f>J26</f>
        <v>334.63900000000001</v>
      </c>
      <c r="C27" s="6">
        <v>4706.2079999999996</v>
      </c>
      <c r="D27" s="6">
        <f>(48386*1.10231)/1000</f>
        <v>53.336371659999998</v>
      </c>
      <c r="E27" s="6">
        <f>SUM(B27:D27)</f>
        <v>5094.1833716599995</v>
      </c>
      <c r="F27" s="6"/>
      <c r="G27" s="6">
        <f>I27-H27</f>
        <v>3323.0084968819997</v>
      </c>
      <c r="H27" s="6">
        <f>(1330603.8*1.10231)/1000</f>
        <v>1466.7378747779999</v>
      </c>
      <c r="I27" s="6">
        <f>E27-J27</f>
        <v>4789.7463716599996</v>
      </c>
      <c r="J27" s="6">
        <v>304.43700000000001</v>
      </c>
      <c r="K27" s="87"/>
    </row>
    <row r="28" spans="1:13" ht="14.4">
      <c r="A28" s="15" t="s">
        <v>42</v>
      </c>
      <c r="B28" s="41">
        <f>J27</f>
        <v>304.43700000000001</v>
      </c>
      <c r="C28" s="6">
        <v>4818.3419999999996</v>
      </c>
      <c r="D28" s="107">
        <f>(53080.8*1.10231)/1000</f>
        <v>58.511496647999998</v>
      </c>
      <c r="E28" s="107">
        <f>SUM(B28:D28)</f>
        <v>5181.2904966479991</v>
      </c>
      <c r="F28" s="107"/>
      <c r="G28" s="107">
        <f>I28-H28</f>
        <v>3083.7882748589991</v>
      </c>
      <c r="H28" s="107">
        <f>(1448541.9*1.10231)/1000</f>
        <v>1596.7422217889998</v>
      </c>
      <c r="I28" s="107">
        <f>E28-J28</f>
        <v>4680.5304966479989</v>
      </c>
      <c r="J28" s="6">
        <v>500.76</v>
      </c>
      <c r="K28" s="87"/>
      <c r="L28" s="35"/>
    </row>
    <row r="29" spans="1:13" ht="14.4">
      <c r="A29" s="15" t="s">
        <v>43</v>
      </c>
      <c r="B29" s="41">
        <f>J28</f>
        <v>500.76</v>
      </c>
      <c r="C29" s="6">
        <v>4595.6220000000003</v>
      </c>
      <c r="D29" s="107">
        <f>(53674.5*1.10231)/1000</f>
        <v>59.165938094999994</v>
      </c>
      <c r="E29" s="107">
        <f>SUM(B29:D29)</f>
        <v>5155.5479380950001</v>
      </c>
      <c r="F29" s="107"/>
      <c r="G29" s="107">
        <f>I29-H29</f>
        <v>3288.6776487350007</v>
      </c>
      <c r="H29" s="107">
        <f>(1376056*1.10231)/1000</f>
        <v>1516.8402893599998</v>
      </c>
      <c r="I29" s="107">
        <f>E29-J29</f>
        <v>4805.5179380950003</v>
      </c>
      <c r="J29" s="6">
        <v>350.03</v>
      </c>
      <c r="K29" s="87"/>
      <c r="L29" s="35"/>
      <c r="M29" s="96"/>
    </row>
    <row r="30" spans="1:13" ht="16.2">
      <c r="A30" s="82" t="s">
        <v>68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3" ht="14.4">
      <c r="A31" s="15" t="s">
        <v>69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3" ht="13.8">
      <c r="A32" s="20" t="s">
        <v>57</v>
      </c>
      <c r="B32" s="37">
        <f>Contents!A16</f>
        <v>45363</v>
      </c>
      <c r="C32" s="34"/>
      <c r="D32" s="29"/>
      <c r="E32" s="29"/>
      <c r="F32" s="29"/>
      <c r="G32" s="29"/>
      <c r="H32" s="29"/>
      <c r="I32" s="29"/>
      <c r="J32" s="29"/>
    </row>
    <row r="33" spans="2:10">
      <c r="B33" s="43"/>
      <c r="C33" s="44"/>
      <c r="D33" s="43"/>
      <c r="E33" s="84"/>
      <c r="F33" s="43"/>
      <c r="G33" s="43"/>
      <c r="H33" s="45"/>
      <c r="I33" s="84"/>
      <c r="J33" s="43"/>
    </row>
    <row r="34" spans="2:10">
      <c r="B34" s="43"/>
      <c r="C34" s="43"/>
      <c r="D34" s="43"/>
      <c r="E34" s="43"/>
      <c r="F34" s="43"/>
      <c r="G34" s="43"/>
      <c r="H34" s="43"/>
      <c r="I34" s="43"/>
      <c r="J34" s="43"/>
    </row>
    <row r="35" spans="2:10">
      <c r="G35" s="35"/>
    </row>
    <row r="36" spans="2:10">
      <c r="G36" s="94"/>
    </row>
  </sheetData>
  <mergeCells count="3">
    <mergeCell ref="G2:I2"/>
    <mergeCell ref="B5:J5"/>
    <mergeCell ref="B2:E2"/>
  </mergeCells>
  <phoneticPr fontId="40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4"/>
  <sheetViews>
    <sheetView showGridLines="0" zoomScaleNormal="100" workbookViewId="0">
      <pane xSplit="1" ySplit="1" topLeftCell="B12" activePane="bottomRight" state="frozen"/>
      <selection pane="topRight" activeCell="B1" sqref="B1"/>
      <selection pane="bottomLeft" activeCell="B1" sqref="B1"/>
      <selection pane="bottomRight"/>
    </sheetView>
  </sheetViews>
  <sheetFormatPr defaultColWidth="9.109375" defaultRowHeight="13.2"/>
  <cols>
    <col min="1" max="1" width="15.44140625" customWidth="1"/>
    <col min="2" max="2" width="12.33203125" bestFit="1" customWidth="1"/>
    <col min="3" max="3" width="12.109375" bestFit="1" customWidth="1"/>
    <col min="4" max="4" width="11" bestFit="1" customWidth="1"/>
    <col min="5" max="5" width="12.33203125" customWidth="1"/>
    <col min="6" max="6" width="3.6640625" customWidth="1"/>
    <col min="7" max="7" width="11.5546875" bestFit="1" customWidth="1"/>
    <col min="8" max="8" width="12.33203125" customWidth="1"/>
    <col min="9" max="9" width="12.6640625" customWidth="1"/>
    <col min="10" max="10" width="9.664062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80" t="s">
        <v>58</v>
      </c>
      <c r="C2" s="180"/>
      <c r="D2" s="180"/>
      <c r="E2" s="180"/>
      <c r="F2" s="15"/>
      <c r="G2" s="180" t="s">
        <v>59</v>
      </c>
      <c r="H2" s="180"/>
      <c r="I2" s="180"/>
      <c r="J2" s="145"/>
      <c r="K2" s="145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45" t="s">
        <v>64</v>
      </c>
      <c r="H3" s="145"/>
      <c r="I3" s="145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82" t="s">
        <v>75</v>
      </c>
      <c r="C5" s="182"/>
      <c r="D5" s="183"/>
      <c r="E5" s="182"/>
      <c r="F5" s="182"/>
      <c r="G5" s="182"/>
      <c r="H5" s="182"/>
      <c r="I5" s="182"/>
      <c r="J5" s="182"/>
      <c r="K5" s="182"/>
      <c r="L5" s="182"/>
    </row>
    <row r="6" spans="1:20" ht="16.2">
      <c r="A6" s="15" t="s">
        <v>76</v>
      </c>
      <c r="B6" s="40">
        <v>2131.2330000000002</v>
      </c>
      <c r="C6" s="40">
        <v>26155.172999999999</v>
      </c>
      <c r="D6" s="110">
        <f>(137422.8*2204.622)/1000000</f>
        <v>302.9653281816</v>
      </c>
      <c r="E6" s="40">
        <f>SUM(B6:D6)</f>
        <v>28589.371328181598</v>
      </c>
      <c r="F6" s="40"/>
      <c r="G6" s="40">
        <f>E6-L6-J6</f>
        <v>24827.303827433996</v>
      </c>
      <c r="H6" s="40">
        <v>10378.75</v>
      </c>
      <c r="I6" s="28">
        <f>G6-H6</f>
        <v>14448.553827433996</v>
      </c>
      <c r="J6" s="28">
        <f>(803275.8*2204.622)/1000000</f>
        <v>1770.9195007476001</v>
      </c>
      <c r="K6" s="40">
        <f>G6+J6</f>
        <v>26598.223328181597</v>
      </c>
      <c r="L6" s="40">
        <v>1991.1479999999999</v>
      </c>
    </row>
    <row r="7" spans="1:20" ht="16.2">
      <c r="A7" s="15" t="s">
        <v>77</v>
      </c>
      <c r="B7" s="40">
        <f>L6</f>
        <v>1991.1479999999999</v>
      </c>
      <c r="C7" s="40">
        <f>C23</f>
        <v>26227.309000000001</v>
      </c>
      <c r="D7" s="40">
        <f>D23</f>
        <v>375.69933535679996</v>
      </c>
      <c r="E7" s="40">
        <f>E23</f>
        <v>28594.156335356802</v>
      </c>
      <c r="F7" s="40"/>
      <c r="G7" s="40">
        <f>K7-J7</f>
        <v>26609.010401643802</v>
      </c>
      <c r="H7" s="40">
        <f>H23</f>
        <v>12490.714000000002</v>
      </c>
      <c r="I7" s="28">
        <f>G7-H7</f>
        <v>14118.2964016438</v>
      </c>
      <c r="J7" s="40">
        <f>J23</f>
        <v>378.07393371299997</v>
      </c>
      <c r="K7" s="40">
        <f>E7-L7</f>
        <v>26987.084335356802</v>
      </c>
      <c r="L7" s="40">
        <f>L22</f>
        <v>1607.0719999999999</v>
      </c>
      <c r="M7" s="165"/>
      <c r="N7" s="165"/>
      <c r="O7" s="165"/>
      <c r="P7" s="165"/>
      <c r="Q7" s="165"/>
      <c r="R7" s="165"/>
      <c r="S7" s="165"/>
      <c r="T7" s="165"/>
    </row>
    <row r="8" spans="1:20" ht="16.2">
      <c r="A8" s="15" t="s">
        <v>36</v>
      </c>
      <c r="B8" s="40">
        <f>L7</f>
        <v>1607.0719999999999</v>
      </c>
      <c r="C8" s="40">
        <v>27025</v>
      </c>
      <c r="D8" s="40">
        <v>450</v>
      </c>
      <c r="E8" s="40">
        <f>SUM(B8:D8)</f>
        <v>29082.072</v>
      </c>
      <c r="F8" s="40"/>
      <c r="G8" s="40">
        <f>SUM(H8:I8)</f>
        <v>27200</v>
      </c>
      <c r="H8" s="40">
        <v>13000</v>
      </c>
      <c r="I8" s="28">
        <v>14200</v>
      </c>
      <c r="J8" s="40">
        <v>300</v>
      </c>
      <c r="K8" s="40">
        <f>G8+J8</f>
        <v>27500</v>
      </c>
      <c r="L8" s="40">
        <f>E8-K8</f>
        <v>1582.0720000000001</v>
      </c>
    </row>
    <row r="9" spans="1:20" ht="13.8">
      <c r="A9" s="15"/>
      <c r="B9" s="40"/>
      <c r="C9" s="40"/>
      <c r="D9" s="40"/>
      <c r="E9" s="40"/>
      <c r="F9" s="40"/>
      <c r="G9" s="40"/>
      <c r="H9" s="40"/>
      <c r="I9" s="81"/>
      <c r="J9" s="40"/>
      <c r="K9" s="40"/>
      <c r="L9" s="40"/>
    </row>
    <row r="10" spans="1:20" ht="13.8">
      <c r="A10" s="31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L6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2241.8177746275996</v>
      </c>
      <c r="H11" s="111">
        <v>906.40899999999999</v>
      </c>
      <c r="I11" s="6">
        <f t="shared" ref="I11:I17" si="1">G11-H11</f>
        <v>1335.4087746275995</v>
      </c>
      <c r="J11" s="6">
        <f>(10675.6*2204.622)/1000000</f>
        <v>23.5356626232</v>
      </c>
      <c r="K11" s="6">
        <f t="shared" ref="K11:K17" si="2">E11-L11</f>
        <v>2265.3534372507997</v>
      </c>
      <c r="L11" s="5">
        <v>2093.623</v>
      </c>
      <c r="N11" s="89"/>
    </row>
    <row r="12" spans="1:20" ht="13.8">
      <c r="A12" s="15" t="s">
        <v>40</v>
      </c>
      <c r="B12" s="5">
        <f t="shared" ref="B12:B18" si="3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ref="G12:G18" si="4">K12-J12</f>
        <v>2183.7493667224003</v>
      </c>
      <c r="H12" s="111">
        <v>943.34199999999998</v>
      </c>
      <c r="I12" s="6">
        <f t="shared" si="1"/>
        <v>1240.4073667224002</v>
      </c>
      <c r="J12" s="6">
        <f>(10635.4*2204.622)/1000000</f>
        <v>23.447036818799997</v>
      </c>
      <c r="K12" s="6">
        <f t="shared" si="2"/>
        <v>2207.1964035412002</v>
      </c>
      <c r="L12" s="5">
        <v>2112.2809999999999</v>
      </c>
      <c r="N12" s="89"/>
    </row>
    <row r="13" spans="1:20" ht="13.8">
      <c r="A13" s="15" t="s">
        <v>42</v>
      </c>
      <c r="B13" s="5">
        <f t="shared" si="3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4"/>
        <v>1989.2481907986005</v>
      </c>
      <c r="H13" s="111">
        <v>885.65899999999999</v>
      </c>
      <c r="I13" s="6">
        <f t="shared" si="1"/>
        <v>1103.5891907986006</v>
      </c>
      <c r="J13" s="6">
        <f>(15806.1*2204.622)/1000000</f>
        <v>34.846475794199996</v>
      </c>
      <c r="K13" s="6">
        <f t="shared" si="2"/>
        <v>2024.0946665928004</v>
      </c>
      <c r="L13" s="5">
        <v>2306.1469999999999</v>
      </c>
      <c r="N13" s="89"/>
    </row>
    <row r="14" spans="1:20" ht="13.8">
      <c r="A14" s="15" t="s">
        <v>43</v>
      </c>
      <c r="B14" s="5">
        <f t="shared" si="3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4"/>
        <v>2211.8930392041998</v>
      </c>
      <c r="H14" s="111">
        <v>940.87400000000002</v>
      </c>
      <c r="I14" s="6">
        <f t="shared" si="1"/>
        <v>1271.0190392041998</v>
      </c>
      <c r="J14" s="6">
        <f>(6989.1*2204.622)/1000000</f>
        <v>15.408323620199999</v>
      </c>
      <c r="K14" s="6">
        <f t="shared" si="2"/>
        <v>2227.3013628243998</v>
      </c>
      <c r="L14" s="5">
        <v>2356.4009999999998</v>
      </c>
      <c r="N14" s="89"/>
    </row>
    <row r="15" spans="1:20" ht="13.8">
      <c r="A15" s="15" t="s">
        <v>44</v>
      </c>
      <c r="B15" s="5">
        <f t="shared" si="3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4"/>
        <v>2091.4034745958002</v>
      </c>
      <c r="H15" s="111">
        <v>909.98699999999997</v>
      </c>
      <c r="I15" s="6">
        <f t="shared" si="1"/>
        <v>1181.4164745958001</v>
      </c>
      <c r="J15" s="6">
        <f>(11774.3*2204.622)/1000000</f>
        <v>25.957880814599999</v>
      </c>
      <c r="K15" s="6">
        <f t="shared" si="2"/>
        <v>2117.3613554103999</v>
      </c>
      <c r="L15" s="5">
        <v>2363.797</v>
      </c>
      <c r="N15" s="89"/>
    </row>
    <row r="16" spans="1:20" ht="13.8">
      <c r="A16" s="15" t="s">
        <v>46</v>
      </c>
      <c r="B16" s="5">
        <f t="shared" si="3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4"/>
        <v>2336.5298038548008</v>
      </c>
      <c r="H16" s="111">
        <v>952.70299999999997</v>
      </c>
      <c r="I16" s="6">
        <f t="shared" si="1"/>
        <v>1383.8268038548008</v>
      </c>
      <c r="J16" s="6">
        <f>(5807.4*2204.622)/1000000</f>
        <v>12.803121802799998</v>
      </c>
      <c r="K16" s="6">
        <f t="shared" si="2"/>
        <v>2349.3329256576008</v>
      </c>
      <c r="L16" s="5">
        <v>2387.5129999999999</v>
      </c>
      <c r="N16" s="89"/>
    </row>
    <row r="17" spans="1:14" ht="13.8">
      <c r="A17" s="15" t="s">
        <v>47</v>
      </c>
      <c r="B17" s="5">
        <f t="shared" si="3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4"/>
        <v>2058.2364235171999</v>
      </c>
      <c r="H17" s="111">
        <v>926.59799999999996</v>
      </c>
      <c r="I17" s="6">
        <f t="shared" si="1"/>
        <v>1131.6384235172</v>
      </c>
      <c r="J17" s="6">
        <f>(27498.1*2204.622)/1000000</f>
        <v>60.62291621819999</v>
      </c>
      <c r="K17" s="6">
        <f t="shared" si="2"/>
        <v>2118.8593397353998</v>
      </c>
      <c r="L17" s="5">
        <v>2539.6790000000001</v>
      </c>
      <c r="N17" s="89"/>
    </row>
    <row r="18" spans="1:14" ht="13.8">
      <c r="A18" s="15" t="s">
        <v>48</v>
      </c>
      <c r="B18" s="5">
        <f t="shared" si="3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4"/>
        <v>2385.7924694315993</v>
      </c>
      <c r="H18" s="111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89"/>
    </row>
    <row r="19" spans="1:14" ht="13.8">
      <c r="A19" s="15" t="s">
        <v>50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111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3.8">
      <c r="A20" s="15" t="s">
        <v>51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111">
        <v>1272.7660000000001</v>
      </c>
      <c r="I20" s="103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3.8">
      <c r="A21" s="15" t="s">
        <v>52</v>
      </c>
      <c r="B21" s="5">
        <f>L20</f>
        <v>2136.2020000000002</v>
      </c>
      <c r="C21" s="105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111">
        <v>1197.1020000000001</v>
      </c>
      <c r="I21" s="107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3.8">
      <c r="A22" s="15" t="s">
        <v>38</v>
      </c>
      <c r="B22" s="5">
        <f>L21</f>
        <v>1772.383</v>
      </c>
      <c r="C22" s="105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2239.2963245780002</v>
      </c>
      <c r="H22" s="111">
        <v>1207.4829999999999</v>
      </c>
      <c r="I22" s="107">
        <f t="shared" si="5"/>
        <v>1031.8133245780002</v>
      </c>
      <c r="J22" s="6">
        <f>(12696.1*2204.622)/1000000</f>
        <v>27.990101374199998</v>
      </c>
      <c r="K22" s="6">
        <f>E22-L22</f>
        <v>2267.2864259522003</v>
      </c>
      <c r="L22" s="5">
        <v>1607.0719999999999</v>
      </c>
    </row>
    <row r="23" spans="1:14" ht="13.8">
      <c r="A23" s="15" t="s">
        <v>28</v>
      </c>
      <c r="B23" s="5"/>
      <c r="C23" s="105">
        <f>SUM(C11:C22)</f>
        <v>26227.309000000001</v>
      </c>
      <c r="D23" s="6">
        <f>(170414.4*2204.622)/1000000</f>
        <v>375.69933535679996</v>
      </c>
      <c r="E23" s="6">
        <f>B11+C23+D23</f>
        <v>28594.156335356802</v>
      </c>
      <c r="F23" s="5"/>
      <c r="G23" s="5">
        <f>SUM(G11:G22)</f>
        <v>26609.010622106001</v>
      </c>
      <c r="H23" s="111">
        <f>SUM(H11:H22)</f>
        <v>12490.714000000002</v>
      </c>
      <c r="I23" s="107">
        <f t="shared" si="5"/>
        <v>14118.296622106</v>
      </c>
      <c r="J23" s="6">
        <f>(171491.5*2204.622)/1000000</f>
        <v>378.07393371299997</v>
      </c>
      <c r="K23" s="6">
        <f>SUM(K11:K22)</f>
        <v>26987.084335356802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39</v>
      </c>
      <c r="B26" s="5">
        <f>L22</f>
        <v>1607.0719999999999</v>
      </c>
      <c r="C26" s="6">
        <v>2375.654</v>
      </c>
      <c r="D26" s="6">
        <f>(20587.1*2204.622)/1000000</f>
        <v>45.386773576199992</v>
      </c>
      <c r="E26" s="6">
        <f t="shared" ref="E26:E27" si="6">SUM(B26:D26)</f>
        <v>4028.1127735761997</v>
      </c>
      <c r="F26" s="5"/>
      <c r="G26" s="5">
        <f>K26-J26</f>
        <v>2513.5235816765999</v>
      </c>
      <c r="H26" s="131">
        <v>1061.944</v>
      </c>
      <c r="I26" s="107">
        <f t="shared" ref="I26" si="7">G26-H26</f>
        <v>1451.5795816765999</v>
      </c>
      <c r="J26" s="6">
        <f>(5891.8*2204.622)/1000000</f>
        <v>12.9891918996</v>
      </c>
      <c r="K26" s="6">
        <f>E26-L26</f>
        <v>2526.5127735761998</v>
      </c>
      <c r="L26" s="6">
        <v>1501.6</v>
      </c>
      <c r="N26" s="35"/>
    </row>
    <row r="27" spans="1:14" ht="13.8">
      <c r="A27" s="15" t="s">
        <v>40</v>
      </c>
      <c r="B27" s="5">
        <f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>K27-J27</f>
        <v>2250.308405579</v>
      </c>
      <c r="H27" s="143">
        <v>1062.1690000000001</v>
      </c>
      <c r="I27" s="107">
        <f>G27-H27</f>
        <v>1188.1394055789999</v>
      </c>
      <c r="J27" s="6">
        <f>(6262.6*2204.622)/1000000</f>
        <v>13.806665737199999</v>
      </c>
      <c r="K27" s="6">
        <f>E27-L27</f>
        <v>2264.1150713162001</v>
      </c>
      <c r="L27" s="6">
        <v>1599.096</v>
      </c>
      <c r="N27" s="35"/>
    </row>
    <row r="28" spans="1:14" ht="13.8">
      <c r="A28" s="15" t="s">
        <v>42</v>
      </c>
      <c r="B28" s="5">
        <f>L27</f>
        <v>1599.096</v>
      </c>
      <c r="C28" s="6">
        <v>2376.2370000000001</v>
      </c>
      <c r="D28" s="6">
        <f>(21904*2204.622)/1000000</f>
        <v>48.290040287999993</v>
      </c>
      <c r="E28" s="6">
        <f>SUM(B28:D28)</f>
        <v>4023.6230402880001</v>
      </c>
      <c r="F28" s="6"/>
      <c r="G28" s="107">
        <f>K28-J28</f>
        <v>2187.1307621506003</v>
      </c>
      <c r="H28" s="143">
        <v>1141.32</v>
      </c>
      <c r="I28" s="107">
        <f>G28-H28</f>
        <v>1045.8107621506003</v>
      </c>
      <c r="J28" s="6">
        <f>(5741.7*2204.622)/1000000</f>
        <v>12.6582781374</v>
      </c>
      <c r="K28" s="6">
        <f>E28-L28</f>
        <v>2199.7890402880003</v>
      </c>
      <c r="L28" s="6">
        <v>1823.8340000000001</v>
      </c>
      <c r="N28" s="35"/>
    </row>
    <row r="29" spans="1:14" ht="13.8">
      <c r="A29" s="15" t="s">
        <v>43</v>
      </c>
      <c r="B29" s="5">
        <f>L28</f>
        <v>1823.8340000000001</v>
      </c>
      <c r="C29" s="6">
        <v>2288.5720000000001</v>
      </c>
      <c r="D29" s="6">
        <f>(22995*2204.622)/1000000</f>
        <v>50.695282889999994</v>
      </c>
      <c r="E29" s="6">
        <f>SUM(B29:D29)</f>
        <v>4163.1012828900002</v>
      </c>
      <c r="F29" s="6"/>
      <c r="G29" s="107">
        <f>K29-J29</f>
        <v>2122.8299197475999</v>
      </c>
      <c r="H29" s="6" t="s">
        <v>78</v>
      </c>
      <c r="I29" s="6" t="s">
        <v>78</v>
      </c>
      <c r="J29" s="6">
        <f>(5219.2*2204.622)/1000000</f>
        <v>11.506363142399998</v>
      </c>
      <c r="K29" s="6">
        <f>E29-L29</f>
        <v>2134.3362828899999</v>
      </c>
      <c r="L29" s="6">
        <v>2028.7650000000001</v>
      </c>
      <c r="N29" s="35"/>
    </row>
    <row r="30" spans="1:14" ht="16.2">
      <c r="A30" s="82" t="s">
        <v>79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4" ht="14.4">
      <c r="A31" s="15" t="s">
        <v>69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4" ht="13.8">
      <c r="A32" s="20" t="s">
        <v>57</v>
      </c>
      <c r="B32" s="37">
        <f>Contents!A16</f>
        <v>45363</v>
      </c>
      <c r="K32" s="35"/>
    </row>
    <row r="33" spans="5:8">
      <c r="E33" s="35"/>
    </row>
    <row r="34" spans="5:8">
      <c r="H34" s="94"/>
    </row>
  </sheetData>
  <mergeCells count="3">
    <mergeCell ref="B5:L5"/>
    <mergeCell ref="G2:I2"/>
    <mergeCell ref="B2:E2"/>
  </mergeCells>
  <phoneticPr fontId="4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topLeftCell="A33" zoomScaleNormal="100" workbookViewId="0"/>
  </sheetViews>
  <sheetFormatPr defaultColWidth="9.109375" defaultRowHeight="13.2"/>
  <cols>
    <col min="1" max="1" width="15.33203125" customWidth="1"/>
    <col min="2" max="2" width="13.109375" customWidth="1"/>
    <col min="3" max="3" width="12.109375" customWidth="1"/>
    <col min="4" max="4" width="16.5546875" customWidth="1"/>
    <col min="5" max="5" width="15.33203125" customWidth="1"/>
    <col min="6" max="6" width="11.44140625" customWidth="1"/>
    <col min="7" max="7" width="11.6640625" customWidth="1"/>
    <col min="8" max="8" width="14" customWidth="1"/>
    <col min="9" max="9" width="9.6640625" customWidth="1"/>
    <col min="10" max="11" width="7.6640625" customWidth="1"/>
    <col min="12" max="12" width="8.5546875" customWidth="1"/>
    <col min="13" max="13" width="9.5546875" customWidth="1"/>
    <col min="14" max="14" width="9.6640625" bestFit="1" customWidth="1"/>
    <col min="15" max="15" width="8.33203125" bestFit="1" customWidth="1"/>
    <col min="19" max="19" width="17.44140625" bestFit="1" customWidth="1"/>
    <col min="21" max="21" width="28.332031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80" t="s">
        <v>58</v>
      </c>
      <c r="C2" s="180"/>
      <c r="D2" s="180"/>
      <c r="E2" s="180"/>
      <c r="F2" s="72"/>
      <c r="G2" s="180" t="s">
        <v>59</v>
      </c>
      <c r="H2" s="180"/>
      <c r="I2" s="180"/>
      <c r="J2" s="180"/>
      <c r="K2" s="72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58" t="s">
        <v>26</v>
      </c>
      <c r="D4" s="25" t="s">
        <v>71</v>
      </c>
      <c r="E4" s="23" t="s">
        <v>82</v>
      </c>
      <c r="F4" s="24"/>
      <c r="G4" s="23" t="s">
        <v>83</v>
      </c>
      <c r="H4" s="23" t="s">
        <v>30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184" t="s">
        <v>86</v>
      </c>
      <c r="C5" s="184"/>
      <c r="D5" s="184"/>
      <c r="E5" s="184"/>
      <c r="F5" s="184"/>
      <c r="G5" s="184"/>
      <c r="H5" s="184"/>
      <c r="I5" s="184"/>
      <c r="J5" s="184"/>
      <c r="K5" s="184"/>
      <c r="L5" s="15"/>
      <c r="M5" s="15"/>
      <c r="N5" s="15"/>
      <c r="O5" s="15"/>
    </row>
    <row r="6" spans="1:15" ht="13.8">
      <c r="A6" s="15" t="s">
        <v>34</v>
      </c>
      <c r="B6" s="74">
        <v>395.43068871102241</v>
      </c>
      <c r="C6" s="74">
        <v>5323</v>
      </c>
      <c r="D6" s="121">
        <v>24.765738432900992</v>
      </c>
      <c r="E6" s="74">
        <f>B6+C6+D6</f>
        <v>5743.1964271439238</v>
      </c>
      <c r="F6" s="75"/>
      <c r="G6" s="74">
        <v>1556.9839999999999</v>
      </c>
      <c r="H6" s="122">
        <v>292.99103926406997</v>
      </c>
      <c r="I6" s="74">
        <f>J6-G6-H6</f>
        <v>3497.8003878798536</v>
      </c>
      <c r="J6" s="74">
        <f>E6-K6</f>
        <v>5347.7754271439235</v>
      </c>
      <c r="K6" s="74">
        <v>395.42099999999999</v>
      </c>
      <c r="L6" s="123"/>
      <c r="M6" s="15"/>
      <c r="N6" s="123"/>
      <c r="O6" s="15"/>
    </row>
    <row r="7" spans="1:15" ht="16.2">
      <c r="A7" s="15" t="s">
        <v>35</v>
      </c>
      <c r="B7" s="74">
        <f>K6</f>
        <v>395.42099999999999</v>
      </c>
      <c r="C7" s="74">
        <v>4415</v>
      </c>
      <c r="D7" s="121">
        <v>101.14</v>
      </c>
      <c r="E7" s="74">
        <f>B7+C7+D7</f>
        <v>4911.5610000000006</v>
      </c>
      <c r="F7" s="75"/>
      <c r="G7" s="74">
        <v>1389.82</v>
      </c>
      <c r="H7" s="122">
        <v>185.60618629762095</v>
      </c>
      <c r="I7" s="74">
        <f>J7-G7-H7</f>
        <v>2950.9998137023799</v>
      </c>
      <c r="J7" s="74">
        <f>E7-K7</f>
        <v>4526.4260000000004</v>
      </c>
      <c r="K7" s="124">
        <v>385.13499999999999</v>
      </c>
      <c r="L7" s="123"/>
      <c r="M7" s="15"/>
      <c r="N7" s="123"/>
      <c r="O7" s="15"/>
    </row>
    <row r="8" spans="1:15" ht="16.2">
      <c r="A8" s="14" t="s">
        <v>36</v>
      </c>
      <c r="B8" s="168">
        <f>K7</f>
        <v>385.13499999999999</v>
      </c>
      <c r="C8" s="168">
        <v>3788</v>
      </c>
      <c r="D8" s="169">
        <v>50</v>
      </c>
      <c r="E8" s="168">
        <f>B8+C8+D8</f>
        <v>4223.1350000000002</v>
      </c>
      <c r="F8" s="170"/>
      <c r="G8" s="168">
        <v>1400</v>
      </c>
      <c r="H8" s="171">
        <v>400</v>
      </c>
      <c r="I8" s="168">
        <v>2080</v>
      </c>
      <c r="J8" s="168">
        <f>SUM(G8:I8)</f>
        <v>3880</v>
      </c>
      <c r="K8" s="168">
        <f>E8-J8</f>
        <v>343.13500000000022</v>
      </c>
      <c r="L8" s="15"/>
      <c r="M8" s="15"/>
      <c r="N8" s="15"/>
      <c r="O8" s="15"/>
    </row>
    <row r="9" spans="1:15" ht="16.2">
      <c r="A9" s="42" t="s">
        <v>87</v>
      </c>
      <c r="B9" s="15"/>
      <c r="C9" s="73"/>
      <c r="D9" s="73"/>
      <c r="E9" s="73"/>
      <c r="F9" s="73"/>
      <c r="G9" s="76"/>
      <c r="H9" s="73"/>
      <c r="I9" s="73"/>
      <c r="J9" s="73"/>
      <c r="K9" s="15"/>
      <c r="L9" s="15"/>
      <c r="M9" s="15"/>
      <c r="N9" s="15"/>
      <c r="O9" s="15"/>
    </row>
    <row r="10" spans="1:15" ht="14.4">
      <c r="A10" s="15" t="s">
        <v>88</v>
      </c>
      <c r="B10" s="29"/>
      <c r="C10" s="34"/>
      <c r="D10" s="15"/>
      <c r="E10" s="29"/>
      <c r="F10" s="29"/>
      <c r="G10" s="29"/>
      <c r="H10" s="29"/>
      <c r="I10" s="29"/>
      <c r="J10" s="29"/>
      <c r="K10" s="15"/>
      <c r="L10" s="15"/>
      <c r="M10" s="15"/>
      <c r="N10" s="15"/>
      <c r="O10" s="15"/>
    </row>
    <row r="11" spans="1:15" ht="14.4">
      <c r="A11" s="15" t="s">
        <v>89</v>
      </c>
      <c r="B11" s="29"/>
      <c r="C11" s="34"/>
      <c r="D11" s="15"/>
      <c r="E11" s="29"/>
      <c r="F11" s="29"/>
      <c r="G11" s="29"/>
      <c r="H11" s="29"/>
      <c r="I11" s="29"/>
      <c r="J11" s="29"/>
      <c r="K11" s="15"/>
      <c r="L11" s="15"/>
      <c r="M11" s="15"/>
      <c r="N11" s="15"/>
      <c r="O11" s="15"/>
    </row>
    <row r="12" spans="1:15" ht="13.8">
      <c r="A12" s="15"/>
      <c r="B12" s="29"/>
      <c r="C12" s="34"/>
      <c r="D12" s="15"/>
      <c r="E12" s="29"/>
      <c r="F12" s="29"/>
      <c r="G12" s="29"/>
      <c r="H12" s="29"/>
      <c r="I12" s="29"/>
      <c r="J12" s="29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80" t="s">
        <v>58</v>
      </c>
      <c r="C15" s="180"/>
      <c r="D15" s="180"/>
      <c r="E15" s="180"/>
      <c r="F15" s="15"/>
      <c r="G15" s="180" t="s">
        <v>59</v>
      </c>
      <c r="H15" s="180"/>
      <c r="I15" s="180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8" t="s">
        <v>26</v>
      </c>
      <c r="D17" s="25" t="s">
        <v>71</v>
      </c>
      <c r="E17" s="23" t="s">
        <v>85</v>
      </c>
      <c r="F17" s="24"/>
      <c r="G17" s="74" t="s">
        <v>90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184" t="s">
        <v>91</v>
      </c>
      <c r="C18" s="184"/>
      <c r="D18" s="184"/>
      <c r="E18" s="184"/>
      <c r="F18" s="184"/>
      <c r="G18" s="184"/>
      <c r="H18" s="184"/>
      <c r="I18" s="184"/>
      <c r="J18" s="184"/>
      <c r="K18" s="15"/>
      <c r="L18" s="15"/>
      <c r="M18" s="15"/>
      <c r="N18" s="15"/>
      <c r="O18" s="15"/>
    </row>
    <row r="19" spans="1:15" ht="13.8">
      <c r="A19" s="15" t="s">
        <v>34</v>
      </c>
      <c r="B19" s="74">
        <v>39.305999999999997</v>
      </c>
      <c r="C19" s="122">
        <v>695</v>
      </c>
      <c r="D19" s="125">
        <v>0.10141264051999997</v>
      </c>
      <c r="E19" s="122">
        <f>B19+C19+D19</f>
        <v>734.40741264052008</v>
      </c>
      <c r="F19" s="75"/>
      <c r="G19" s="122">
        <f>E19-J19-H19</f>
        <v>655.27531148258311</v>
      </c>
      <c r="H19" s="122">
        <v>56.816101157936991</v>
      </c>
      <c r="I19" s="122">
        <f>SUM(G19:H19)</f>
        <v>712.09141264052005</v>
      </c>
      <c r="J19" s="74">
        <v>22.315999999999999</v>
      </c>
      <c r="K19" s="15"/>
      <c r="L19" s="15"/>
      <c r="M19" s="15"/>
      <c r="N19" s="15"/>
      <c r="O19" s="15"/>
    </row>
    <row r="20" spans="1:15" ht="16.2">
      <c r="A20" s="15" t="s">
        <v>35</v>
      </c>
      <c r="B20" s="74">
        <f>J19</f>
        <v>22.315999999999999</v>
      </c>
      <c r="C20" s="122">
        <v>589.51700000000005</v>
      </c>
      <c r="D20" s="121">
        <v>0</v>
      </c>
      <c r="E20" s="122">
        <f>B20+C20+D20</f>
        <v>611.83300000000008</v>
      </c>
      <c r="F20" s="75"/>
      <c r="G20" s="122">
        <f>E20-J20-H20</f>
        <v>526.23836987119705</v>
      </c>
      <c r="H20" s="122">
        <v>53.033630128802983</v>
      </c>
      <c r="I20" s="122">
        <f>SUM(G20:H20)</f>
        <v>579.27200000000005</v>
      </c>
      <c r="J20" s="74">
        <v>32.561</v>
      </c>
      <c r="K20" s="15"/>
      <c r="L20" s="15"/>
      <c r="M20" s="15"/>
      <c r="N20" s="15"/>
      <c r="O20" s="15"/>
    </row>
    <row r="21" spans="1:15" ht="16.2">
      <c r="A21" s="14" t="s">
        <v>36</v>
      </c>
      <c r="B21" s="168">
        <f>J20</f>
        <v>32.561</v>
      </c>
      <c r="C21" s="171">
        <v>600</v>
      </c>
      <c r="D21" s="169">
        <v>0</v>
      </c>
      <c r="E21" s="171">
        <f>B21+C21+D21</f>
        <v>632.56100000000004</v>
      </c>
      <c r="F21" s="170"/>
      <c r="G21" s="171">
        <v>538</v>
      </c>
      <c r="H21" s="171">
        <v>60</v>
      </c>
      <c r="I21" s="171">
        <f>SUM(G21:H21)</f>
        <v>598</v>
      </c>
      <c r="J21" s="168">
        <f>E21-I21</f>
        <v>34.561000000000035</v>
      </c>
      <c r="K21" s="15"/>
      <c r="L21" s="15"/>
      <c r="M21" s="15"/>
      <c r="N21" s="15"/>
      <c r="O21" s="15"/>
    </row>
    <row r="22" spans="1:15" ht="16.2">
      <c r="A22" s="42" t="s">
        <v>87</v>
      </c>
      <c r="B22" s="15"/>
      <c r="C22" s="73"/>
      <c r="D22" s="73"/>
      <c r="E22" s="73"/>
      <c r="F22" s="73"/>
      <c r="G22" s="73"/>
      <c r="H22" s="73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75"/>
      <c r="C23" s="75"/>
      <c r="D23" s="75"/>
      <c r="E23" s="75"/>
      <c r="F23" s="75"/>
      <c r="G23" s="75"/>
      <c r="H23" s="75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9"/>
      <c r="C25" s="34"/>
      <c r="D25" s="29"/>
      <c r="E25" s="29"/>
      <c r="F25" s="29"/>
      <c r="G25" s="29"/>
      <c r="H25" s="29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80" t="s">
        <v>58</v>
      </c>
      <c r="C27" s="180"/>
      <c r="D27" s="180"/>
      <c r="E27" s="180"/>
      <c r="F27" s="15"/>
      <c r="G27" s="180" t="s">
        <v>59</v>
      </c>
      <c r="H27" s="180"/>
      <c r="I27" s="180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85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184" t="s">
        <v>75</v>
      </c>
      <c r="C30" s="184"/>
      <c r="D30" s="184"/>
      <c r="E30" s="184"/>
      <c r="F30" s="184"/>
      <c r="G30" s="184"/>
      <c r="H30" s="184"/>
      <c r="I30" s="184"/>
      <c r="J30" s="184"/>
      <c r="K30" s="15"/>
      <c r="L30" s="15"/>
      <c r="M30" s="15"/>
      <c r="N30" s="15"/>
      <c r="O30" s="15"/>
    </row>
    <row r="31" spans="1:15" ht="13.8">
      <c r="A31" s="15" t="s">
        <v>34</v>
      </c>
      <c r="B31" s="121">
        <v>48.207999999999998</v>
      </c>
      <c r="C31" s="122">
        <v>430</v>
      </c>
      <c r="D31" s="121">
        <v>24.878063955389997</v>
      </c>
      <c r="E31" s="126">
        <f>B31+C31+D31</f>
        <v>503.08606395538999</v>
      </c>
      <c r="F31" s="75"/>
      <c r="G31" s="122">
        <f>I31-H31</f>
        <v>325.68860562582</v>
      </c>
      <c r="H31" s="122">
        <v>127.69945832956999</v>
      </c>
      <c r="I31" s="122">
        <f>E31-J31</f>
        <v>453.38806395539001</v>
      </c>
      <c r="J31" s="122">
        <v>49.698</v>
      </c>
      <c r="K31" s="15"/>
      <c r="L31" s="15"/>
      <c r="M31" s="15"/>
      <c r="N31" s="15"/>
      <c r="O31" s="15"/>
    </row>
    <row r="32" spans="1:15" ht="16.2">
      <c r="A32" s="15" t="s">
        <v>35</v>
      </c>
      <c r="B32" s="121">
        <f>J31</f>
        <v>49.698</v>
      </c>
      <c r="C32" s="122">
        <v>365.27800000000002</v>
      </c>
      <c r="D32" s="121">
        <v>15.945374023673999</v>
      </c>
      <c r="E32" s="126">
        <f>B32+C32+D32</f>
        <v>430.92137402367399</v>
      </c>
      <c r="F32" s="75"/>
      <c r="G32" s="122">
        <v>310</v>
      </c>
      <c r="H32" s="122">
        <v>71.126637277750007</v>
      </c>
      <c r="I32" s="122">
        <f>SUM(G32:H32)</f>
        <v>381.12663727774998</v>
      </c>
      <c r="J32" s="122">
        <f>E32-I32</f>
        <v>49.794736745924013</v>
      </c>
      <c r="K32" s="15"/>
      <c r="L32" s="15"/>
      <c r="M32" s="15"/>
      <c r="N32" s="15"/>
      <c r="O32" s="15"/>
    </row>
    <row r="33" spans="1:17" ht="16.2">
      <c r="A33" s="14" t="s">
        <v>36</v>
      </c>
      <c r="B33" s="169">
        <f>J32</f>
        <v>49.794736745924013</v>
      </c>
      <c r="C33" s="171">
        <v>370</v>
      </c>
      <c r="D33" s="169">
        <v>20</v>
      </c>
      <c r="E33" s="172">
        <f>B33+C33+D33</f>
        <v>439.79473674592401</v>
      </c>
      <c r="F33" s="170"/>
      <c r="G33" s="171">
        <v>340</v>
      </c>
      <c r="H33" s="171">
        <v>50</v>
      </c>
      <c r="I33" s="171">
        <f>SUM(G33:H33)</f>
        <v>390</v>
      </c>
      <c r="J33" s="171">
        <f>E33-I33</f>
        <v>49.794736745924013</v>
      </c>
      <c r="K33" s="15"/>
      <c r="L33" s="15"/>
      <c r="M33" s="15"/>
      <c r="N33" s="15"/>
      <c r="O33" s="15"/>
    </row>
    <row r="34" spans="1:17" ht="16.2">
      <c r="A34" s="42" t="s">
        <v>87</v>
      </c>
      <c r="B34" s="15"/>
      <c r="C34" s="73"/>
      <c r="D34" s="73"/>
      <c r="E34" s="73"/>
      <c r="F34" s="73"/>
      <c r="G34" s="73"/>
      <c r="H34" s="73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92</v>
      </c>
      <c r="B35" s="29"/>
      <c r="C35" s="34"/>
      <c r="D35" s="29"/>
      <c r="E35" s="29"/>
      <c r="F35" s="29"/>
      <c r="G35" s="29"/>
      <c r="H35" s="29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180" t="s">
        <v>13</v>
      </c>
      <c r="C39" s="180"/>
      <c r="D39" s="17" t="s">
        <v>14</v>
      </c>
      <c r="E39" s="180" t="s">
        <v>15</v>
      </c>
      <c r="F39" s="180"/>
      <c r="G39" s="180"/>
      <c r="H39" s="180"/>
      <c r="I39" s="15"/>
      <c r="J39" s="180" t="s">
        <v>59</v>
      </c>
      <c r="K39" s="180"/>
      <c r="L39" s="180"/>
      <c r="M39" s="180"/>
      <c r="N39" s="180"/>
      <c r="O39" s="72"/>
    </row>
    <row r="40" spans="1:17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5" t="s">
        <v>90</v>
      </c>
      <c r="K40" s="17"/>
      <c r="L40" s="17" t="s">
        <v>22</v>
      </c>
      <c r="M40" s="17"/>
      <c r="N40" s="17"/>
      <c r="O40" s="17" t="s">
        <v>60</v>
      </c>
    </row>
    <row r="41" spans="1:17" ht="13.8">
      <c r="A41" s="21" t="s">
        <v>80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7" ht="14.4">
      <c r="A42" s="15"/>
      <c r="B42" s="185" t="s">
        <v>94</v>
      </c>
      <c r="C42" s="186"/>
      <c r="D42" s="77" t="s">
        <v>95</v>
      </c>
      <c r="E42" s="187" t="s">
        <v>96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6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34</v>
      </c>
      <c r="B44" s="74">
        <v>1578.3</v>
      </c>
      <c r="C44" s="74">
        <v>1538</v>
      </c>
      <c r="D44" s="74">
        <f>F44*1000/C44</f>
        <v>4134.7139141742518</v>
      </c>
      <c r="E44" s="74">
        <v>1968.162</v>
      </c>
      <c r="F44" s="74">
        <v>6359.19</v>
      </c>
      <c r="G44" s="122">
        <v>107.03</v>
      </c>
      <c r="H44" s="74">
        <f>SUM(E44:G44)</f>
        <v>8434.3819999999996</v>
      </c>
      <c r="I44" s="74"/>
      <c r="J44" s="74">
        <v>3313</v>
      </c>
      <c r="K44" s="74">
        <v>842.43200000000002</v>
      </c>
      <c r="L44" s="122">
        <f t="shared" ref="L44" si="0">N44-J44-K44-M44</f>
        <v>734.55299999999988</v>
      </c>
      <c r="M44" s="122">
        <v>1184.1400000000001</v>
      </c>
      <c r="N44" s="74">
        <f>H44-O44</f>
        <v>6074.125</v>
      </c>
      <c r="O44" s="74">
        <v>2360.2570000000001</v>
      </c>
      <c r="P44" s="127"/>
      <c r="Q44" s="127"/>
    </row>
    <row r="45" spans="1:17" ht="16.2">
      <c r="A45" s="15" t="s">
        <v>35</v>
      </c>
      <c r="B45" s="74">
        <v>1448.5</v>
      </c>
      <c r="C45" s="74">
        <v>1381.4</v>
      </c>
      <c r="D45" s="74">
        <f>F45*1000/C45</f>
        <v>4011.7069639496162</v>
      </c>
      <c r="E45" s="74">
        <f>O44</f>
        <v>2360.2570000000001</v>
      </c>
      <c r="F45" s="74">
        <v>5541.7719999999999</v>
      </c>
      <c r="G45" s="122">
        <v>102.91</v>
      </c>
      <c r="H45" s="74">
        <f>SUM(E45:G45)</f>
        <v>8004.9390000000003</v>
      </c>
      <c r="I45" s="74"/>
      <c r="J45" s="74">
        <v>3201.4</v>
      </c>
      <c r="K45" s="74">
        <v>794.7</v>
      </c>
      <c r="L45" s="122">
        <f>N45-J45-K45-M45</f>
        <v>780.54099999999971</v>
      </c>
      <c r="M45" s="122">
        <v>1195.93</v>
      </c>
      <c r="N45" s="74">
        <f>H45-O45</f>
        <v>5972.5709999999999</v>
      </c>
      <c r="O45" s="74">
        <v>2032.3679999999999</v>
      </c>
      <c r="P45" s="127"/>
      <c r="Q45" s="127"/>
    </row>
    <row r="46" spans="1:17" ht="16.2">
      <c r="A46" s="14" t="s">
        <v>36</v>
      </c>
      <c r="B46" s="168">
        <v>1645</v>
      </c>
      <c r="C46" s="168">
        <v>1574</v>
      </c>
      <c r="D46" s="168">
        <f>F46*1000/C46</f>
        <v>3742.0711562897077</v>
      </c>
      <c r="E46" s="168">
        <f>O45</f>
        <v>2032.3679999999999</v>
      </c>
      <c r="F46" s="168">
        <v>5890.02</v>
      </c>
      <c r="G46" s="171">
        <v>105</v>
      </c>
      <c r="H46" s="168">
        <f>SUM(E46:G46)</f>
        <v>8027.3880000000008</v>
      </c>
      <c r="I46" s="168"/>
      <c r="J46" s="168">
        <v>3221.2</v>
      </c>
      <c r="K46" s="168">
        <v>675</v>
      </c>
      <c r="L46" s="171">
        <v>728.75</v>
      </c>
      <c r="M46" s="171">
        <v>1450</v>
      </c>
      <c r="N46" s="168">
        <f>SUM(J46:M46)</f>
        <v>6074.95</v>
      </c>
      <c r="O46" s="168">
        <f>H46-N46</f>
        <v>1952.438000000001</v>
      </c>
      <c r="P46" s="127"/>
      <c r="Q46" s="127"/>
    </row>
    <row r="47" spans="1:17" ht="16.2">
      <c r="A47" s="42" t="s">
        <v>87</v>
      </c>
      <c r="B47" s="15"/>
      <c r="C47" s="73"/>
      <c r="D47" s="73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8">
        <f>Contents!A16</f>
        <v>45363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79"/>
      <c r="B51" s="80"/>
      <c r="C51" s="80"/>
      <c r="D51" s="80"/>
      <c r="E51" s="80"/>
      <c r="F51" s="80"/>
      <c r="G51" s="80"/>
      <c r="H51" s="80"/>
      <c r="I51" s="80"/>
      <c r="J51" s="93"/>
      <c r="K51" s="80"/>
      <c r="L51" s="80"/>
      <c r="M51" s="80"/>
      <c r="N51" s="80"/>
      <c r="O51" s="80"/>
    </row>
    <row r="52" spans="1:15" ht="15.6">
      <c r="G52" s="63"/>
      <c r="H52" s="63"/>
    </row>
    <row r="53" spans="1:15" ht="15.6">
      <c r="G53" s="63"/>
      <c r="H53" s="63"/>
    </row>
    <row r="54" spans="1:15" ht="15.6">
      <c r="G54" s="63"/>
      <c r="H54" s="63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40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3"/>
  <sheetViews>
    <sheetView showGridLines="0" zoomScale="70" zoomScaleNormal="70" workbookViewId="0">
      <pane xSplit="1" ySplit="4" topLeftCell="B18" activePane="bottomRight" state="frozen"/>
      <selection activeCell="I39" sqref="I39"/>
      <selection pane="topRight" activeCell="I39" sqref="I39"/>
      <selection pane="bottomLeft" activeCell="I39" sqref="I39"/>
      <selection pane="bottomRight"/>
    </sheetView>
  </sheetViews>
  <sheetFormatPr defaultColWidth="9.109375" defaultRowHeight="13.2"/>
  <cols>
    <col min="1" max="1" width="11.6640625" customWidth="1"/>
    <col min="2" max="2" width="18.88671875" bestFit="1" customWidth="1"/>
    <col min="3" max="3" width="22.109375" bestFit="1" customWidth="1"/>
    <col min="4" max="4" width="24.5546875" customWidth="1"/>
    <col min="5" max="5" width="25.33203125" customWidth="1"/>
    <col min="6" max="6" width="16.664062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6"/>
      <c r="D3" s="46"/>
      <c r="E3" s="46"/>
      <c r="F3" s="46"/>
      <c r="G3" s="46"/>
    </row>
    <row r="4" spans="1:10" ht="14.4">
      <c r="A4" s="47"/>
      <c r="B4" s="48" t="s">
        <v>106</v>
      </c>
      <c r="C4" s="48" t="s">
        <v>107</v>
      </c>
      <c r="D4" s="48" t="s">
        <v>108</v>
      </c>
      <c r="E4" s="48" t="s">
        <v>108</v>
      </c>
      <c r="F4" s="48" t="s">
        <v>109</v>
      </c>
      <c r="G4" s="48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49">
        <v>11.3</v>
      </c>
      <c r="C6" s="49">
        <v>161</v>
      </c>
      <c r="D6" s="49">
        <v>23.3</v>
      </c>
      <c r="E6" s="49">
        <v>19.3</v>
      </c>
      <c r="F6" s="49">
        <v>22.5</v>
      </c>
      <c r="G6" s="49">
        <v>12.2</v>
      </c>
      <c r="J6" s="64"/>
    </row>
    <row r="7" spans="1:10" ht="13.8">
      <c r="A7" s="15" t="s">
        <v>111</v>
      </c>
      <c r="B7" s="49">
        <v>12.5</v>
      </c>
      <c r="C7" s="49">
        <v>260</v>
      </c>
      <c r="D7" s="49">
        <v>29.1</v>
      </c>
      <c r="E7" s="49">
        <v>24</v>
      </c>
      <c r="F7" s="49">
        <v>31.8</v>
      </c>
      <c r="G7" s="49">
        <v>13.9</v>
      </c>
      <c r="J7" s="64"/>
    </row>
    <row r="8" spans="1:10" ht="13.8">
      <c r="A8" s="15" t="s">
        <v>112</v>
      </c>
      <c r="B8" s="49">
        <v>14.4</v>
      </c>
      <c r="C8" s="49">
        <v>252</v>
      </c>
      <c r="D8" s="49">
        <v>25.4</v>
      </c>
      <c r="E8" s="49">
        <v>26.5</v>
      </c>
      <c r="F8" s="49">
        <v>30.1</v>
      </c>
      <c r="G8" s="49">
        <v>13.8</v>
      </c>
      <c r="J8" s="64"/>
    </row>
    <row r="9" spans="1:10" ht="13.8">
      <c r="A9" s="15" t="s">
        <v>113</v>
      </c>
      <c r="B9" s="49">
        <v>13</v>
      </c>
      <c r="C9" s="49">
        <v>246</v>
      </c>
      <c r="D9" s="49">
        <v>21.4</v>
      </c>
      <c r="E9" s="49">
        <v>20.6</v>
      </c>
      <c r="F9" s="49">
        <v>24.9</v>
      </c>
      <c r="G9" s="49">
        <v>13.8</v>
      </c>
      <c r="J9" s="64"/>
    </row>
    <row r="10" spans="1:10" ht="13.8">
      <c r="A10" s="15" t="s">
        <v>114</v>
      </c>
      <c r="B10" s="49">
        <v>10.1</v>
      </c>
      <c r="C10" s="49">
        <v>194</v>
      </c>
      <c r="D10" s="49">
        <v>21.7</v>
      </c>
      <c r="E10" s="49">
        <v>16.899999999999999</v>
      </c>
      <c r="F10" s="49">
        <v>22</v>
      </c>
      <c r="G10" s="49">
        <v>11.8</v>
      </c>
      <c r="J10" s="64"/>
    </row>
    <row r="11" spans="1:10" ht="13.8">
      <c r="A11" s="15" t="s">
        <v>115</v>
      </c>
      <c r="B11" s="49">
        <v>8.9499999999999993</v>
      </c>
      <c r="C11" s="49">
        <v>227</v>
      </c>
      <c r="D11" s="49">
        <v>19.600000000000001</v>
      </c>
      <c r="E11" s="49">
        <v>15.6</v>
      </c>
      <c r="F11" s="49">
        <v>19.3</v>
      </c>
      <c r="G11" s="49">
        <v>8.9499999999999993</v>
      </c>
      <c r="J11" s="64"/>
    </row>
    <row r="12" spans="1:10" ht="13.8">
      <c r="A12" s="15" t="s">
        <v>116</v>
      </c>
      <c r="B12" s="49">
        <v>9.4700000000000006</v>
      </c>
      <c r="C12" s="49">
        <v>195</v>
      </c>
      <c r="D12" s="49">
        <v>17.399999999999999</v>
      </c>
      <c r="E12" s="49">
        <v>16.600000000000001</v>
      </c>
      <c r="F12" s="49">
        <v>19.7</v>
      </c>
      <c r="G12" s="49">
        <v>8</v>
      </c>
      <c r="J12" s="64"/>
    </row>
    <row r="13" spans="1:10" ht="13.8">
      <c r="A13" s="15" t="s">
        <v>117</v>
      </c>
      <c r="B13" s="49">
        <v>9.33</v>
      </c>
      <c r="C13" s="49">
        <v>142</v>
      </c>
      <c r="D13" s="49">
        <v>17.2</v>
      </c>
      <c r="E13" s="49">
        <v>17.5</v>
      </c>
      <c r="F13" s="49">
        <v>22.9</v>
      </c>
      <c r="G13" s="49">
        <v>9.5299999999999994</v>
      </c>
      <c r="J13" s="64"/>
    </row>
    <row r="14" spans="1:10" ht="13.8">
      <c r="A14" s="15" t="s">
        <v>118</v>
      </c>
      <c r="B14" s="49">
        <v>8.48</v>
      </c>
      <c r="C14" s="49">
        <v>155</v>
      </c>
      <c r="D14" s="49">
        <v>17.399999999999999</v>
      </c>
      <c r="E14" s="49">
        <v>15.8</v>
      </c>
      <c r="F14" s="49">
        <v>21.5</v>
      </c>
      <c r="G14" s="49">
        <v>9.89</v>
      </c>
      <c r="J14" s="64"/>
    </row>
    <row r="15" spans="1:10" ht="13.8">
      <c r="A15" s="15" t="s">
        <v>119</v>
      </c>
      <c r="B15" s="49">
        <v>8.57</v>
      </c>
      <c r="C15" s="49">
        <v>161</v>
      </c>
      <c r="D15" s="49">
        <v>19.5</v>
      </c>
      <c r="E15" s="49">
        <v>14.8</v>
      </c>
      <c r="F15" s="49">
        <v>20.5</v>
      </c>
      <c r="G15" s="49">
        <v>9.15</v>
      </c>
      <c r="J15" s="64"/>
    </row>
    <row r="16" spans="1:10" ht="13.8">
      <c r="A16" s="15" t="s">
        <v>120</v>
      </c>
      <c r="B16" s="49">
        <v>10.8</v>
      </c>
      <c r="C16" s="49">
        <v>194</v>
      </c>
      <c r="D16" s="49">
        <v>21.3</v>
      </c>
      <c r="E16" s="49">
        <v>18.400000000000002</v>
      </c>
      <c r="F16" s="49">
        <v>21</v>
      </c>
      <c r="G16" s="49">
        <v>11.1</v>
      </c>
      <c r="J16" s="64"/>
    </row>
    <row r="17" spans="1:10" ht="13.8">
      <c r="A17" s="15" t="s">
        <v>34</v>
      </c>
      <c r="B17" s="49">
        <v>13.3</v>
      </c>
      <c r="C17" s="49">
        <v>243</v>
      </c>
      <c r="D17" s="95">
        <v>32.9</v>
      </c>
      <c r="E17" s="49">
        <v>32.9</v>
      </c>
      <c r="F17" s="49">
        <v>24.3</v>
      </c>
      <c r="G17" s="49">
        <v>25.9</v>
      </c>
      <c r="J17" s="64"/>
    </row>
    <row r="18" spans="1:10" ht="16.2">
      <c r="A18" s="15" t="s">
        <v>121</v>
      </c>
      <c r="B18" s="49">
        <v>14.2</v>
      </c>
      <c r="C18" s="95">
        <v>306</v>
      </c>
      <c r="D18" s="49">
        <v>27.8</v>
      </c>
      <c r="E18" s="49">
        <v>29.8</v>
      </c>
      <c r="F18" s="49">
        <v>26.8</v>
      </c>
      <c r="G18" s="95">
        <v>17.5</v>
      </c>
      <c r="H18" s="106"/>
      <c r="J18" s="64"/>
    </row>
    <row r="19" spans="1:10" ht="16.2">
      <c r="A19" s="15" t="s">
        <v>122</v>
      </c>
      <c r="B19" s="49">
        <v>12.65</v>
      </c>
      <c r="C19" s="49">
        <v>210</v>
      </c>
      <c r="D19" s="95">
        <v>19.8</v>
      </c>
      <c r="E19" s="49">
        <v>24.5</v>
      </c>
      <c r="F19" s="49">
        <v>27</v>
      </c>
      <c r="G19" s="95">
        <v>12.6</v>
      </c>
      <c r="H19" s="106"/>
      <c r="J19" s="64"/>
    </row>
    <row r="20" spans="1:10" ht="13.8">
      <c r="A20" s="15"/>
      <c r="B20" s="50"/>
      <c r="C20" s="51"/>
      <c r="D20" s="52"/>
      <c r="E20" s="52"/>
      <c r="F20" s="51"/>
      <c r="G20" s="53"/>
      <c r="H20" s="43"/>
      <c r="J20" s="64"/>
    </row>
    <row r="21" spans="1:10" ht="13.8">
      <c r="A21" s="54" t="s">
        <v>37</v>
      </c>
      <c r="B21" s="49"/>
      <c r="C21" s="49"/>
      <c r="D21" s="49"/>
      <c r="E21" s="49"/>
      <c r="F21" s="49"/>
      <c r="G21" s="49"/>
    </row>
    <row r="22" spans="1:10" ht="13.8">
      <c r="A22" s="15" t="s">
        <v>38</v>
      </c>
      <c r="B22" s="95">
        <v>14.2</v>
      </c>
      <c r="C22" s="49">
        <v>316</v>
      </c>
      <c r="D22" s="49">
        <v>32.9</v>
      </c>
      <c r="E22" s="49">
        <v>28.1</v>
      </c>
      <c r="F22" s="49">
        <v>25.6</v>
      </c>
      <c r="G22" s="49">
        <v>18.899999999999999</v>
      </c>
    </row>
    <row r="23" spans="1:10" ht="13.8">
      <c r="A23" s="15" t="s">
        <v>39</v>
      </c>
      <c r="B23" s="49">
        <v>13.5</v>
      </c>
      <c r="C23" s="49">
        <v>340</v>
      </c>
      <c r="D23" s="49">
        <v>29.3</v>
      </c>
      <c r="E23" s="49">
        <v>28.1</v>
      </c>
      <c r="F23" s="49">
        <v>26.400000000000002</v>
      </c>
      <c r="G23" s="49">
        <v>18.600000000000001</v>
      </c>
    </row>
    <row r="24" spans="1:10" ht="13.8">
      <c r="A24" s="15" t="s">
        <v>40</v>
      </c>
      <c r="B24" s="49">
        <v>14</v>
      </c>
      <c r="C24" s="49">
        <v>281</v>
      </c>
      <c r="D24" s="49">
        <v>28.4</v>
      </c>
      <c r="E24" s="49">
        <v>29.2</v>
      </c>
      <c r="F24" s="49">
        <v>28.799999999999997</v>
      </c>
      <c r="G24" s="49">
        <v>19.5</v>
      </c>
    </row>
    <row r="25" spans="1:10" ht="13.8">
      <c r="A25" s="15" t="s">
        <v>42</v>
      </c>
      <c r="B25" s="49">
        <v>14.4</v>
      </c>
      <c r="C25" s="49">
        <v>315</v>
      </c>
      <c r="D25" s="49">
        <v>29.5</v>
      </c>
      <c r="E25" s="49">
        <v>29.2</v>
      </c>
      <c r="F25" s="49">
        <v>24.5</v>
      </c>
      <c r="G25" s="49">
        <v>18.3</v>
      </c>
    </row>
    <row r="26" spans="1:10" ht="13.8">
      <c r="A26" s="15" t="s">
        <v>43</v>
      </c>
      <c r="B26" s="49">
        <v>14.5</v>
      </c>
      <c r="C26" s="49">
        <v>273</v>
      </c>
      <c r="D26" s="49">
        <v>29</v>
      </c>
      <c r="E26" s="49">
        <v>30.1</v>
      </c>
      <c r="F26" s="49">
        <v>27.700000000000003</v>
      </c>
      <c r="G26" s="49">
        <v>17.7</v>
      </c>
    </row>
    <row r="27" spans="1:10" ht="13.8">
      <c r="A27" s="15" t="s">
        <v>44</v>
      </c>
      <c r="B27" s="49">
        <v>15.1</v>
      </c>
      <c r="C27" s="49">
        <v>223</v>
      </c>
      <c r="D27" s="49">
        <v>29.9</v>
      </c>
      <c r="E27" s="49">
        <v>31.7</v>
      </c>
      <c r="F27" s="49">
        <v>27</v>
      </c>
      <c r="G27" s="49">
        <v>15.4</v>
      </c>
    </row>
    <row r="28" spans="1:10" ht="13.8">
      <c r="A28" s="15" t="s">
        <v>46</v>
      </c>
      <c r="B28" s="49">
        <v>14.9</v>
      </c>
      <c r="C28" s="49" t="s">
        <v>78</v>
      </c>
      <c r="D28" s="49">
        <v>27.5</v>
      </c>
      <c r="E28" s="49">
        <v>29.8</v>
      </c>
      <c r="F28" s="49">
        <v>26.700000000000003</v>
      </c>
      <c r="G28" s="49">
        <v>14.8</v>
      </c>
    </row>
    <row r="29" spans="1:10" ht="13.8">
      <c r="A29" s="15" t="s">
        <v>47</v>
      </c>
      <c r="B29" s="49">
        <v>14.9</v>
      </c>
      <c r="C29" s="49" t="s">
        <v>78</v>
      </c>
      <c r="D29" s="49">
        <v>26.9</v>
      </c>
      <c r="E29" s="49">
        <v>26.8</v>
      </c>
      <c r="F29" s="49">
        <v>27.200000000000003</v>
      </c>
      <c r="G29" s="49">
        <v>12.1</v>
      </c>
    </row>
    <row r="30" spans="1:10" ht="13.8">
      <c r="A30" s="15" t="s">
        <v>48</v>
      </c>
      <c r="B30" s="49">
        <v>14.4</v>
      </c>
      <c r="C30" s="49" t="s">
        <v>78</v>
      </c>
      <c r="D30" s="49">
        <v>24.9</v>
      </c>
      <c r="E30" s="49">
        <v>25.2</v>
      </c>
      <c r="F30" s="49">
        <v>27.700000000000003</v>
      </c>
      <c r="G30" s="49">
        <v>12.5</v>
      </c>
    </row>
    <row r="31" spans="1:10" ht="13.8">
      <c r="A31" s="15" t="s">
        <v>50</v>
      </c>
      <c r="B31" s="49">
        <v>14.2</v>
      </c>
      <c r="C31" s="49" t="s">
        <v>78</v>
      </c>
      <c r="D31" s="49">
        <v>23.6</v>
      </c>
      <c r="E31" s="49">
        <v>27.3</v>
      </c>
      <c r="F31" s="49">
        <v>27.900000000000002</v>
      </c>
      <c r="G31" s="49">
        <v>13.1</v>
      </c>
    </row>
    <row r="32" spans="1:10" ht="13.8">
      <c r="A32" s="15" t="s">
        <v>51</v>
      </c>
      <c r="B32" s="49">
        <v>14.7</v>
      </c>
      <c r="C32" s="49" t="s">
        <v>78</v>
      </c>
      <c r="D32" s="49">
        <v>25</v>
      </c>
      <c r="E32" s="49">
        <v>27.2</v>
      </c>
      <c r="F32" s="49">
        <v>27.700000000000003</v>
      </c>
      <c r="G32" s="49">
        <v>11</v>
      </c>
    </row>
    <row r="33" spans="1:7" ht="13.8">
      <c r="A33" s="15" t="s">
        <v>52</v>
      </c>
      <c r="B33" s="49">
        <v>14.1</v>
      </c>
      <c r="C33" s="49">
        <v>219</v>
      </c>
      <c r="D33" s="49">
        <v>23.6</v>
      </c>
      <c r="E33" s="49">
        <v>28.1</v>
      </c>
      <c r="F33" s="49">
        <v>27.1</v>
      </c>
      <c r="G33" s="49">
        <v>11.2</v>
      </c>
    </row>
    <row r="34" spans="1:7" ht="13.8">
      <c r="A34" s="15"/>
      <c r="B34" s="49"/>
      <c r="C34" s="49"/>
      <c r="D34" s="49"/>
      <c r="E34" s="49"/>
      <c r="F34" s="49"/>
      <c r="G34" s="49"/>
    </row>
    <row r="35" spans="1:7" ht="13.8">
      <c r="A35" s="54" t="s">
        <v>54</v>
      </c>
      <c r="B35" s="49"/>
      <c r="C35" s="49"/>
      <c r="D35" s="49"/>
      <c r="E35" s="49"/>
      <c r="F35" s="49"/>
      <c r="G35" s="49"/>
    </row>
    <row r="36" spans="1:7" ht="13.8">
      <c r="A36" s="15" t="s">
        <v>38</v>
      </c>
      <c r="B36" s="49">
        <v>13.2</v>
      </c>
      <c r="C36" s="49">
        <v>242</v>
      </c>
      <c r="D36" s="49">
        <v>24</v>
      </c>
      <c r="E36" s="49">
        <v>25.1</v>
      </c>
      <c r="F36" s="49">
        <v>26.7</v>
      </c>
      <c r="G36" s="49">
        <v>12</v>
      </c>
    </row>
    <row r="37" spans="1:7" ht="13.8">
      <c r="A37" s="15" t="s">
        <v>39</v>
      </c>
      <c r="B37" s="49">
        <v>12.7</v>
      </c>
      <c r="C37" s="49">
        <v>233</v>
      </c>
      <c r="D37" s="49">
        <v>20.100000000000001</v>
      </c>
      <c r="E37" s="49">
        <v>23.6</v>
      </c>
      <c r="F37" s="49">
        <v>26.7</v>
      </c>
      <c r="G37" s="49">
        <v>13</v>
      </c>
    </row>
    <row r="38" spans="1:7" ht="13.8">
      <c r="A38" s="15" t="s">
        <v>40</v>
      </c>
      <c r="B38" s="49">
        <v>13</v>
      </c>
      <c r="C38" s="49">
        <v>226</v>
      </c>
      <c r="D38" s="49">
        <v>22.6</v>
      </c>
      <c r="E38" s="49">
        <v>25.5</v>
      </c>
      <c r="F38" s="49">
        <v>29.5</v>
      </c>
      <c r="G38" s="49">
        <v>12.2</v>
      </c>
    </row>
    <row r="39" spans="1:7" ht="13.8">
      <c r="A39" s="15" t="s">
        <v>42</v>
      </c>
      <c r="B39" s="49">
        <v>13.1</v>
      </c>
      <c r="C39" s="49">
        <v>209</v>
      </c>
      <c r="D39" s="49">
        <v>24.2</v>
      </c>
      <c r="E39" s="49">
        <v>24.2</v>
      </c>
      <c r="F39" s="49">
        <v>24.3</v>
      </c>
      <c r="G39" s="49">
        <v>13.4</v>
      </c>
    </row>
    <row r="40" spans="1:7" ht="13.8">
      <c r="A40" s="15" t="s">
        <v>43</v>
      </c>
      <c r="B40" s="49">
        <v>12.8</v>
      </c>
      <c r="C40" s="49">
        <v>174</v>
      </c>
      <c r="D40" s="49">
        <v>21.3</v>
      </c>
      <c r="E40" s="49">
        <v>24.4</v>
      </c>
      <c r="F40" s="49">
        <v>27.1</v>
      </c>
      <c r="G40" s="49">
        <v>12.1</v>
      </c>
    </row>
    <row r="41" spans="1:7" ht="16.2">
      <c r="A41" s="72" t="s">
        <v>123</v>
      </c>
      <c r="B41" s="72"/>
      <c r="C41" s="72"/>
      <c r="D41" s="72"/>
      <c r="E41" s="72"/>
      <c r="F41" s="72"/>
      <c r="G41" s="72"/>
    </row>
    <row r="42" spans="1:7" ht="14.4">
      <c r="A42" s="15" t="s">
        <v>124</v>
      </c>
      <c r="B42" s="15"/>
      <c r="C42" s="15"/>
      <c r="D42" s="15"/>
      <c r="E42" s="15"/>
      <c r="F42" s="15"/>
      <c r="G42" s="15"/>
    </row>
    <row r="43" spans="1:7" ht="13.8">
      <c r="A43" s="20" t="s">
        <v>57</v>
      </c>
      <c r="B43" s="37">
        <f>Contents!A16</f>
        <v>45363</v>
      </c>
      <c r="C43" s="15"/>
      <c r="D43" s="15"/>
      <c r="E43" s="15"/>
      <c r="F43" s="15"/>
      <c r="G43" s="15"/>
    </row>
  </sheetData>
  <phoneticPr fontId="4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4"/>
  <sheetViews>
    <sheetView showGridLines="0" zoomScale="70" zoomScaleNormal="70" workbookViewId="0">
      <pane xSplit="1" ySplit="4" topLeftCell="B16" activePane="bottomRight" state="frozen"/>
      <selection activeCell="I39" sqref="I39"/>
      <selection pane="topRight" activeCell="I39" sqref="I39"/>
      <selection pane="bottomLeft" activeCell="I39" sqref="I39"/>
      <selection pane="bottomRight"/>
    </sheetView>
  </sheetViews>
  <sheetFormatPr defaultColWidth="9.109375" defaultRowHeight="13.2"/>
  <cols>
    <col min="1" max="2" width="11.6640625" customWidth="1"/>
    <col min="3" max="3" width="11.5546875" customWidth="1"/>
    <col min="4" max="4" width="13.6640625" customWidth="1"/>
    <col min="5" max="5" width="11.6640625" customWidth="1"/>
    <col min="6" max="6" width="11.5546875" bestFit="1" customWidth="1"/>
    <col min="7" max="7" width="10.66406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5" t="s">
        <v>98</v>
      </c>
      <c r="B2" s="17" t="s">
        <v>125</v>
      </c>
      <c r="C2" s="17" t="s">
        <v>126</v>
      </c>
      <c r="D2" s="17" t="s">
        <v>127</v>
      </c>
      <c r="E2" s="56" t="s">
        <v>128</v>
      </c>
      <c r="F2" s="56" t="s">
        <v>129</v>
      </c>
      <c r="G2" s="17" t="s">
        <v>130</v>
      </c>
      <c r="H2" s="17" t="s">
        <v>131</v>
      </c>
      <c r="I2" s="57" t="s">
        <v>132</v>
      </c>
    </row>
    <row r="3" spans="1:13" ht="15.6" customHeight="1">
      <c r="A3" s="58" t="s">
        <v>105</v>
      </c>
      <c r="B3" s="23" t="s">
        <v>133</v>
      </c>
      <c r="C3" s="23" t="s">
        <v>134</v>
      </c>
      <c r="D3" s="23" t="s">
        <v>135</v>
      </c>
      <c r="E3" s="23" t="s">
        <v>135</v>
      </c>
      <c r="F3" s="23" t="s">
        <v>136</v>
      </c>
      <c r="G3" s="23" t="s">
        <v>137</v>
      </c>
      <c r="H3" s="23"/>
      <c r="I3" s="23" t="s">
        <v>138</v>
      </c>
    </row>
    <row r="4" spans="1:13" ht="14.4">
      <c r="A4" s="59" t="s">
        <v>139</v>
      </c>
      <c r="C4" s="60"/>
      <c r="D4" s="60"/>
      <c r="E4" s="60"/>
      <c r="F4" s="60"/>
      <c r="G4" s="60"/>
      <c r="H4" s="60"/>
      <c r="I4" s="60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</row>
    <row r="6" spans="1:13" ht="13.8">
      <c r="A6" s="15" t="s">
        <v>110</v>
      </c>
      <c r="B6" s="49">
        <v>53.2</v>
      </c>
      <c r="C6" s="49">
        <v>54.5</v>
      </c>
      <c r="D6" s="49">
        <v>86.12</v>
      </c>
      <c r="E6" s="49">
        <v>58.68</v>
      </c>
      <c r="F6" s="49">
        <v>77.239999999999995</v>
      </c>
      <c r="G6" s="49">
        <v>60.76</v>
      </c>
      <c r="H6" s="49">
        <v>51.52</v>
      </c>
      <c r="I6" s="49">
        <v>51.34</v>
      </c>
      <c r="K6" s="64"/>
      <c r="L6" s="64"/>
      <c r="M6" s="64"/>
    </row>
    <row r="7" spans="1:13" ht="13.8">
      <c r="A7" s="15" t="s">
        <v>111</v>
      </c>
      <c r="B7" s="49">
        <v>51.9</v>
      </c>
      <c r="C7" s="49">
        <v>53.22</v>
      </c>
      <c r="D7" s="49">
        <v>83.2</v>
      </c>
      <c r="E7" s="49">
        <v>57.19</v>
      </c>
      <c r="F7" s="49">
        <v>100.15</v>
      </c>
      <c r="G7" s="49">
        <v>56.09</v>
      </c>
      <c r="H7" s="49">
        <v>48.11</v>
      </c>
      <c r="I7" s="49">
        <v>50.33</v>
      </c>
      <c r="K7" s="64"/>
      <c r="L7" s="64"/>
      <c r="M7" s="64"/>
    </row>
    <row r="8" spans="1:13" ht="13.8">
      <c r="A8" s="15" t="s">
        <v>112</v>
      </c>
      <c r="B8" s="49">
        <v>47.13</v>
      </c>
      <c r="C8" s="49">
        <v>48.6</v>
      </c>
      <c r="D8" s="49">
        <v>65.87</v>
      </c>
      <c r="E8" s="49">
        <v>56.17</v>
      </c>
      <c r="F8" s="49">
        <v>91.83</v>
      </c>
      <c r="G8" s="49">
        <v>46.66</v>
      </c>
      <c r="H8" s="49">
        <v>51.8</v>
      </c>
      <c r="I8" s="49">
        <v>43.24</v>
      </c>
      <c r="K8" s="64"/>
      <c r="L8" s="64"/>
      <c r="M8" s="64"/>
    </row>
    <row r="9" spans="1:13" ht="13.8">
      <c r="A9" s="15" t="s">
        <v>113</v>
      </c>
      <c r="B9" s="49">
        <v>38.229999999999997</v>
      </c>
      <c r="C9" s="49">
        <v>60.66</v>
      </c>
      <c r="D9" s="49">
        <v>59.12</v>
      </c>
      <c r="E9" s="49">
        <v>43.7</v>
      </c>
      <c r="F9" s="49">
        <v>68.23</v>
      </c>
      <c r="G9" s="49">
        <v>39.43</v>
      </c>
      <c r="H9" s="49">
        <v>43.93</v>
      </c>
      <c r="I9" s="49">
        <v>39.76</v>
      </c>
      <c r="K9" s="64"/>
      <c r="L9" s="64"/>
      <c r="M9" s="64"/>
    </row>
    <row r="10" spans="1:13" ht="13.8">
      <c r="A10" s="15" t="s">
        <v>114</v>
      </c>
      <c r="B10" s="49">
        <v>31.6</v>
      </c>
      <c r="C10" s="49">
        <v>45.74</v>
      </c>
      <c r="D10" s="49">
        <v>66.72</v>
      </c>
      <c r="E10" s="49">
        <v>37.81</v>
      </c>
      <c r="F10" s="49">
        <v>57.96</v>
      </c>
      <c r="G10" s="49">
        <v>37.479999999999997</v>
      </c>
      <c r="H10" s="49">
        <v>33.43</v>
      </c>
      <c r="I10" s="49">
        <v>31.36</v>
      </c>
      <c r="K10" s="64"/>
      <c r="L10" s="64"/>
      <c r="M10" s="64"/>
    </row>
    <row r="11" spans="1:13" ht="13.8">
      <c r="A11" s="15" t="s">
        <v>115</v>
      </c>
      <c r="B11" s="49">
        <v>29.86</v>
      </c>
      <c r="C11" s="49">
        <v>45.87</v>
      </c>
      <c r="D11" s="49">
        <v>57.81</v>
      </c>
      <c r="E11" s="49">
        <v>35.270000000000003</v>
      </c>
      <c r="F11" s="49">
        <v>58.26</v>
      </c>
      <c r="G11" s="49">
        <v>39.25</v>
      </c>
      <c r="H11" s="49">
        <v>32.229999999999997</v>
      </c>
      <c r="I11" s="49">
        <v>30.07</v>
      </c>
      <c r="K11" s="64"/>
      <c r="L11" s="64"/>
      <c r="M11" s="64"/>
    </row>
    <row r="12" spans="1:13" ht="13.8">
      <c r="A12" s="15" t="s">
        <v>116</v>
      </c>
      <c r="B12" s="49">
        <v>32.549999999999997</v>
      </c>
      <c r="C12" s="49">
        <v>40.92</v>
      </c>
      <c r="D12" s="49">
        <v>53.54</v>
      </c>
      <c r="E12" s="49">
        <v>38.729999999999997</v>
      </c>
      <c r="F12" s="49">
        <v>66.73</v>
      </c>
      <c r="G12" s="49">
        <v>37.43</v>
      </c>
      <c r="H12" s="49">
        <v>33.07</v>
      </c>
      <c r="I12" s="49">
        <v>34.75</v>
      </c>
      <c r="K12" s="64"/>
      <c r="L12" s="64"/>
      <c r="M12" s="64"/>
    </row>
    <row r="13" spans="1:13" ht="13.8">
      <c r="A13" s="15" t="s">
        <v>117</v>
      </c>
      <c r="B13" s="49">
        <v>30.04</v>
      </c>
      <c r="C13" s="49">
        <v>31.87</v>
      </c>
      <c r="D13" s="49">
        <v>54.57</v>
      </c>
      <c r="E13" s="49">
        <v>38.270000000000003</v>
      </c>
      <c r="F13" s="49">
        <v>66.72</v>
      </c>
      <c r="G13" s="49">
        <v>30.35</v>
      </c>
      <c r="H13" s="49">
        <v>34.159999999999997</v>
      </c>
      <c r="I13" s="49">
        <v>31.21</v>
      </c>
      <c r="K13" s="64"/>
      <c r="L13" s="64"/>
      <c r="M13" s="64"/>
    </row>
    <row r="14" spans="1:13" ht="13.8">
      <c r="A14" s="15" t="s">
        <v>118</v>
      </c>
      <c r="B14" s="49">
        <v>28.26</v>
      </c>
      <c r="C14" s="49">
        <v>35.14</v>
      </c>
      <c r="D14" s="49">
        <v>53.28</v>
      </c>
      <c r="E14" s="49">
        <v>36.090000000000003</v>
      </c>
      <c r="F14" s="49">
        <v>64.72</v>
      </c>
      <c r="G14" s="49">
        <v>26.93</v>
      </c>
      <c r="H14" s="49">
        <v>31.65</v>
      </c>
      <c r="I14" s="49">
        <v>33.11</v>
      </c>
      <c r="K14" s="64"/>
      <c r="L14" s="64"/>
      <c r="M14" s="64"/>
    </row>
    <row r="15" spans="1:13" ht="13.8">
      <c r="A15" s="15" t="s">
        <v>119</v>
      </c>
      <c r="B15" s="49">
        <v>29.65</v>
      </c>
      <c r="C15" s="49">
        <v>40.18</v>
      </c>
      <c r="D15" s="49">
        <v>65.03</v>
      </c>
      <c r="E15" s="49">
        <v>37.869999999999997</v>
      </c>
      <c r="F15" s="49">
        <v>62</v>
      </c>
      <c r="G15" s="49">
        <v>39.47</v>
      </c>
      <c r="H15" s="49">
        <v>35.75</v>
      </c>
      <c r="I15" s="49">
        <v>38.369999999999997</v>
      </c>
      <c r="K15" s="64"/>
      <c r="L15" s="64"/>
      <c r="M15" s="64"/>
    </row>
    <row r="16" spans="1:13" ht="13.8">
      <c r="A16" s="15" t="s">
        <v>120</v>
      </c>
      <c r="B16" s="49">
        <v>56.87</v>
      </c>
      <c r="C16" s="49">
        <v>80.94</v>
      </c>
      <c r="D16" s="49">
        <v>79</v>
      </c>
      <c r="E16" s="49">
        <v>70.459999999999994</v>
      </c>
      <c r="F16" s="49">
        <v>101.4</v>
      </c>
      <c r="G16" s="49">
        <v>53.88</v>
      </c>
      <c r="H16" s="49">
        <v>55.89</v>
      </c>
      <c r="I16" s="49">
        <v>54.98</v>
      </c>
      <c r="K16" s="64"/>
      <c r="L16" s="64"/>
      <c r="M16" s="64"/>
    </row>
    <row r="17" spans="1:13" ht="13.8">
      <c r="A17" s="15" t="s">
        <v>34</v>
      </c>
      <c r="B17" s="49">
        <v>72.98</v>
      </c>
      <c r="C17" s="49">
        <v>107.15</v>
      </c>
      <c r="D17" s="49">
        <v>111.39</v>
      </c>
      <c r="E17" s="49">
        <v>90.52</v>
      </c>
      <c r="F17" s="49">
        <v>107.22</v>
      </c>
      <c r="G17" s="49">
        <v>64.28</v>
      </c>
      <c r="H17" s="49">
        <v>82</v>
      </c>
      <c r="I17" s="49">
        <v>81.84</v>
      </c>
      <c r="K17" s="64"/>
      <c r="L17" s="64"/>
      <c r="M17" s="64"/>
    </row>
    <row r="18" spans="1:13" ht="16.2">
      <c r="A18" s="15" t="s">
        <v>140</v>
      </c>
      <c r="B18" s="49">
        <v>65.260000000000005</v>
      </c>
      <c r="C18" s="49">
        <v>102.53</v>
      </c>
      <c r="D18" s="49">
        <v>80.11</v>
      </c>
      <c r="E18" s="49">
        <v>73.14</v>
      </c>
      <c r="F18" s="49">
        <v>93.52</v>
      </c>
      <c r="G18" s="49">
        <v>61.62</v>
      </c>
      <c r="H18" s="49">
        <v>84.25</v>
      </c>
      <c r="I18" s="49">
        <v>76.95</v>
      </c>
      <c r="K18" s="64"/>
      <c r="L18" s="64"/>
      <c r="M18" s="64"/>
    </row>
    <row r="19" spans="1:13" ht="16.2">
      <c r="A19" s="15" t="s">
        <v>141</v>
      </c>
      <c r="B19" s="49">
        <v>49</v>
      </c>
      <c r="C19" s="49">
        <v>82</v>
      </c>
      <c r="D19" s="49">
        <v>60</v>
      </c>
      <c r="E19" s="49">
        <v>55</v>
      </c>
      <c r="F19" s="49">
        <v>84</v>
      </c>
      <c r="G19" s="95">
        <v>47</v>
      </c>
      <c r="H19" s="95">
        <v>66</v>
      </c>
      <c r="I19" s="95">
        <v>55</v>
      </c>
      <c r="K19" s="64"/>
      <c r="L19" s="64"/>
      <c r="M19" s="64"/>
    </row>
    <row r="20" spans="1:13" ht="13.8">
      <c r="A20" s="15"/>
      <c r="B20" s="109"/>
      <c r="C20" s="109"/>
      <c r="D20" s="109"/>
      <c r="E20" s="109"/>
      <c r="F20" s="109"/>
      <c r="G20" s="109"/>
      <c r="H20" s="109"/>
      <c r="I20" s="109"/>
    </row>
    <row r="21" spans="1:13" ht="13.8">
      <c r="A21" s="31" t="s">
        <v>37</v>
      </c>
      <c r="B21" s="49"/>
      <c r="C21" s="49"/>
      <c r="D21" s="49"/>
      <c r="E21" s="49"/>
      <c r="F21" s="49"/>
      <c r="G21" s="49"/>
      <c r="H21" s="49"/>
      <c r="I21" s="49"/>
    </row>
    <row r="22" spans="1:13" ht="13.8">
      <c r="A22" s="15" t="s">
        <v>39</v>
      </c>
      <c r="B22" s="49">
        <v>72.67</v>
      </c>
      <c r="C22" s="49">
        <v>110.1875</v>
      </c>
      <c r="D22" s="49">
        <v>93.75</v>
      </c>
      <c r="E22" s="49">
        <v>80.125</v>
      </c>
      <c r="F22" s="49">
        <v>107.75</v>
      </c>
      <c r="G22" s="49">
        <v>65.412499999999994</v>
      </c>
      <c r="H22" s="49">
        <v>88</v>
      </c>
      <c r="I22" s="49">
        <v>88.5</v>
      </c>
      <c r="K22" s="64"/>
      <c r="M22" s="64"/>
    </row>
    <row r="23" spans="1:13" ht="13.8">
      <c r="A23" s="15" t="s">
        <v>40</v>
      </c>
      <c r="B23" s="49">
        <v>79.180000000000007</v>
      </c>
      <c r="C23" s="49">
        <v>116.6875</v>
      </c>
      <c r="D23" s="49">
        <v>106</v>
      </c>
      <c r="E23" s="49">
        <v>84.375</v>
      </c>
      <c r="F23" s="49">
        <v>111</v>
      </c>
      <c r="G23" s="49">
        <v>69.67</v>
      </c>
      <c r="H23" s="49" t="s">
        <v>78</v>
      </c>
      <c r="I23" s="49">
        <v>88.5</v>
      </c>
      <c r="K23" s="64"/>
      <c r="M23" s="64"/>
    </row>
    <row r="24" spans="1:13" ht="13.8">
      <c r="A24" s="15" t="s">
        <v>42</v>
      </c>
      <c r="B24" s="49">
        <v>68.14</v>
      </c>
      <c r="C24" s="49">
        <v>105.1</v>
      </c>
      <c r="D24" s="49">
        <v>92.3</v>
      </c>
      <c r="E24" s="49">
        <v>74.05</v>
      </c>
      <c r="F24" s="49">
        <v>101</v>
      </c>
      <c r="G24" s="49">
        <v>60</v>
      </c>
      <c r="H24" s="49" t="s">
        <v>78</v>
      </c>
      <c r="I24" s="49">
        <v>84</v>
      </c>
      <c r="K24" s="64"/>
      <c r="M24" s="64"/>
    </row>
    <row r="25" spans="1:13" ht="13.8">
      <c r="A25" s="15" t="s">
        <v>43</v>
      </c>
      <c r="B25" s="49">
        <v>66</v>
      </c>
      <c r="C25" s="49">
        <v>102.1875</v>
      </c>
      <c r="D25" s="49">
        <v>85.75</v>
      </c>
      <c r="E25" s="49">
        <v>71.1875</v>
      </c>
      <c r="F25" s="49">
        <v>95.375</v>
      </c>
      <c r="G25" s="49">
        <v>61</v>
      </c>
      <c r="H25" s="49">
        <v>87</v>
      </c>
      <c r="I25" s="49">
        <v>76.125</v>
      </c>
      <c r="K25" s="64"/>
      <c r="M25" s="64"/>
    </row>
    <row r="26" spans="1:13" ht="13.8">
      <c r="A26" s="15" t="s">
        <v>44</v>
      </c>
      <c r="B26" s="49">
        <v>63.242500000000007</v>
      </c>
      <c r="C26" s="49">
        <v>100</v>
      </c>
      <c r="D26" s="49">
        <v>81.25</v>
      </c>
      <c r="E26" s="49">
        <v>68.25</v>
      </c>
      <c r="F26" s="49">
        <v>88</v>
      </c>
      <c r="G26" s="49" t="s">
        <v>78</v>
      </c>
      <c r="H26" s="49" t="s">
        <v>78</v>
      </c>
      <c r="I26" s="49">
        <v>63.95</v>
      </c>
      <c r="K26" s="64"/>
      <c r="M26" s="64"/>
    </row>
    <row r="27" spans="1:13" ht="13.8">
      <c r="A27" s="15" t="s">
        <v>46</v>
      </c>
      <c r="B27" s="49">
        <v>58.83</v>
      </c>
      <c r="C27" s="49">
        <v>96.55</v>
      </c>
      <c r="D27" s="49">
        <v>76.599999999999994</v>
      </c>
      <c r="E27" s="49">
        <v>64.599999999999994</v>
      </c>
      <c r="F27" s="49">
        <v>84.4</v>
      </c>
      <c r="G27" s="49" t="s">
        <v>78</v>
      </c>
      <c r="H27" s="49" t="s">
        <v>78</v>
      </c>
      <c r="I27" s="49">
        <v>66.25</v>
      </c>
      <c r="K27" s="64"/>
      <c r="M27" s="64"/>
    </row>
    <row r="28" spans="1:13" ht="13.8">
      <c r="A28" s="15" t="s">
        <v>47</v>
      </c>
      <c r="B28" s="49">
        <v>55.474999999999994</v>
      </c>
      <c r="C28" s="49">
        <v>92.5625</v>
      </c>
      <c r="D28" s="49">
        <v>73</v>
      </c>
      <c r="E28" s="49">
        <v>62.625</v>
      </c>
      <c r="F28" s="49">
        <v>81.75</v>
      </c>
      <c r="G28" s="49" t="s">
        <v>78</v>
      </c>
      <c r="H28" s="49">
        <v>82</v>
      </c>
      <c r="I28" s="49" t="s">
        <v>78</v>
      </c>
      <c r="K28" s="64"/>
      <c r="M28" s="64"/>
    </row>
    <row r="29" spans="1:13" ht="13.8">
      <c r="A29" s="15" t="s">
        <v>48</v>
      </c>
      <c r="B29" s="49">
        <v>52.484999999999999</v>
      </c>
      <c r="C29" s="49">
        <v>91.75</v>
      </c>
      <c r="D29" s="49">
        <v>68.625</v>
      </c>
      <c r="E29" s="49">
        <v>62.125</v>
      </c>
      <c r="F29" s="49">
        <v>85.5</v>
      </c>
      <c r="G29" s="49">
        <v>52</v>
      </c>
      <c r="H29" s="49" t="s">
        <v>78</v>
      </c>
      <c r="I29" s="49" t="s">
        <v>78</v>
      </c>
      <c r="K29" s="64"/>
      <c r="M29" s="64"/>
    </row>
    <row r="30" spans="1:13" ht="13.8">
      <c r="A30" s="15" t="s">
        <v>50</v>
      </c>
      <c r="B30" s="49">
        <v>60.007999999999996</v>
      </c>
      <c r="C30" s="49">
        <v>97.85</v>
      </c>
      <c r="D30" s="49">
        <v>67</v>
      </c>
      <c r="E30" s="49">
        <v>71.849999999999994</v>
      </c>
      <c r="F30" s="49">
        <v>89.6</v>
      </c>
      <c r="G30" s="49" t="s">
        <v>78</v>
      </c>
      <c r="H30" s="49">
        <v>80</v>
      </c>
      <c r="I30" s="49">
        <v>74.59</v>
      </c>
      <c r="K30" s="64"/>
      <c r="M30" s="64"/>
    </row>
    <row r="31" spans="1:13" ht="13.8">
      <c r="A31" s="15" t="s">
        <v>51</v>
      </c>
      <c r="B31" s="49">
        <v>70.887499999999989</v>
      </c>
      <c r="C31" s="49">
        <v>107.75</v>
      </c>
      <c r="D31" s="49">
        <v>73.25</v>
      </c>
      <c r="E31" s="49">
        <v>83</v>
      </c>
      <c r="F31" s="49">
        <v>94.25</v>
      </c>
      <c r="G31" s="49" t="s">
        <v>78</v>
      </c>
      <c r="H31" s="49" t="s">
        <v>78</v>
      </c>
      <c r="I31" s="49">
        <v>74.625</v>
      </c>
      <c r="K31" s="64"/>
      <c r="M31" s="64"/>
    </row>
    <row r="32" spans="1:13" ht="13.8">
      <c r="A32" s="15" t="s">
        <v>52</v>
      </c>
      <c r="B32" s="49">
        <v>70.966999999999999</v>
      </c>
      <c r="C32" s="49">
        <v>108.19</v>
      </c>
      <c r="D32" s="49">
        <v>72.69</v>
      </c>
      <c r="E32" s="49">
        <v>81.69</v>
      </c>
      <c r="F32" s="49">
        <v>95.25</v>
      </c>
      <c r="G32" s="49" t="s">
        <v>78</v>
      </c>
      <c r="H32" s="49" t="s">
        <v>78</v>
      </c>
      <c r="I32" s="49">
        <v>76.7</v>
      </c>
      <c r="K32" s="64"/>
      <c r="M32" s="64"/>
    </row>
    <row r="33" spans="1:13" ht="13.8">
      <c r="A33" s="15" t="s">
        <v>38</v>
      </c>
      <c r="B33" s="49">
        <v>65.227999999999994</v>
      </c>
      <c r="C33" s="49">
        <v>101.5</v>
      </c>
      <c r="D33" s="49">
        <v>71.099999999999994</v>
      </c>
      <c r="E33" s="49">
        <v>73.75</v>
      </c>
      <c r="F33" s="49">
        <v>88.4</v>
      </c>
      <c r="G33" s="49" t="s">
        <v>78</v>
      </c>
      <c r="H33" s="49" t="s">
        <v>78</v>
      </c>
      <c r="I33" s="49">
        <v>76.25</v>
      </c>
      <c r="K33" s="64"/>
      <c r="M33" s="64"/>
    </row>
    <row r="34" spans="1:13" ht="13.8">
      <c r="A34" s="15"/>
      <c r="B34" s="49"/>
      <c r="C34" s="49"/>
      <c r="D34" s="49"/>
      <c r="E34" s="49"/>
      <c r="F34" s="49"/>
      <c r="G34" s="49"/>
      <c r="H34" s="49"/>
      <c r="I34" s="49"/>
      <c r="K34" s="64"/>
      <c r="M34" s="64"/>
    </row>
    <row r="35" spans="1:13" ht="13.8">
      <c r="A35" s="31" t="s">
        <v>54</v>
      </c>
      <c r="B35" s="49"/>
      <c r="C35" s="49"/>
      <c r="D35" s="49"/>
      <c r="E35" s="49"/>
      <c r="F35" s="49"/>
      <c r="G35" s="49"/>
      <c r="H35" s="49"/>
      <c r="I35" s="49"/>
      <c r="K35" s="64"/>
      <c r="M35" s="64"/>
    </row>
    <row r="36" spans="1:13" ht="13.8">
      <c r="A36" s="15" t="s">
        <v>39</v>
      </c>
      <c r="B36" s="49">
        <v>56.599999999999994</v>
      </c>
      <c r="C36" s="49">
        <v>92</v>
      </c>
      <c r="D36" s="49">
        <v>64.75</v>
      </c>
      <c r="E36" s="49">
        <v>65.1875</v>
      </c>
      <c r="F36" s="49">
        <v>83.25</v>
      </c>
      <c r="G36" s="49" t="s">
        <v>78</v>
      </c>
      <c r="H36" s="95">
        <v>90</v>
      </c>
      <c r="I36" s="49">
        <v>65.17</v>
      </c>
      <c r="K36" s="64"/>
      <c r="M36" s="64"/>
    </row>
    <row r="37" spans="1:13" ht="13.8">
      <c r="A37" s="15" t="s">
        <v>40</v>
      </c>
      <c r="B37" s="49">
        <v>53.39</v>
      </c>
      <c r="C37" s="49">
        <v>86.38</v>
      </c>
      <c r="D37" s="49">
        <v>62.25</v>
      </c>
      <c r="E37" s="49">
        <v>61.63</v>
      </c>
      <c r="F37" s="49">
        <v>81.5</v>
      </c>
      <c r="G37" s="49" t="s">
        <v>78</v>
      </c>
      <c r="H37" s="95" t="s">
        <v>78</v>
      </c>
      <c r="I37" s="49">
        <v>57.024999999999999</v>
      </c>
      <c r="K37" s="64"/>
      <c r="M37" s="64"/>
    </row>
    <row r="38" spans="1:13" ht="13.8">
      <c r="A38" s="15" t="s">
        <v>42</v>
      </c>
      <c r="B38" s="49">
        <v>52.33</v>
      </c>
      <c r="C38" s="49">
        <v>83.1</v>
      </c>
      <c r="D38" s="49">
        <v>58.6</v>
      </c>
      <c r="E38" s="49">
        <v>59.45</v>
      </c>
      <c r="F38" s="49">
        <v>77.8</v>
      </c>
      <c r="G38" s="49" t="s">
        <v>78</v>
      </c>
      <c r="H38" s="95">
        <v>65</v>
      </c>
      <c r="I38" s="49">
        <v>50.67</v>
      </c>
      <c r="K38" s="64"/>
      <c r="M38" s="64"/>
    </row>
    <row r="39" spans="1:13" ht="13.8">
      <c r="A39" s="15" t="s">
        <v>43</v>
      </c>
      <c r="B39" s="49">
        <v>49.1</v>
      </c>
      <c r="C39" s="49">
        <v>79.5</v>
      </c>
      <c r="D39" s="49">
        <v>58.13</v>
      </c>
      <c r="E39" s="49">
        <v>57.25</v>
      </c>
      <c r="F39" s="49">
        <v>76.5</v>
      </c>
      <c r="G39" s="49" t="s">
        <v>78</v>
      </c>
      <c r="H39" s="95" t="s">
        <v>78</v>
      </c>
      <c r="I39" s="49" t="s">
        <v>78</v>
      </c>
      <c r="K39" s="64"/>
      <c r="M39" s="64"/>
    </row>
    <row r="40" spans="1:13" ht="13.8">
      <c r="A40" s="15" t="s">
        <v>44</v>
      </c>
      <c r="B40" s="49">
        <v>47.327500000000001</v>
      </c>
      <c r="C40" s="49">
        <v>76.5</v>
      </c>
      <c r="D40" s="49">
        <v>57.38</v>
      </c>
      <c r="E40" s="49">
        <v>53.06</v>
      </c>
      <c r="F40" s="49">
        <v>76.75</v>
      </c>
      <c r="G40" s="49" t="s">
        <v>78</v>
      </c>
      <c r="H40" s="95">
        <v>45.33</v>
      </c>
      <c r="I40" s="49">
        <v>52.5</v>
      </c>
      <c r="K40" s="64"/>
      <c r="M40" s="64"/>
    </row>
    <row r="41" spans="1:13" ht="16.2">
      <c r="A41" s="82" t="s">
        <v>142</v>
      </c>
      <c r="B41" s="128"/>
      <c r="C41" s="128"/>
      <c r="D41" s="128"/>
      <c r="E41" s="128"/>
      <c r="F41" s="128"/>
      <c r="G41" s="128"/>
      <c r="H41" s="128"/>
      <c r="I41" s="129"/>
    </row>
    <row r="42" spans="1:13" ht="16.2">
      <c r="A42" s="15" t="s">
        <v>143</v>
      </c>
      <c r="B42" s="62"/>
      <c r="C42" s="62"/>
      <c r="D42" s="62"/>
      <c r="E42" s="62"/>
      <c r="F42" s="62"/>
      <c r="G42" s="62"/>
      <c r="H42" s="62"/>
      <c r="I42" s="62"/>
    </row>
    <row r="43" spans="1:13" ht="14.4">
      <c r="A43" s="15" t="s">
        <v>144</v>
      </c>
      <c r="B43" s="15"/>
      <c r="C43" s="15"/>
      <c r="D43" s="15"/>
      <c r="E43" s="15"/>
      <c r="F43" s="62"/>
      <c r="G43" s="15"/>
      <c r="H43" s="15"/>
      <c r="I43" s="15"/>
    </row>
    <row r="44" spans="1:13" ht="13.8">
      <c r="A44" s="20" t="s">
        <v>57</v>
      </c>
      <c r="B44" s="37">
        <f>Contents!A16</f>
        <v>45363</v>
      </c>
      <c r="C44" s="15"/>
      <c r="D44" s="15"/>
      <c r="E44" s="15"/>
      <c r="F44" s="15"/>
      <c r="G44" s="15"/>
      <c r="H44" s="15"/>
      <c r="I44" s="15"/>
    </row>
    <row r="45" spans="1:13" ht="15.6">
      <c r="C45" s="63"/>
      <c r="G45" s="63"/>
      <c r="H45" s="63"/>
      <c r="I45" s="63"/>
    </row>
    <row r="46" spans="1:13" ht="15.6">
      <c r="B46" s="64"/>
      <c r="C46" s="64"/>
      <c r="D46" s="64"/>
      <c r="E46" s="64"/>
      <c r="F46" s="64"/>
      <c r="G46" s="64"/>
      <c r="H46" s="63"/>
      <c r="I46" s="63"/>
    </row>
    <row r="47" spans="1:13" ht="15.6">
      <c r="B47" s="88"/>
      <c r="C47" s="88"/>
      <c r="D47" s="88"/>
      <c r="E47" s="88"/>
      <c r="F47" s="88"/>
      <c r="G47" s="88"/>
      <c r="H47" s="63"/>
      <c r="I47" s="63"/>
    </row>
    <row r="48" spans="1:13" ht="15.6">
      <c r="C48" s="63"/>
      <c r="G48" s="63"/>
      <c r="H48" s="63"/>
      <c r="I48" s="63"/>
    </row>
    <row r="49" spans="3:9" ht="15.6">
      <c r="C49" s="63"/>
      <c r="G49" s="63"/>
      <c r="H49" s="63"/>
      <c r="I49" s="63"/>
    </row>
    <row r="50" spans="3:9" ht="15.6">
      <c r="C50" s="63"/>
      <c r="G50" s="63"/>
      <c r="H50" s="63"/>
      <c r="I50" s="63"/>
    </row>
    <row r="51" spans="3:9" ht="15.6">
      <c r="C51" s="63"/>
      <c r="G51" s="63"/>
      <c r="H51" s="63"/>
      <c r="I51" s="63"/>
    </row>
    <row r="52" spans="3:9" ht="15.6">
      <c r="C52" s="63"/>
      <c r="G52" s="63"/>
      <c r="H52" s="63"/>
      <c r="I52" s="63"/>
    </row>
    <row r="53" spans="3:9" ht="15.6">
      <c r="C53" s="63"/>
      <c r="G53" s="63"/>
      <c r="H53" s="63"/>
      <c r="I53" s="63"/>
    </row>
    <row r="54" spans="3:9" ht="15.6">
      <c r="C54" s="63"/>
      <c r="G54" s="63"/>
      <c r="H54" s="63"/>
      <c r="I54" s="63"/>
    </row>
    <row r="55" spans="3:9" ht="15.6">
      <c r="C55" s="63"/>
      <c r="G55" s="63"/>
      <c r="H55" s="63"/>
      <c r="I55" s="63"/>
    </row>
    <row r="56" spans="3:9" ht="15.6">
      <c r="C56" s="63"/>
      <c r="G56" s="63"/>
      <c r="H56" s="63"/>
      <c r="I56" s="63"/>
    </row>
    <row r="57" spans="3:9" ht="15.6">
      <c r="C57" s="63"/>
      <c r="G57" s="63"/>
      <c r="H57" s="63"/>
      <c r="I57" s="63"/>
    </row>
    <row r="58" spans="3:9" ht="15.6">
      <c r="C58" s="63"/>
      <c r="G58" s="63"/>
      <c r="H58" s="63"/>
      <c r="I58" s="63"/>
    </row>
    <row r="59" spans="3:9" ht="15.6">
      <c r="C59" s="63"/>
      <c r="G59" s="63"/>
      <c r="H59" s="63"/>
      <c r="I59" s="63"/>
    </row>
    <row r="60" spans="3:9" ht="15.6">
      <c r="C60" s="63"/>
      <c r="G60" s="63"/>
      <c r="H60" s="63"/>
      <c r="I60" s="63"/>
    </row>
    <row r="61" spans="3:9" ht="15.6">
      <c r="C61" s="63"/>
      <c r="H61" s="63"/>
      <c r="I61" s="63"/>
    </row>
    <row r="62" spans="3:9" ht="15.6">
      <c r="C62" s="63"/>
      <c r="H62" s="63"/>
      <c r="I62" s="63"/>
    </row>
    <row r="63" spans="3:9" ht="15.6">
      <c r="C63" s="63"/>
      <c r="F63" s="64"/>
      <c r="H63" s="63"/>
      <c r="I63" s="63"/>
    </row>
    <row r="64" spans="3:9" ht="15.6">
      <c r="F64" s="64"/>
      <c r="H64" s="63"/>
      <c r="I64" s="63"/>
    </row>
  </sheetData>
  <phoneticPr fontId="4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4"/>
  <sheetViews>
    <sheetView showGridLines="0" zoomScale="70" zoomScaleNormal="70" workbookViewId="0">
      <pane xSplit="1" ySplit="4" topLeftCell="B16" activePane="bottomRight" state="frozen"/>
      <selection activeCell="I39" sqref="I39"/>
      <selection pane="topRight" activeCell="I39" sqref="I39"/>
      <selection pane="bottomLeft" activeCell="I39" sqref="I39"/>
      <selection pane="bottomRight"/>
    </sheetView>
  </sheetViews>
  <sheetFormatPr defaultColWidth="9.109375" defaultRowHeight="13.2"/>
  <cols>
    <col min="1" max="1" width="11.6640625" customWidth="1"/>
    <col min="2" max="7" width="13.6640625" customWidth="1"/>
    <col min="8" max="8" width="12.4414062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125</v>
      </c>
      <c r="C2" s="65" t="s">
        <v>126</v>
      </c>
      <c r="D2" s="65" t="s">
        <v>127</v>
      </c>
      <c r="E2" s="65" t="s">
        <v>129</v>
      </c>
      <c r="F2" s="17" t="s">
        <v>145</v>
      </c>
      <c r="G2" s="17" t="s">
        <v>146</v>
      </c>
      <c r="AB2" s="66"/>
    </row>
    <row r="3" spans="1:28" ht="15.6" customHeight="1">
      <c r="A3" s="14" t="s">
        <v>105</v>
      </c>
      <c r="B3" s="23" t="s">
        <v>147</v>
      </c>
      <c r="C3" s="23" t="s">
        <v>148</v>
      </c>
      <c r="D3" s="23" t="s">
        <v>149</v>
      </c>
      <c r="E3" s="23" t="s">
        <v>150</v>
      </c>
      <c r="F3" s="23" t="s">
        <v>151</v>
      </c>
      <c r="G3" s="23" t="s">
        <v>152</v>
      </c>
      <c r="AB3" s="66"/>
    </row>
    <row r="4" spans="1:28" ht="14.4">
      <c r="A4" s="59" t="s">
        <v>153</v>
      </c>
      <c r="C4" s="60"/>
      <c r="D4" s="60"/>
      <c r="E4" s="60"/>
      <c r="F4" s="60"/>
      <c r="G4" s="60"/>
      <c r="AB4" s="66"/>
    </row>
    <row r="5" spans="1:28" ht="13.8">
      <c r="A5" s="15"/>
      <c r="B5" s="15"/>
      <c r="C5" s="15"/>
      <c r="D5" s="15"/>
      <c r="E5" s="15"/>
      <c r="F5" s="15"/>
      <c r="G5" s="15"/>
      <c r="AB5" s="66"/>
    </row>
    <row r="6" spans="1:28" ht="13.8">
      <c r="A6" s="15" t="s">
        <v>110</v>
      </c>
      <c r="B6" s="61">
        <v>345.52</v>
      </c>
      <c r="C6" s="61">
        <v>273.83999999999997</v>
      </c>
      <c r="D6" s="61">
        <v>219.72</v>
      </c>
      <c r="E6" s="53" t="s">
        <v>78</v>
      </c>
      <c r="F6" s="61">
        <v>263.63</v>
      </c>
      <c r="G6" s="61">
        <v>240.65</v>
      </c>
      <c r="H6" s="64"/>
      <c r="I6" s="64"/>
      <c r="AB6" s="66"/>
    </row>
    <row r="7" spans="1:28" ht="13.8">
      <c r="A7" s="15" t="s">
        <v>111</v>
      </c>
      <c r="B7" s="61">
        <v>393.53</v>
      </c>
      <c r="C7" s="61">
        <v>275.13</v>
      </c>
      <c r="D7" s="61">
        <v>246.75</v>
      </c>
      <c r="E7" s="53" t="s">
        <v>78</v>
      </c>
      <c r="F7" s="61">
        <v>307.58999999999997</v>
      </c>
      <c r="G7" s="61">
        <v>265.68</v>
      </c>
      <c r="H7" s="64"/>
      <c r="I7" s="64"/>
      <c r="AB7" s="66"/>
    </row>
    <row r="8" spans="1:28" ht="13.8">
      <c r="A8" s="15" t="s">
        <v>112</v>
      </c>
      <c r="B8" s="61">
        <v>468.11</v>
      </c>
      <c r="C8" s="61">
        <v>331.52</v>
      </c>
      <c r="D8" s="61">
        <v>241.57</v>
      </c>
      <c r="E8" s="53" t="s">
        <v>78</v>
      </c>
      <c r="F8" s="61">
        <v>354.22</v>
      </c>
      <c r="G8" s="61">
        <v>329.31</v>
      </c>
      <c r="H8" s="64"/>
      <c r="I8" s="64"/>
      <c r="AB8" s="66"/>
    </row>
    <row r="9" spans="1:28" ht="13.8">
      <c r="A9" s="15" t="s">
        <v>113</v>
      </c>
      <c r="B9" s="61">
        <v>489.94</v>
      </c>
      <c r="C9" s="61">
        <v>377.71</v>
      </c>
      <c r="D9" s="61">
        <v>238.87</v>
      </c>
      <c r="E9" s="53" t="s">
        <v>78</v>
      </c>
      <c r="F9" s="61">
        <v>359.7</v>
      </c>
      <c r="G9" s="61">
        <v>337.23</v>
      </c>
      <c r="H9" s="64"/>
      <c r="I9" s="64"/>
      <c r="AB9" s="66"/>
    </row>
    <row r="10" spans="1:28" ht="13.8">
      <c r="A10" s="15" t="s">
        <v>114</v>
      </c>
      <c r="B10" s="61">
        <v>368.49</v>
      </c>
      <c r="C10" s="61">
        <v>304.27</v>
      </c>
      <c r="D10" s="61">
        <v>209.97</v>
      </c>
      <c r="E10" s="53" t="s">
        <v>78</v>
      </c>
      <c r="F10" s="61">
        <v>301.2</v>
      </c>
      <c r="G10" s="61">
        <v>256.58</v>
      </c>
      <c r="H10" s="64"/>
      <c r="I10" s="64"/>
      <c r="AB10" s="66"/>
    </row>
    <row r="11" spans="1:28" ht="13.8">
      <c r="A11" s="15" t="s">
        <v>115</v>
      </c>
      <c r="B11" s="61">
        <v>324.56</v>
      </c>
      <c r="C11" s="61">
        <v>261.19</v>
      </c>
      <c r="D11" s="61">
        <v>153.16999999999999</v>
      </c>
      <c r="E11" s="53" t="s">
        <v>78</v>
      </c>
      <c r="F11" s="61">
        <v>262.2</v>
      </c>
      <c r="G11" s="61">
        <v>260.23</v>
      </c>
      <c r="H11" s="64"/>
      <c r="I11" s="64"/>
      <c r="AB11" s="66"/>
    </row>
    <row r="12" spans="1:28" ht="13.8">
      <c r="A12" s="15" t="s">
        <v>116</v>
      </c>
      <c r="B12" s="61">
        <v>316.88</v>
      </c>
      <c r="C12" s="61">
        <v>208.61</v>
      </c>
      <c r="D12" s="61">
        <v>145.1</v>
      </c>
      <c r="E12" s="53" t="s">
        <v>78</v>
      </c>
      <c r="F12" s="61">
        <v>267.94</v>
      </c>
      <c r="G12" s="61">
        <v>282.49</v>
      </c>
      <c r="H12" s="64"/>
      <c r="I12" s="64"/>
      <c r="AB12" s="66"/>
    </row>
    <row r="13" spans="1:28" ht="13.8">
      <c r="A13" s="15" t="s">
        <v>117</v>
      </c>
      <c r="B13" s="61">
        <v>345.02</v>
      </c>
      <c r="C13" s="61">
        <v>260.88</v>
      </c>
      <c r="D13" s="61">
        <v>173.53</v>
      </c>
      <c r="E13" s="53" t="s">
        <v>78</v>
      </c>
      <c r="F13" s="61">
        <v>291.14999999999998</v>
      </c>
      <c r="G13" s="61">
        <v>239.15</v>
      </c>
      <c r="H13" s="64"/>
      <c r="I13" s="64"/>
    </row>
    <row r="14" spans="1:28" ht="13.8">
      <c r="A14" s="15" t="s">
        <v>118</v>
      </c>
      <c r="B14" s="61">
        <v>308.27999999999997</v>
      </c>
      <c r="C14" s="61">
        <v>228.64</v>
      </c>
      <c r="D14" s="61">
        <v>164.16</v>
      </c>
      <c r="E14" s="53" t="s">
        <v>78</v>
      </c>
      <c r="F14" s="61">
        <v>272.38</v>
      </c>
      <c r="G14" s="61">
        <v>225.77</v>
      </c>
      <c r="H14" s="64"/>
      <c r="I14" s="64"/>
    </row>
    <row r="15" spans="1:28" ht="13.8">
      <c r="A15" s="15" t="s">
        <v>119</v>
      </c>
      <c r="B15" s="61">
        <v>299.5</v>
      </c>
      <c r="C15" s="61">
        <v>247.04</v>
      </c>
      <c r="D15" s="61">
        <v>187.7</v>
      </c>
      <c r="E15" s="53" t="s">
        <v>78</v>
      </c>
      <c r="F15" s="61">
        <v>273.99</v>
      </c>
      <c r="G15" s="61">
        <v>245.88</v>
      </c>
      <c r="H15" s="64"/>
      <c r="I15" s="64"/>
    </row>
    <row r="16" spans="1:28" ht="13.8">
      <c r="A16" s="15" t="s">
        <v>120</v>
      </c>
      <c r="B16" s="61">
        <v>392.31</v>
      </c>
      <c r="C16" s="61">
        <v>375.51</v>
      </c>
      <c r="D16" s="92">
        <v>246.22</v>
      </c>
      <c r="E16" s="53" t="s">
        <v>78</v>
      </c>
      <c r="F16" s="61">
        <v>351.87</v>
      </c>
      <c r="G16" s="61">
        <v>288.12</v>
      </c>
      <c r="H16" s="64"/>
      <c r="I16" s="64"/>
    </row>
    <row r="17" spans="1:13" ht="13.8">
      <c r="A17" s="15" t="s">
        <v>34</v>
      </c>
      <c r="B17" s="61">
        <v>439.81</v>
      </c>
      <c r="C17" s="61">
        <v>355.33</v>
      </c>
      <c r="D17" s="61">
        <v>279.98</v>
      </c>
      <c r="E17" s="53" t="s">
        <v>78</v>
      </c>
      <c r="F17" s="61">
        <v>439.1</v>
      </c>
      <c r="G17" s="61">
        <v>332.21</v>
      </c>
      <c r="H17" s="64"/>
      <c r="I17" s="64"/>
    </row>
    <row r="18" spans="1:13" ht="16.2">
      <c r="A18" s="15" t="s">
        <v>140</v>
      </c>
      <c r="B18" s="61">
        <v>451.91</v>
      </c>
      <c r="C18" s="61">
        <v>379.13</v>
      </c>
      <c r="D18" s="61">
        <v>244.34</v>
      </c>
      <c r="E18" s="53" t="s">
        <v>78</v>
      </c>
      <c r="F18" s="61">
        <v>431.34</v>
      </c>
      <c r="G18" s="92">
        <v>359.06</v>
      </c>
      <c r="H18" s="64"/>
      <c r="I18" s="64"/>
    </row>
    <row r="19" spans="1:13" ht="16.2">
      <c r="A19" s="15" t="s">
        <v>141</v>
      </c>
      <c r="B19" s="61">
        <v>380</v>
      </c>
      <c r="C19" s="61">
        <v>340</v>
      </c>
      <c r="D19" s="61">
        <v>235</v>
      </c>
      <c r="E19" s="53" t="s">
        <v>78</v>
      </c>
      <c r="F19" s="61">
        <v>360</v>
      </c>
      <c r="G19" s="92">
        <v>325</v>
      </c>
      <c r="H19" s="64"/>
      <c r="I19" s="64"/>
    </row>
    <row r="20" spans="1:13" ht="13.8">
      <c r="A20" s="15"/>
      <c r="B20" s="61"/>
      <c r="C20" s="61"/>
      <c r="D20" s="61"/>
      <c r="E20" s="53"/>
      <c r="F20" s="61"/>
      <c r="G20" s="61"/>
      <c r="I20" s="67"/>
      <c r="J20" s="68"/>
      <c r="K20" s="68"/>
      <c r="L20" s="68"/>
      <c r="M20" s="68"/>
    </row>
    <row r="21" spans="1:13" ht="13.8">
      <c r="A21" s="31" t="s">
        <v>37</v>
      </c>
      <c r="B21" s="92"/>
      <c r="C21" s="61"/>
      <c r="D21" s="61"/>
      <c r="E21" s="53"/>
      <c r="F21" s="61"/>
      <c r="G21" s="61"/>
      <c r="H21" s="49"/>
    </row>
    <row r="22" spans="1:13" ht="13.8">
      <c r="A22" s="15" t="s">
        <v>39</v>
      </c>
      <c r="B22" s="92">
        <v>468.67499999999995</v>
      </c>
      <c r="C22" s="61">
        <v>451.875</v>
      </c>
      <c r="D22" s="61" t="s">
        <v>78</v>
      </c>
      <c r="E22" s="53" t="s">
        <v>78</v>
      </c>
      <c r="F22" s="61">
        <v>409.17499999999995</v>
      </c>
      <c r="G22" s="61" t="s">
        <v>78</v>
      </c>
      <c r="H22" s="49"/>
      <c r="I22" s="64"/>
    </row>
    <row r="23" spans="1:13" ht="13.8">
      <c r="A23" s="15" t="s">
        <v>40</v>
      </c>
      <c r="B23" s="92">
        <v>436.74999999999994</v>
      </c>
      <c r="C23" s="61">
        <v>405</v>
      </c>
      <c r="D23" s="61" t="s">
        <v>78</v>
      </c>
      <c r="E23" s="53" t="s">
        <v>78</v>
      </c>
      <c r="F23" s="61">
        <v>402.99999999999994</v>
      </c>
      <c r="G23" s="61">
        <v>357.5</v>
      </c>
      <c r="H23" s="49"/>
      <c r="I23" s="64"/>
    </row>
    <row r="24" spans="1:13" ht="13.8">
      <c r="A24" s="15" t="s">
        <v>42</v>
      </c>
      <c r="B24" s="92">
        <v>462.85</v>
      </c>
      <c r="C24" s="61">
        <v>390.625</v>
      </c>
      <c r="D24" s="61">
        <v>200</v>
      </c>
      <c r="E24" s="53" t="s">
        <v>78</v>
      </c>
      <c r="F24" s="61">
        <v>437.09999999999997</v>
      </c>
      <c r="G24" s="61">
        <v>368.5</v>
      </c>
      <c r="H24" s="49"/>
      <c r="I24" s="64"/>
    </row>
    <row r="25" spans="1:13" ht="13.8">
      <c r="A25" s="15" t="s">
        <v>43</v>
      </c>
      <c r="B25" s="92">
        <v>482.40000000000003</v>
      </c>
      <c r="C25" s="61">
        <v>386.25</v>
      </c>
      <c r="D25" s="61">
        <v>355</v>
      </c>
      <c r="E25" s="53" t="s">
        <v>78</v>
      </c>
      <c r="F25" s="61">
        <v>474.02500000000003</v>
      </c>
      <c r="G25" s="61">
        <v>397.5</v>
      </c>
      <c r="H25" s="49"/>
      <c r="I25" s="64"/>
    </row>
    <row r="26" spans="1:13" ht="13.8">
      <c r="A26" s="15" t="s">
        <v>44</v>
      </c>
      <c r="B26" s="92">
        <v>500.52499999999998</v>
      </c>
      <c r="C26" s="61">
        <v>392.5</v>
      </c>
      <c r="D26" s="61">
        <v>336.25</v>
      </c>
      <c r="E26" s="53" t="s">
        <v>78</v>
      </c>
      <c r="F26" s="61">
        <v>501.02499999999998</v>
      </c>
      <c r="G26" s="61">
        <v>412.5</v>
      </c>
      <c r="H26" s="49"/>
      <c r="I26" s="64"/>
    </row>
    <row r="27" spans="1:13" ht="13.8">
      <c r="A27" s="15" t="s">
        <v>46</v>
      </c>
      <c r="B27" s="92">
        <v>484.4</v>
      </c>
      <c r="C27" s="61">
        <v>386.25</v>
      </c>
      <c r="D27" s="61">
        <v>308</v>
      </c>
      <c r="E27" s="53" t="s">
        <v>78</v>
      </c>
      <c r="F27" s="61">
        <v>466.6</v>
      </c>
      <c r="G27" s="61">
        <v>380.4</v>
      </c>
      <c r="H27" s="49"/>
      <c r="I27" s="64"/>
    </row>
    <row r="28" spans="1:13" ht="13.8">
      <c r="A28" s="15" t="s">
        <v>47</v>
      </c>
      <c r="B28" s="92">
        <v>457.25</v>
      </c>
      <c r="C28" s="61">
        <v>364.375</v>
      </c>
      <c r="D28" s="61">
        <v>252.5</v>
      </c>
      <c r="E28" s="53" t="s">
        <v>78</v>
      </c>
      <c r="F28" s="61">
        <v>434.75</v>
      </c>
      <c r="G28" s="61">
        <v>352.5</v>
      </c>
      <c r="H28" s="49"/>
      <c r="I28" s="64"/>
    </row>
    <row r="29" spans="1:13" ht="13.8">
      <c r="A29" s="15" t="s">
        <v>48</v>
      </c>
      <c r="B29" s="92">
        <v>423.57499999999999</v>
      </c>
      <c r="C29" s="61">
        <v>370.625</v>
      </c>
      <c r="D29" s="61">
        <v>237.5</v>
      </c>
      <c r="E29" s="53" t="s">
        <v>78</v>
      </c>
      <c r="F29" s="61">
        <v>407.02500000000003</v>
      </c>
      <c r="G29" s="61">
        <v>352.5</v>
      </c>
      <c r="H29" s="49"/>
      <c r="I29" s="64"/>
    </row>
    <row r="30" spans="1:13" ht="13.8">
      <c r="A30" s="15" t="s">
        <v>50</v>
      </c>
      <c r="B30" s="92">
        <v>413.46000000000004</v>
      </c>
      <c r="C30" s="61">
        <v>362.5</v>
      </c>
      <c r="D30" s="61">
        <v>208.00200000000001</v>
      </c>
      <c r="E30" s="53" t="s">
        <v>78</v>
      </c>
      <c r="F30" s="61">
        <v>405.06000000000006</v>
      </c>
      <c r="G30" s="61">
        <v>354</v>
      </c>
      <c r="H30" s="49"/>
      <c r="I30" s="64"/>
    </row>
    <row r="31" spans="1:13" ht="13.8">
      <c r="A31" s="15" t="s">
        <v>51</v>
      </c>
      <c r="B31" s="92">
        <v>443.15</v>
      </c>
      <c r="C31" s="61">
        <v>347.5</v>
      </c>
      <c r="D31" s="61">
        <v>159.16749999999999</v>
      </c>
      <c r="E31" s="53" t="s">
        <v>78</v>
      </c>
      <c r="F31" s="61">
        <v>432.1</v>
      </c>
      <c r="G31" s="61">
        <v>335</v>
      </c>
      <c r="H31" s="49"/>
      <c r="I31" s="64"/>
    </row>
    <row r="32" spans="1:13" ht="13.8">
      <c r="A32" s="15" t="s">
        <v>52</v>
      </c>
      <c r="B32" s="92">
        <v>438.8</v>
      </c>
      <c r="C32" s="61">
        <v>348.33</v>
      </c>
      <c r="D32" s="61">
        <v>185</v>
      </c>
      <c r="E32" s="53" t="s">
        <v>78</v>
      </c>
      <c r="F32" s="61">
        <v>412.9</v>
      </c>
      <c r="G32" s="61">
        <v>321.25</v>
      </c>
      <c r="H32" s="49"/>
      <c r="I32" s="64"/>
    </row>
    <row r="33" spans="1:10" ht="13.8">
      <c r="A33" s="15" t="s">
        <v>38</v>
      </c>
      <c r="B33" s="92">
        <v>411.07</v>
      </c>
      <c r="C33" s="61">
        <v>343.75</v>
      </c>
      <c r="D33" s="61">
        <v>202</v>
      </c>
      <c r="E33" s="53" t="s">
        <v>78</v>
      </c>
      <c r="F33" s="61">
        <v>393.26</v>
      </c>
      <c r="G33" s="61">
        <v>318</v>
      </c>
      <c r="H33" s="49"/>
      <c r="I33" s="64"/>
    </row>
    <row r="34" spans="1:10" ht="13.8">
      <c r="A34" s="15"/>
      <c r="B34" s="92"/>
      <c r="C34" s="61"/>
      <c r="D34" s="61"/>
      <c r="E34" s="53"/>
      <c r="F34" s="61"/>
      <c r="G34" s="61"/>
      <c r="H34" s="49"/>
      <c r="I34" s="64"/>
    </row>
    <row r="35" spans="1:10" ht="13.8">
      <c r="A35" s="31" t="s">
        <v>54</v>
      </c>
      <c r="B35" s="92"/>
      <c r="C35" s="61"/>
      <c r="D35" s="61"/>
      <c r="E35" s="53"/>
      <c r="F35" s="61"/>
      <c r="G35" s="61"/>
      <c r="H35" s="49"/>
      <c r="I35" s="64"/>
    </row>
    <row r="36" spans="1:10" ht="13.8">
      <c r="A36" s="15" t="s">
        <v>39</v>
      </c>
      <c r="B36" s="92">
        <v>416.16</v>
      </c>
      <c r="C36" s="61">
        <v>348.75</v>
      </c>
      <c r="D36" s="61">
        <v>229.16500000000002</v>
      </c>
      <c r="E36" s="53" t="s">
        <v>78</v>
      </c>
      <c r="F36" s="61">
        <v>407.1</v>
      </c>
      <c r="G36" s="61">
        <v>325</v>
      </c>
      <c r="H36" s="49"/>
      <c r="I36" s="64"/>
    </row>
    <row r="37" spans="1:10" ht="13.8">
      <c r="A37" s="15" t="s">
        <v>40</v>
      </c>
      <c r="B37" s="92">
        <v>464.27</v>
      </c>
      <c r="C37" s="61">
        <v>350</v>
      </c>
      <c r="D37" s="61">
        <v>266.67</v>
      </c>
      <c r="E37" s="53" t="s">
        <v>78</v>
      </c>
      <c r="F37" s="61">
        <v>441.77</v>
      </c>
      <c r="G37" s="92">
        <v>348.33</v>
      </c>
      <c r="H37" s="49"/>
      <c r="I37" s="64"/>
    </row>
    <row r="38" spans="1:10" ht="13.8">
      <c r="A38" s="15" t="s">
        <v>42</v>
      </c>
      <c r="B38" s="92">
        <v>440.6</v>
      </c>
      <c r="C38" s="61">
        <v>358.75</v>
      </c>
      <c r="D38" s="61">
        <v>270</v>
      </c>
      <c r="E38" s="53" t="s">
        <v>78</v>
      </c>
      <c r="F38" s="61">
        <v>395.04999999999995</v>
      </c>
      <c r="G38" s="92">
        <v>365</v>
      </c>
      <c r="H38" s="49"/>
      <c r="I38" s="64"/>
    </row>
    <row r="39" spans="1:10" ht="13.8">
      <c r="A39" s="15" t="s">
        <v>43</v>
      </c>
      <c r="B39" s="92">
        <v>378.4</v>
      </c>
      <c r="C39" s="61">
        <v>352.5</v>
      </c>
      <c r="D39" s="61">
        <v>270</v>
      </c>
      <c r="E39" s="53" t="s">
        <v>78</v>
      </c>
      <c r="F39" s="61">
        <v>349.3</v>
      </c>
      <c r="G39" s="92">
        <v>365</v>
      </c>
      <c r="H39" s="49"/>
      <c r="I39" s="64"/>
    </row>
    <row r="40" spans="1:10" ht="13.8">
      <c r="A40" s="15" t="s">
        <v>44</v>
      </c>
      <c r="B40" s="92">
        <v>363.625</v>
      </c>
      <c r="C40" s="61">
        <v>355</v>
      </c>
      <c r="D40" s="61">
        <v>210</v>
      </c>
      <c r="E40" s="53" t="s">
        <v>78</v>
      </c>
      <c r="F40" s="61">
        <v>357.75</v>
      </c>
      <c r="G40" s="92" t="s">
        <v>78</v>
      </c>
      <c r="H40" s="49"/>
      <c r="I40" s="64"/>
    </row>
    <row r="41" spans="1:10" ht="16.2">
      <c r="A41" s="82" t="s">
        <v>154</v>
      </c>
      <c r="B41" s="130"/>
      <c r="C41" s="130"/>
      <c r="D41" s="130"/>
      <c r="E41" s="130"/>
      <c r="F41" s="130"/>
      <c r="G41" s="130"/>
      <c r="I41" s="67"/>
    </row>
    <row r="42" spans="1:10" ht="16.2">
      <c r="A42" s="42" t="s">
        <v>155</v>
      </c>
      <c r="B42" s="69"/>
      <c r="C42" s="69"/>
      <c r="D42" s="69"/>
      <c r="E42" s="69"/>
      <c r="F42" s="69"/>
      <c r="G42" s="69"/>
      <c r="I42" s="67"/>
      <c r="J42" s="67"/>
    </row>
    <row r="43" spans="1:10" ht="14.4">
      <c r="A43" s="15" t="s">
        <v>156</v>
      </c>
      <c r="B43" s="15"/>
      <c r="C43" s="15"/>
      <c r="D43" s="15"/>
      <c r="E43" s="15"/>
      <c r="F43" s="69"/>
      <c r="G43" s="69"/>
      <c r="I43" s="67"/>
      <c r="J43" s="67"/>
    </row>
    <row r="44" spans="1:10" ht="13.8">
      <c r="A44" s="20" t="s">
        <v>57</v>
      </c>
      <c r="B44" s="37">
        <f>Contents!A16</f>
        <v>45363</v>
      </c>
      <c r="C44" s="15"/>
      <c r="D44" s="15"/>
      <c r="E44" s="15"/>
      <c r="F44" s="69"/>
      <c r="G44" s="69"/>
      <c r="I44" s="70"/>
      <c r="J44" s="70"/>
    </row>
    <row r="45" spans="1:10" ht="13.8">
      <c r="F45" s="69"/>
      <c r="G45" s="69"/>
      <c r="I45" s="70"/>
      <c r="J45" s="70"/>
    </row>
    <row r="46" spans="1:10" ht="13.8">
      <c r="B46" s="64"/>
      <c r="F46" s="69"/>
      <c r="G46" s="69"/>
      <c r="I46" s="67"/>
      <c r="J46" s="67"/>
    </row>
    <row r="47" spans="1:10">
      <c r="B47" s="96"/>
      <c r="I47" s="67"/>
      <c r="J47" s="67"/>
    </row>
    <row r="48" spans="1:10">
      <c r="I48" s="67"/>
      <c r="J48" s="67"/>
    </row>
    <row r="49" spans="9:10">
      <c r="I49" s="67"/>
      <c r="J49" s="67"/>
    </row>
    <row r="50" spans="9:10">
      <c r="I50" s="67"/>
      <c r="J50" s="67"/>
    </row>
    <row r="51" spans="9:10">
      <c r="I51" s="67"/>
      <c r="J51" s="67"/>
    </row>
    <row r="53" spans="9:10">
      <c r="I53" s="71"/>
      <c r="J53" s="71"/>
    </row>
    <row r="54" spans="9:10">
      <c r="I54" s="71"/>
      <c r="J54" s="71"/>
    </row>
  </sheetData>
  <phoneticPr fontId="4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5B1F-F1DC-48AB-BC98-2A80471F0B09}">
  <dimension ref="A1:G43"/>
  <sheetViews>
    <sheetView zoomScale="90" zoomScaleNormal="90" workbookViewId="0"/>
  </sheetViews>
  <sheetFormatPr defaultColWidth="8.88671875" defaultRowHeight="13.2"/>
  <cols>
    <col min="1" max="1" width="14.33203125" style="151" customWidth="1"/>
    <col min="2" max="2" width="10" style="151" customWidth="1"/>
    <col min="3" max="3" width="8.88671875" style="151"/>
    <col min="4" max="4" width="10.6640625" style="151" customWidth="1"/>
    <col min="5" max="16384" width="8.88671875" style="151"/>
  </cols>
  <sheetData>
    <row r="1" spans="1:7" ht="26.4">
      <c r="A1" s="150" t="s">
        <v>157</v>
      </c>
      <c r="B1" s="150" t="s">
        <v>162</v>
      </c>
      <c r="C1" s="150" t="s">
        <v>163</v>
      </c>
      <c r="D1" s="150" t="s">
        <v>166</v>
      </c>
      <c r="E1" s="150" t="s">
        <v>164</v>
      </c>
      <c r="F1" s="150" t="s">
        <v>165</v>
      </c>
    </row>
    <row r="2" spans="1:7">
      <c r="A2" s="152" t="s">
        <v>115</v>
      </c>
      <c r="B2" s="153">
        <v>27.155999999999999</v>
      </c>
      <c r="C2" s="153">
        <v>23.803000000000001</v>
      </c>
      <c r="D2" s="153">
        <v>16.643000000000001</v>
      </c>
      <c r="E2" s="154">
        <v>5.3540000000000001</v>
      </c>
      <c r="F2" s="158">
        <v>6.5939999999999941</v>
      </c>
    </row>
    <row r="3" spans="1:7">
      <c r="A3" s="152" t="s">
        <v>116</v>
      </c>
      <c r="B3" s="153">
        <v>26.995999999999999</v>
      </c>
      <c r="C3" s="153">
        <v>32.631999999999998</v>
      </c>
      <c r="D3" s="153">
        <v>20.12</v>
      </c>
      <c r="E3" s="154">
        <v>8.2080000000000002</v>
      </c>
      <c r="F3" s="158">
        <v>7.7469999999999999</v>
      </c>
    </row>
    <row r="4" spans="1:7">
      <c r="A4" s="152" t="s">
        <v>117</v>
      </c>
      <c r="B4" s="153">
        <v>23.734000000000002</v>
      </c>
      <c r="C4" s="153">
        <v>33.030999999999999</v>
      </c>
      <c r="D4" s="153">
        <v>22.562000000000001</v>
      </c>
      <c r="E4" s="154">
        <v>11.923</v>
      </c>
      <c r="F4" s="158">
        <v>8.7450000000000045</v>
      </c>
    </row>
    <row r="5" spans="1:7">
      <c r="A5" s="152" t="s">
        <v>118</v>
      </c>
      <c r="B5" s="153">
        <v>28.89</v>
      </c>
      <c r="C5" s="153">
        <v>33.341999999999999</v>
      </c>
      <c r="D5" s="153">
        <v>18.350000000000001</v>
      </c>
      <c r="E5" s="154">
        <v>25.175999999999998</v>
      </c>
      <c r="F5" s="158">
        <v>8.8629999999999995</v>
      </c>
    </row>
    <row r="6" spans="1:7">
      <c r="A6" s="152" t="s">
        <v>119</v>
      </c>
      <c r="B6" s="153">
        <v>26.65</v>
      </c>
      <c r="C6" s="153">
        <v>20.419</v>
      </c>
      <c r="D6" s="153">
        <v>24.484000000000002</v>
      </c>
      <c r="E6" s="154">
        <v>14.657</v>
      </c>
      <c r="F6" s="158">
        <v>9.3180000000000121</v>
      </c>
    </row>
    <row r="7" spans="1:7">
      <c r="A7" s="152" t="s">
        <v>120</v>
      </c>
      <c r="B7" s="155">
        <v>25.06</v>
      </c>
      <c r="C7" s="154">
        <v>29.579000000000001</v>
      </c>
      <c r="D7" s="154">
        <v>28.856000000000002</v>
      </c>
      <c r="E7" s="154">
        <v>6.9939999999999998</v>
      </c>
      <c r="F7" s="158">
        <v>7.777000000000001</v>
      </c>
    </row>
    <row r="8" spans="1:7">
      <c r="A8" s="152" t="s">
        <v>34</v>
      </c>
      <c r="B8" s="156">
        <v>23.902999999999999</v>
      </c>
      <c r="C8" s="154">
        <v>27.597999999999999</v>
      </c>
      <c r="D8" s="154">
        <v>25.146000000000001</v>
      </c>
      <c r="E8" s="154">
        <v>7.468</v>
      </c>
      <c r="F8" s="158">
        <v>9.811000000000007</v>
      </c>
    </row>
    <row r="9" spans="1:7">
      <c r="A9" s="152" t="s">
        <v>37</v>
      </c>
      <c r="B9" s="155">
        <v>17.209</v>
      </c>
      <c r="C9" s="154">
        <v>37.350999999999999</v>
      </c>
      <c r="D9" s="159">
        <v>32.340000000000003</v>
      </c>
      <c r="E9" s="159">
        <v>7.19</v>
      </c>
      <c r="F9" s="158">
        <v>8.0589999999999975</v>
      </c>
      <c r="G9" s="179"/>
    </row>
    <row r="10" spans="1:7">
      <c r="A10" s="152" t="s">
        <v>167</v>
      </c>
      <c r="B10" s="156">
        <v>25.959</v>
      </c>
      <c r="C10" s="154">
        <v>36.301000000000002</v>
      </c>
      <c r="D10" s="159">
        <v>36.03</v>
      </c>
      <c r="E10" s="159">
        <v>8.5709999999999997</v>
      </c>
      <c r="F10" s="158">
        <v>9.164999999999992</v>
      </c>
    </row>
    <row r="11" spans="1:7">
      <c r="A11" s="152" t="s">
        <v>168</v>
      </c>
      <c r="B11" s="155">
        <v>25.959</v>
      </c>
      <c r="C11" s="154">
        <v>33.051000000000002</v>
      </c>
      <c r="D11" s="159">
        <v>37.58</v>
      </c>
      <c r="E11" s="159">
        <v>8.5709999999999997</v>
      </c>
      <c r="F11" s="158">
        <v>9.1069999999999993</v>
      </c>
    </row>
    <row r="12" spans="1:7">
      <c r="B12" s="157"/>
      <c r="G12" s="178"/>
    </row>
    <row r="13" spans="1:7">
      <c r="B13" s="157"/>
    </row>
    <row r="14" spans="1:7">
      <c r="B14" s="157"/>
    </row>
    <row r="15" spans="1:7">
      <c r="B15" s="157"/>
    </row>
    <row r="16" spans="1:7">
      <c r="B16" s="157"/>
    </row>
    <row r="17" spans="2:2">
      <c r="B17" s="116"/>
    </row>
    <row r="18" spans="2:2">
      <c r="B18" s="116"/>
    </row>
    <row r="19" spans="2:2">
      <c r="B19" s="116"/>
    </row>
    <row r="20" spans="2:2">
      <c r="B20" s="116"/>
    </row>
    <row r="21" spans="2:2">
      <c r="B21" s="116"/>
    </row>
    <row r="22" spans="2:2">
      <c r="B22" s="116"/>
    </row>
    <row r="23" spans="2:2">
      <c r="B23" s="116"/>
    </row>
    <row r="24" spans="2:2">
      <c r="B24" s="116"/>
    </row>
    <row r="25" spans="2:2">
      <c r="B25" s="116"/>
    </row>
    <row r="26" spans="2:2">
      <c r="B26" s="116"/>
    </row>
    <row r="27" spans="2:2">
      <c r="B27" s="116"/>
    </row>
    <row r="28" spans="2:2">
      <c r="B28" s="116"/>
    </row>
    <row r="29" spans="2:2">
      <c r="B29" s="116"/>
    </row>
    <row r="30" spans="2:2">
      <c r="B30" s="116"/>
    </row>
    <row r="31" spans="2:2">
      <c r="B31" s="116"/>
    </row>
    <row r="32" spans="2:2">
      <c r="B32" s="116"/>
    </row>
    <row r="33" spans="2:2">
      <c r="B33" s="116"/>
    </row>
    <row r="34" spans="2:2">
      <c r="B34" s="116"/>
    </row>
    <row r="35" spans="2:2">
      <c r="B35" s="116"/>
    </row>
    <row r="36" spans="2:2">
      <c r="B36" s="116"/>
    </row>
    <row r="37" spans="2:2">
      <c r="B37" s="116"/>
    </row>
    <row r="38" spans="2:2">
      <c r="B38" s="116"/>
    </row>
    <row r="39" spans="2:2">
      <c r="B39" s="116"/>
    </row>
    <row r="40" spans="2:2">
      <c r="B40" s="116"/>
    </row>
    <row r="41" spans="2:2">
      <c r="B41" s="116"/>
    </row>
    <row r="42" spans="2:2">
      <c r="B42" s="116"/>
    </row>
    <row r="43" spans="2:2">
      <c r="B43" s="116"/>
    </row>
  </sheetData>
  <phoneticPr fontId="40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818c5c2-d41f-4dce-801c-4e3595afcb3f"/>
    <ds:schemaRef ds:uri="c49de858-f9fd-4eb6-bcba-50396646711f"/>
  </ds:schemaRefs>
</ds:datastoreItem>
</file>

<file path=customXml/itemProps3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2024-03-12T12:26:18Z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