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B February 2024/"/>
    </mc:Choice>
  </mc:AlternateContent>
  <xr:revisionPtr revIDLastSave="1857" documentId="8_{683CF8EE-25BA-4633-9C05-6A802624C744}" xr6:coauthVersionLast="47" xr6:coauthVersionMax="47" xr10:uidLastSave="{A3C6169A-8036-4D9E-B070-305486D299FB}"/>
  <bookViews>
    <workbookView xWindow="28680" yWindow="-120" windowWidth="29040" windowHeight="15840" tabRatio="682" firstSheet="8" activeTab="7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65" r:id="rId9"/>
    <sheet name="Figure 2" sheetId="156" r:id="rId10"/>
    <sheet name="Figure 3" sheetId="154" r:id="rId11"/>
  </sheets>
  <definedNames>
    <definedName name="_xlnm.Print_Area" localSheetId="1">'Table 1'!$A$1:$N$36</definedName>
    <definedName name="_xlnm.Print_Area" localSheetId="7">'Table 10'!$A$1:$G$41</definedName>
    <definedName name="_xlnm.Print_Area" localSheetId="2">'Table 2'!$A$1:$J$30</definedName>
    <definedName name="_xlnm.Print_Area" localSheetId="3">'Table 3'!$A$1:$L$43</definedName>
    <definedName name="_xlnm.Print_Area" localSheetId="5">'Table 8'!$A$1:$G$40</definedName>
    <definedName name="_xlnm.Print_Area" localSheetId="6">'Table 9'!$A$1:$I$42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I27" i="9"/>
  <c r="I28" i="2"/>
  <c r="I26" i="2"/>
  <c r="G26" i="2"/>
  <c r="G27" i="2"/>
  <c r="G34" i="1" l="1"/>
  <c r="K8" i="3"/>
  <c r="G28" i="9"/>
  <c r="K28" i="9"/>
  <c r="E28" i="9"/>
  <c r="D28" i="9"/>
  <c r="E26" i="2"/>
  <c r="G28" i="2"/>
  <c r="E28" i="2"/>
  <c r="D28" i="2"/>
  <c r="H28" i="2"/>
  <c r="J28" i="9"/>
  <c r="L34" i="1"/>
  <c r="B28" i="9" l="1"/>
  <c r="B28" i="2"/>
  <c r="J34" i="1"/>
  <c r="H27" i="2"/>
  <c r="E14" i="1"/>
  <c r="G8" i="9" l="1"/>
  <c r="K8" i="9" s="1"/>
  <c r="J27" i="9" l="1"/>
  <c r="D27" i="9"/>
  <c r="D26" i="9"/>
  <c r="D27" i="2"/>
  <c r="E33" i="1"/>
  <c r="J32" i="1"/>
  <c r="L32" i="1" l="1"/>
  <c r="G32" i="1"/>
  <c r="B27" i="2" l="1"/>
  <c r="E27" i="2" s="1"/>
  <c r="I27" i="2" s="1"/>
  <c r="B27" i="9"/>
  <c r="E27" i="9" s="1"/>
  <c r="K27" i="9" s="1"/>
  <c r="G27" i="9" s="1"/>
  <c r="D6" i="9"/>
  <c r="J6" i="9"/>
  <c r="B11" i="9"/>
  <c r="B11" i="2"/>
  <c r="L31" i="1" l="1"/>
  <c r="G31" i="1"/>
  <c r="D26" i="2"/>
  <c r="H26" i="2"/>
  <c r="J26" i="9"/>
  <c r="J31" i="1" l="1"/>
  <c r="E6" i="9"/>
  <c r="G6" i="9" s="1"/>
  <c r="I6" i="9" s="1"/>
  <c r="K6" i="9" l="1"/>
  <c r="E6" i="2"/>
  <c r="H23" i="9"/>
  <c r="H7" i="9" s="1"/>
  <c r="I6" i="2" l="1"/>
  <c r="G6" i="2"/>
  <c r="L7" i="9"/>
  <c r="B8" i="9" s="1"/>
  <c r="J23" i="9"/>
  <c r="J7" i="9" s="1"/>
  <c r="D23" i="9"/>
  <c r="D7" i="9" s="1"/>
  <c r="C23" i="9"/>
  <c r="C7" i="9" s="1"/>
  <c r="J22" i="9"/>
  <c r="D22" i="9"/>
  <c r="B22" i="9"/>
  <c r="E22" i="9" s="1"/>
  <c r="K22" i="9" s="1"/>
  <c r="J21" i="9"/>
  <c r="D21" i="9"/>
  <c r="B21" i="9"/>
  <c r="J20" i="9"/>
  <c r="D20" i="9"/>
  <c r="B20" i="9"/>
  <c r="E20" i="9" s="1"/>
  <c r="K20" i="9" s="1"/>
  <c r="J19" i="9"/>
  <c r="D19" i="9"/>
  <c r="B19" i="9"/>
  <c r="E19" i="9" s="1"/>
  <c r="K19" i="9" s="1"/>
  <c r="G19" i="9" s="1"/>
  <c r="I19" i="9" s="1"/>
  <c r="J18" i="9"/>
  <c r="D18" i="9"/>
  <c r="B18" i="9"/>
  <c r="E18" i="9" s="1"/>
  <c r="K18" i="9" s="1"/>
  <c r="G18" i="9" s="1"/>
  <c r="I18" i="9" s="1"/>
  <c r="J17" i="9"/>
  <c r="D17" i="9"/>
  <c r="B17" i="9"/>
  <c r="J16" i="9"/>
  <c r="D16" i="9"/>
  <c r="B16" i="9"/>
  <c r="E16" i="9" s="1"/>
  <c r="K16" i="9" s="1"/>
  <c r="J15" i="9"/>
  <c r="D15" i="9"/>
  <c r="B15" i="9"/>
  <c r="J14" i="9"/>
  <c r="D14" i="9"/>
  <c r="B14" i="9"/>
  <c r="E14" i="9" s="1"/>
  <c r="K14" i="9" s="1"/>
  <c r="J13" i="9"/>
  <c r="D13" i="9"/>
  <c r="B13" i="9"/>
  <c r="J12" i="9"/>
  <c r="D12" i="9"/>
  <c r="B12" i="9"/>
  <c r="E12" i="9" s="1"/>
  <c r="K12" i="9" s="1"/>
  <c r="J11" i="9"/>
  <c r="D11" i="9"/>
  <c r="B26" i="2"/>
  <c r="J7" i="2"/>
  <c r="H23" i="2"/>
  <c r="H7" i="2" s="1"/>
  <c r="D23" i="2"/>
  <c r="D7" i="2" s="1"/>
  <c r="C23" i="2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H15" i="2"/>
  <c r="D15" i="2"/>
  <c r="B15" i="2"/>
  <c r="E15" i="2" s="1"/>
  <c r="I15" i="2" s="1"/>
  <c r="G15" i="2" s="1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1" i="2"/>
  <c r="I11" i="2" s="1"/>
  <c r="E19" i="2" l="1"/>
  <c r="G16" i="2"/>
  <c r="E13" i="9"/>
  <c r="K13" i="9" s="1"/>
  <c r="G12" i="9"/>
  <c r="I12" i="9" s="1"/>
  <c r="G16" i="9"/>
  <c r="I16" i="9" s="1"/>
  <c r="G20" i="9"/>
  <c r="I20" i="9" s="1"/>
  <c r="E14" i="2"/>
  <c r="I14" i="2" s="1"/>
  <c r="G14" i="2" s="1"/>
  <c r="E18" i="2"/>
  <c r="I18" i="2" s="1"/>
  <c r="G18" i="2" s="1"/>
  <c r="E22" i="2"/>
  <c r="I22" i="2" s="1"/>
  <c r="G22" i="2" s="1"/>
  <c r="G13" i="9"/>
  <c r="I13" i="9" s="1"/>
  <c r="C7" i="2"/>
  <c r="E23" i="2"/>
  <c r="I19" i="2"/>
  <c r="G19" i="2" s="1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G11" i="9" s="1"/>
  <c r="E23" i="9"/>
  <c r="E7" i="9" s="1"/>
  <c r="E13" i="2"/>
  <c r="I13" i="2" s="1"/>
  <c r="G13" i="2" s="1"/>
  <c r="E17" i="2"/>
  <c r="I17" i="2" s="1"/>
  <c r="G17" i="2" s="1"/>
  <c r="E21" i="2"/>
  <c r="I21" i="2" s="1"/>
  <c r="G21" i="2" s="1"/>
  <c r="J17" i="1"/>
  <c r="G15" i="1"/>
  <c r="B37" i="1"/>
  <c r="E46" i="3"/>
  <c r="N46" i="3"/>
  <c r="I23" i="2" l="1"/>
  <c r="G23" i="9"/>
  <c r="I23" i="9" s="1"/>
  <c r="G23" i="2"/>
  <c r="K23" i="9"/>
  <c r="I11" i="9"/>
  <c r="G30" i="1"/>
  <c r="G33" i="1" l="1"/>
  <c r="H33" i="1" s="1"/>
  <c r="M33" i="1" s="1"/>
  <c r="L30" i="1"/>
  <c r="L33" i="1" s="1"/>
  <c r="J30" i="1" l="1"/>
  <c r="J33" i="1" s="1"/>
  <c r="K33" i="1" s="1"/>
  <c r="E8" i="1" l="1"/>
  <c r="L27" i="1"/>
  <c r="L7" i="1" s="1"/>
  <c r="G27" i="1"/>
  <c r="G7" i="1" s="1"/>
  <c r="L25" i="1"/>
  <c r="J25" i="1"/>
  <c r="G25" i="1"/>
  <c r="L24" i="1"/>
  <c r="J24" i="1"/>
  <c r="G24" i="1"/>
  <c r="L23" i="1"/>
  <c r="J23" i="1"/>
  <c r="G23" i="1"/>
  <c r="E26" i="1"/>
  <c r="L21" i="1"/>
  <c r="J21" i="1"/>
  <c r="G21" i="1"/>
  <c r="L20" i="1"/>
  <c r="J20" i="1"/>
  <c r="G20" i="1"/>
  <c r="L19" i="1"/>
  <c r="J19" i="1"/>
  <c r="G19" i="1"/>
  <c r="N18" i="1"/>
  <c r="E22" i="1" s="1"/>
  <c r="L17" i="1"/>
  <c r="G17" i="1"/>
  <c r="L16" i="1"/>
  <c r="J16" i="1"/>
  <c r="G16" i="1"/>
  <c r="L15" i="1"/>
  <c r="J15" i="1"/>
  <c r="N14" i="1"/>
  <c r="E18" i="1" s="1"/>
  <c r="L13" i="1"/>
  <c r="J13" i="1"/>
  <c r="G13" i="1"/>
  <c r="L12" i="1"/>
  <c r="J12" i="1"/>
  <c r="G12" i="1"/>
  <c r="L11" i="1"/>
  <c r="J11" i="1"/>
  <c r="G11" i="1"/>
  <c r="H6" i="1"/>
  <c r="M6" i="1" s="1"/>
  <c r="I32" i="3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J14" i="1"/>
  <c r="D7" i="1"/>
  <c r="K14" i="1" l="1"/>
  <c r="K26" i="1"/>
  <c r="K18" i="1"/>
  <c r="J27" i="1"/>
  <c r="J7" i="1" s="1"/>
  <c r="K22" i="1"/>
  <c r="D46" i="3" l="1"/>
  <c r="I33" i="3" l="1"/>
  <c r="D8" i="1" l="1"/>
  <c r="M8" i="1" l="1"/>
  <c r="I21" i="3" l="1"/>
  <c r="B26" i="9" l="1"/>
  <c r="E26" i="9" l="1"/>
  <c r="K26" i="9" s="1"/>
  <c r="G26" i="9" s="1"/>
  <c r="I26" i="9" s="1"/>
  <c r="K7" i="9"/>
  <c r="G7" i="9" s="1"/>
  <c r="I7" i="9" l="1"/>
  <c r="B7" i="9"/>
  <c r="B43" i="6" l="1"/>
  <c r="B43" i="5"/>
  <c r="B42" i="4"/>
  <c r="B50" i="3"/>
  <c r="B31" i="9"/>
  <c r="B31" i="2"/>
  <c r="E7" i="1" l="1"/>
  <c r="H7" i="1" s="1"/>
  <c r="M7" i="1" s="1"/>
  <c r="K7" i="1" s="1"/>
  <c r="D45" i="3" l="1"/>
  <c r="E45" i="3" l="1"/>
  <c r="H45" i="3" s="1"/>
  <c r="N45" i="3" s="1"/>
  <c r="L45" i="3" s="1"/>
  <c r="B32" i="3"/>
  <c r="E32" i="3" s="1"/>
  <c r="J32" i="3" s="1"/>
  <c r="B20" i="3"/>
  <c r="E20" i="3" s="1"/>
  <c r="G20" i="3" s="1"/>
  <c r="B7" i="3"/>
  <c r="E7" i="3" s="1"/>
  <c r="J7" i="3" s="1"/>
  <c r="H46" i="3" l="1"/>
  <c r="O46" i="3" s="1"/>
  <c r="I20" i="3"/>
  <c r="B21" i="3" s="1"/>
  <c r="E21" i="3" s="1"/>
  <c r="J21" i="3" s="1"/>
  <c r="H8" i="1" l="1"/>
  <c r="N8" i="1" s="1"/>
  <c r="D44" i="3" l="1"/>
  <c r="D6" i="1"/>
  <c r="E6" i="3" l="1"/>
  <c r="E19" i="3"/>
  <c r="G19" i="3" s="1"/>
  <c r="I19" i="3" s="1"/>
  <c r="H44" i="3"/>
  <c r="J6" i="3" l="1"/>
  <c r="I6" i="3" s="1"/>
  <c r="N44" i="3"/>
  <c r="L44" i="3" s="1"/>
  <c r="E31" i="3"/>
  <c r="I31" i="3" s="1"/>
  <c r="G31" i="3" s="1"/>
  <c r="K6" i="1" l="1"/>
  <c r="B33" i="3" l="1"/>
  <c r="E33" i="3" s="1"/>
  <c r="J33" i="3" s="1"/>
  <c r="E8" i="9" l="1"/>
  <c r="L8" i="9" s="1"/>
  <c r="B8" i="3" l="1"/>
  <c r="E8" i="3" s="1"/>
  <c r="I7" i="3"/>
  <c r="B8" i="2" l="1"/>
  <c r="E8" i="2" s="1"/>
  <c r="B7" i="2"/>
  <c r="E7" i="2" s="1"/>
  <c r="I7" i="2" l="1"/>
  <c r="G7" i="2"/>
  <c r="G8" i="2"/>
  <c r="I8" i="2"/>
</calcChain>
</file>

<file path=xl/sharedStrings.xml><?xml version="1.0" encoding="utf-8"?>
<sst xmlns="http://schemas.openxmlformats.org/spreadsheetml/2006/main" count="507" uniqueCount="167">
  <si>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</si>
  <si>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</si>
  <si>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</si>
  <si>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</si>
  <si>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</si>
  <si>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</si>
  <si>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</si>
  <si>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</si>
  <si>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</si>
  <si>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</si>
  <si>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</si>
  <si>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</si>
  <si>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</si>
  <si>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</si>
  <si>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</si>
  <si>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</si>
  <si>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</si>
  <si>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</si>
  <si>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</si>
  <si>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</si>
  <si>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</si>
  <si>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</si>
  <si>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</si>
  <si>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</si>
  <si>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</si>
  <si>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</si>
  <si>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</si>
  <si>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</si>
  <si>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</si>
  <si>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</si>
  <si>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</si>
  <si>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</si>
  <si>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</si>
  <si>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</si>
  <si>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</si>
  <si>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</si>
  <si>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</si>
  <si>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</si>
  <si>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</si>
  <si>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</si>
  <si>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</si>
  <si>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</si>
  <si>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</si>
  <si>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</si>
  <si>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</si>
  <si>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</si>
  <si>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</si>
  <si>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</si>
  <si>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</si>
  <si>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</si>
  <si>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</si>
  <si>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</si>
  <si>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</si>
  <si>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</si>
  <si>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</si>
  <si>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</si>
  <si>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</si>
  <si>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</si>
  <si>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</si>
  <si>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</si>
  <si>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</si>
  <si>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</si>
  <si>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</si>
  <si>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</si>
  <si>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</si>
  <si>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</si>
  <si>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</si>
  <si>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</si>
  <si>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</si>
  <si>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</si>
  <si>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</si>
  <si>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</si>
  <si>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</si>
  <si>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</si>
  <si>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</si>
  <si>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</si>
  <si>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</si>
  <si>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</si>
  <si>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</si>
  <si>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</si>
  <si>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</si>
  <si>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</si>
  <si>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</si>
  <si>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</si>
  <si>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</si>
  <si>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</si>
  <si>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</si>
  <si>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</si>
  <si>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</si>
  <si>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</si>
  <si>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</si>
  <si>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</si>
  <si>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</si>
  <si>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</si>
  <si>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</si>
  <si>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</si>
  <si>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</si>
  <si>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</si>
  <si>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</si>
  <si>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</si>
  <si>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</si>
  <si>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</si>
  <si>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</si>
  <si>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</si>
  <si>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</si>
  <si>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</si>
  <si>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</si>
  <si>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</si>
  <si>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</si>
  <si>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</si>
  <si>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</si>
  <si>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</si>
  <si>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</si>
  <si>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</si>
  <si>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</si>
  <si>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</si>
  <si>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</si>
  <si>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</si>
  <si>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</si>
  <si>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</si>
  <si>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</si>
  <si>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</si>
  <si>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</si>
  <si>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</si>
  <si>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</si>
  <si>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</si>
  <si>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</si>
  <si>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</si>
  <si>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</si>
  <si>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</si>
  <si>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</si>
  <si>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</si>
  <si>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</si>
  <si>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</si>
  <si>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</si>
  <si>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</si>
  <si>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</si>
  <si>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</si>
  <si>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</si>
  <si>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</si>
  <si>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</si>
  <si>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</si>
  <si>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</si>
  <si>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</si>
  <si>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</si>
  <si>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</si>
  <si>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</si>
  <si>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</si>
  <si>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</si>
  <si>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</si>
  <si>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</si>
  <si>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</si>
  <si>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</si>
  <si>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</si>
  <si>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</si>
  <si>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</si>
  <si>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</si>
  <si>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</si>
  <si>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t>Ending stocks</t>
  </si>
  <si>
    <t>Season-average farm price</t>
  </si>
  <si>
    <t>2023/24*</t>
  </si>
  <si>
    <t>Marketing year (September-August)</t>
  </si>
  <si>
    <t>Crush (Million pounds)</t>
  </si>
  <si>
    <t>Nonoil use and residual (Million pounds)</t>
  </si>
  <si>
    <t>Production (Million pounds)</t>
  </si>
  <si>
    <t>Price, Rondonópolis, Mato Grosso</t>
  </si>
  <si>
    <t>Change in harvested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</si>
</sst>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00"/>
    <numFmt numFmtId="176" formatCode="0.000000"/>
    <numFmt numFmtId="177" formatCode="0.0000000"/>
    <numFmt numFmtId="178" formatCode="_(* #,##0.0_);_(* \(#,##0.0\);_(* &quot;-&quot;_);_(@_)"/>
    <numFmt numFmtId="179" formatCode="_(* #,##0.00_);_(* \(#,##0.00\);_(* &quot;-&quot;_);_(@_)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8">
    <xf numFmtId="0" fontId="0" fillId="0" borderId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38" fillId="0" borderId="0"/>
    <xf numFmtId="0" fontId="38" fillId="0" borderId="0"/>
    <xf numFmtId="0" fontId="38" fillId="0" borderId="0"/>
    <xf numFmtId="0" fontId="49" fillId="0" borderId="0"/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51" fillId="0" borderId="0"/>
    <xf numFmtId="0" fontId="36" fillId="0" borderId="0"/>
    <xf numFmtId="0" fontId="35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4" fontId="37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9">
    <xf numFmtId="0" fontId="0" fillId="0" borderId="0" xfId="0"/>
    <xf numFmtId="0" fontId="38" fillId="0" borderId="0" xfId="8"/>
    <xf numFmtId="0" fontId="39" fillId="0" borderId="0" xfId="8" applyFont="1"/>
    <xf numFmtId="0" fontId="44" fillId="0" borderId="0" xfId="8" applyFont="1"/>
    <xf numFmtId="0" fontId="45" fillId="0" borderId="0" xfId="8" applyFont="1"/>
    <xf numFmtId="169" fontId="46" fillId="0" borderId="0" xfId="1" applyNumberFormat="1" applyFont="1" applyFill="1" applyBorder="1" applyAlignment="1">
      <alignment horizontal="center"/>
    </xf>
    <xf numFmtId="169" fontId="46" fillId="0" borderId="0" xfId="1" applyNumberFormat="1" applyFont="1" applyFill="1" applyBorder="1" applyAlignment="1">
      <alignment horizontal="right" indent="1"/>
    </xf>
    <xf numFmtId="0" fontId="52" fillId="0" borderId="0" xfId="7" applyFont="1" applyAlignment="1">
      <alignment horizontal="left"/>
    </xf>
    <xf numFmtId="0" fontId="53" fillId="0" borderId="0" xfId="5" applyFont="1" applyAlignment="1" applyProtection="1"/>
    <xf numFmtId="14" fontId="52" fillId="0" borderId="0" xfId="7" applyNumberFormat="1" applyFont="1" applyAlignment="1">
      <alignment horizontal="left"/>
    </xf>
    <xf numFmtId="0" fontId="53" fillId="0" borderId="0" xfId="4" applyFont="1" applyAlignment="1" applyProtection="1"/>
    <xf numFmtId="0" fontId="46" fillId="0" borderId="0" xfId="7" quotePrefix="1" applyFont="1" applyAlignment="1">
      <alignment horizontal="left"/>
    </xf>
    <xf numFmtId="0" fontId="46" fillId="0" borderId="0" xfId="8" applyFont="1" applyAlignment="1">
      <alignment wrapText="1"/>
    </xf>
    <xf numFmtId="169" fontId="46" fillId="0" borderId="0" xfId="1" applyNumberFormat="1" applyFont="1" applyFill="1" applyBorder="1" applyAlignment="1">
      <alignment horizontal="right"/>
    </xf>
    <xf numFmtId="0" fontId="46" fillId="0" borderId="1" xfId="0" applyFont="1" applyBorder="1"/>
    <xf numFmtId="0" fontId="46" fillId="0" borderId="0" xfId="0" applyFont="1"/>
    <xf numFmtId="0" fontId="46" fillId="0" borderId="2" xfId="0" applyFont="1" applyBorder="1" applyAlignment="1">
      <alignment horizontal="right"/>
    </xf>
    <xf numFmtId="0" fontId="46" fillId="0" borderId="0" xfId="0" applyFont="1" applyAlignment="1">
      <alignment horizontal="center"/>
    </xf>
    <xf numFmtId="0" fontId="0" fillId="0" borderId="2" xfId="0" applyBorder="1"/>
    <xf numFmtId="0" fontId="46" fillId="0" borderId="2" xfId="0" applyFont="1" applyBorder="1" applyAlignment="1">
      <alignment horizontal="left"/>
    </xf>
    <xf numFmtId="0" fontId="46" fillId="0" borderId="0" xfId="0" applyFont="1" applyAlignment="1">
      <alignment horizontal="right"/>
    </xf>
    <xf numFmtId="16" fontId="46" fillId="0" borderId="1" xfId="0" quotePrefix="1" applyNumberFormat="1" applyFont="1" applyBorder="1"/>
    <xf numFmtId="16" fontId="46" fillId="0" borderId="1" xfId="0" applyNumberFormat="1" applyFont="1" applyBorder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right"/>
    </xf>
    <xf numFmtId="0" fontId="46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7" fillId="0" borderId="0" xfId="0" quotePrefix="1" applyFont="1" applyAlignment="1">
      <alignment horizontal="right"/>
    </xf>
    <xf numFmtId="3" fontId="46" fillId="0" borderId="0" xfId="1" applyNumberFormat="1" applyFont="1" applyFill="1" applyBorder="1" applyAlignment="1">
      <alignment horizontal="right" indent="1"/>
    </xf>
    <xf numFmtId="164" fontId="46" fillId="0" borderId="0" xfId="1" applyNumberFormat="1" applyFont="1" applyFill="1" applyBorder="1"/>
    <xf numFmtId="164" fontId="46" fillId="0" borderId="0" xfId="1" applyNumberFormat="1" applyFont="1" applyFill="1" applyBorder="1" applyAlignment="1">
      <alignment horizontal="right"/>
    </xf>
    <xf numFmtId="0" fontId="52" fillId="0" borderId="0" xfId="0" applyFont="1"/>
    <xf numFmtId="169" fontId="46" fillId="0" borderId="0" xfId="1" quotePrefix="1" applyNumberFormat="1" applyFont="1" applyFill="1" applyBorder="1" applyAlignment="1">
      <alignment horizontal="right"/>
    </xf>
    <xf numFmtId="164" fontId="46" fillId="0" borderId="0" xfId="1" applyNumberFormat="1" applyFont="1" applyFill="1" applyBorder="1" applyAlignment="1">
      <alignment horizontal="center"/>
    </xf>
    <xf numFmtId="164" fontId="46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6" fillId="0" borderId="0" xfId="1" applyNumberFormat="1" applyFont="1" applyFill="1"/>
    <xf numFmtId="14" fontId="46" fillId="0" borderId="0" xfId="0" applyNumberFormat="1" applyFont="1" applyAlignment="1">
      <alignment horizontal="left"/>
    </xf>
    <xf numFmtId="3" fontId="46" fillId="0" borderId="0" xfId="1" applyNumberFormat="1" applyFont="1" applyFill="1" applyAlignment="1">
      <alignment horizontal="right" indent="2"/>
    </xf>
    <xf numFmtId="3" fontId="46" fillId="0" borderId="0" xfId="1" applyNumberFormat="1" applyFont="1" applyFill="1" applyAlignment="1">
      <alignment horizontal="right" indent="1"/>
    </xf>
    <xf numFmtId="3" fontId="46" fillId="0" borderId="0" xfId="1" applyNumberFormat="1" applyFont="1" applyFill="1" applyAlignment="1">
      <alignment horizontal="center"/>
    </xf>
    <xf numFmtId="169" fontId="46" fillId="0" borderId="0" xfId="1" applyNumberFormat="1" applyFont="1" applyFill="1" applyBorder="1" applyAlignment="1">
      <alignment horizontal="right" indent="2"/>
    </xf>
    <xf numFmtId="0" fontId="48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6" fillId="0" borderId="1" xfId="1" applyNumberFormat="1" applyFont="1" applyFill="1" applyBorder="1" applyAlignment="1">
      <alignment horizontal="right"/>
    </xf>
    <xf numFmtId="16" fontId="46" fillId="0" borderId="0" xfId="0" applyNumberFormat="1" applyFont="1"/>
    <xf numFmtId="0" fontId="47" fillId="0" borderId="0" xfId="0" applyFont="1" applyAlignment="1">
      <alignment horizontal="center"/>
    </xf>
    <xf numFmtId="2" fontId="46" fillId="0" borderId="0" xfId="0" applyNumberFormat="1" applyFont="1" applyAlignment="1">
      <alignment horizontal="right" indent="2"/>
    </xf>
    <xf numFmtId="170" fontId="46" fillId="0" borderId="0" xfId="0" applyNumberFormat="1" applyFont="1"/>
    <xf numFmtId="43" fontId="46" fillId="0" borderId="0" xfId="1" quotePrefix="1" applyFont="1" applyFill="1" applyBorder="1" applyAlignment="1">
      <alignment horizontal="center"/>
    </xf>
    <xf numFmtId="166" fontId="46" fillId="0" borderId="0" xfId="1" quotePrefix="1" applyNumberFormat="1" applyFont="1" applyFill="1" applyBorder="1" applyAlignment="1">
      <alignment horizontal="center"/>
    </xf>
    <xf numFmtId="43" fontId="46" fillId="0" borderId="0" xfId="1" applyFont="1" applyFill="1" applyBorder="1" applyAlignment="1">
      <alignment horizontal="center"/>
    </xf>
    <xf numFmtId="0" fontId="52" fillId="0" borderId="0" xfId="0" quotePrefix="1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left" indent="1"/>
    </xf>
    <xf numFmtId="0" fontId="46" fillId="0" borderId="3" xfId="0" applyFont="1" applyBorder="1" applyAlignment="1">
      <alignment horizontal="center"/>
    </xf>
    <xf numFmtId="0" fontId="46" fillId="0" borderId="1" xfId="0" applyFont="1" applyBorder="1" applyAlignment="1">
      <alignment horizontal="left"/>
    </xf>
    <xf numFmtId="0" fontId="47" fillId="0" borderId="3" xfId="0" quotePrefix="1" applyFont="1" applyBorder="1"/>
    <xf numFmtId="0" fontId="47" fillId="0" borderId="3" xfId="0" applyFont="1" applyBorder="1"/>
    <xf numFmtId="2" fontId="46" fillId="0" borderId="0" xfId="0" applyNumberFormat="1" applyFont="1" applyAlignment="1">
      <alignment horizontal="center"/>
    </xf>
    <xf numFmtId="43" fontId="46" fillId="0" borderId="0" xfId="0" applyNumberFormat="1" applyFont="1"/>
    <xf numFmtId="0" fontId="41" fillId="0" borderId="0" xfId="0" applyFont="1"/>
    <xf numFmtId="2" fontId="0" fillId="0" borderId="0" xfId="0" applyNumberFormat="1"/>
    <xf numFmtId="165" fontId="46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50" fillId="0" borderId="0" xfId="0" applyFont="1" applyAlignment="1">
      <alignment vertical="center"/>
    </xf>
    <xf numFmtId="2" fontId="46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6" fillId="0" borderId="3" xfId="0" applyFont="1" applyBorder="1"/>
    <xf numFmtId="165" fontId="46" fillId="0" borderId="0" xfId="1" applyNumberFormat="1" applyFont="1" applyFill="1"/>
    <xf numFmtId="37" fontId="46" fillId="0" borderId="0" xfId="1" applyNumberFormat="1" applyFont="1" applyFill="1" applyBorder="1" applyAlignment="1">
      <alignment horizontal="center"/>
    </xf>
    <xf numFmtId="165" fontId="46" fillId="0" borderId="0" xfId="1" applyNumberFormat="1" applyFont="1" applyFill="1" applyBorder="1"/>
    <xf numFmtId="9" fontId="46" fillId="0" borderId="0" xfId="12" applyFont="1" applyFill="1"/>
    <xf numFmtId="0" fontId="47" fillId="0" borderId="4" xfId="0" applyFont="1" applyBorder="1" applyAlignment="1">
      <alignment horizontal="center"/>
    </xf>
    <xf numFmtId="14" fontId="46" fillId="0" borderId="0" xfId="0" applyNumberFormat="1" applyFont="1" applyAlignment="1">
      <alignment horizontal="right" indent="1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169" fontId="46" fillId="0" borderId="0" xfId="1" applyNumberFormat="1" applyFont="1" applyFill="1" applyAlignment="1">
      <alignment horizontal="center"/>
    </xf>
    <xf numFmtId="0" fontId="48" fillId="0" borderId="3" xfId="0" applyFont="1" applyBorder="1"/>
    <xf numFmtId="164" fontId="46" fillId="0" borderId="3" xfId="0" applyNumberFormat="1" applyFont="1" applyBorder="1"/>
    <xf numFmtId="171" fontId="0" fillId="0" borderId="0" xfId="1" applyNumberFormat="1" applyFont="1" applyFill="1" applyBorder="1"/>
    <xf numFmtId="0" fontId="37" fillId="0" borderId="0" xfId="8" applyFont="1"/>
    <xf numFmtId="0" fontId="37" fillId="0" borderId="0" xfId="0" applyFont="1"/>
    <xf numFmtId="4" fontId="55" fillId="0" borderId="0" xfId="0" applyNumberFormat="1" applyFont="1"/>
    <xf numFmtId="172" fontId="41" fillId="0" borderId="0" xfId="12" applyNumberFormat="1" applyFont="1" applyFill="1"/>
    <xf numFmtId="4" fontId="0" fillId="0" borderId="0" xfId="0" applyNumberFormat="1"/>
    <xf numFmtId="173" fontId="55" fillId="0" borderId="0" xfId="0" applyNumberFormat="1" applyFont="1"/>
    <xf numFmtId="164" fontId="46" fillId="2" borderId="0" xfId="1" applyNumberFormat="1" applyFont="1" applyFill="1" applyBorder="1" applyAlignment="1">
      <alignment horizontal="center"/>
    </xf>
    <xf numFmtId="2" fontId="54" fillId="0" borderId="0" xfId="0" applyNumberFormat="1" applyFont="1" applyAlignment="1">
      <alignment horizontal="center"/>
    </xf>
    <xf numFmtId="37" fontId="46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54" fillId="0" borderId="0" xfId="0" applyNumberFormat="1" applyFont="1" applyAlignment="1">
      <alignment horizontal="right" indent="2"/>
    </xf>
    <xf numFmtId="9" fontId="0" fillId="0" borderId="0" xfId="12" applyFont="1"/>
    <xf numFmtId="3" fontId="54" fillId="0" borderId="0" xfId="1" applyNumberFormat="1" applyFont="1" applyFill="1" applyBorder="1" applyAlignment="1">
      <alignment horizontal="right"/>
    </xf>
    <xf numFmtId="3" fontId="37" fillId="0" borderId="0" xfId="0" applyNumberFormat="1" applyFont="1"/>
    <xf numFmtId="3" fontId="46" fillId="0" borderId="0" xfId="1" quotePrefix="1" applyNumberFormat="1" applyFont="1" applyFill="1" applyBorder="1" applyAlignment="1">
      <alignment horizontal="right"/>
    </xf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69" fontId="46" fillId="0" borderId="0" xfId="1" applyNumberFormat="1" applyFont="1" applyAlignment="1">
      <alignment horizontal="right" indent="1"/>
    </xf>
    <xf numFmtId="167" fontId="46" fillId="0" borderId="0" xfId="0" applyNumberFormat="1" applyFont="1"/>
    <xf numFmtId="169" fontId="54" fillId="0" borderId="0" xfId="1" applyNumberFormat="1" applyFont="1" applyFill="1" applyBorder="1" applyAlignment="1">
      <alignment horizontal="right" indent="1"/>
    </xf>
    <xf numFmtId="0" fontId="58" fillId="0" borderId="0" xfId="0" applyFont="1"/>
    <xf numFmtId="169" fontId="46" fillId="0" borderId="0" xfId="1" applyNumberFormat="1" applyFont="1" applyFill="1" applyAlignment="1">
      <alignment horizontal="right" indent="1"/>
    </xf>
    <xf numFmtId="17" fontId="46" fillId="0" borderId="0" xfId="0" applyNumberFormat="1" applyFont="1" applyAlignment="1">
      <alignment horizontal="left"/>
    </xf>
    <xf numFmtId="172" fontId="46" fillId="0" borderId="0" xfId="12" applyNumberFormat="1" applyFont="1" applyFill="1" applyBorder="1"/>
    <xf numFmtId="3" fontId="0" fillId="0" borderId="0" xfId="0" applyNumberFormat="1"/>
    <xf numFmtId="3" fontId="46" fillId="0" borderId="3" xfId="1" applyNumberFormat="1" applyFont="1" applyFill="1" applyBorder="1" applyAlignment="1">
      <alignment horizontal="right" indent="1"/>
    </xf>
    <xf numFmtId="164" fontId="54" fillId="0" borderId="0" xfId="1" applyNumberFormat="1" applyFont="1"/>
    <xf numFmtId="169" fontId="46" fillId="2" borderId="0" xfId="1" applyNumberFormat="1" applyFont="1" applyFill="1" applyBorder="1" applyAlignment="1">
      <alignment horizontal="right" indent="2"/>
    </xf>
    <xf numFmtId="169" fontId="46" fillId="2" borderId="0" xfId="1" applyNumberFormat="1" applyFont="1" applyFill="1" applyBorder="1" applyAlignment="1">
      <alignment horizontal="right" indent="1"/>
    </xf>
    <xf numFmtId="169" fontId="46" fillId="2" borderId="0" xfId="1" applyNumberFormat="1" applyFont="1" applyFill="1" applyBorder="1" applyAlignment="1">
      <alignment horizontal="center"/>
    </xf>
    <xf numFmtId="169" fontId="59" fillId="0" borderId="0" xfId="1" applyNumberFormat="1" applyFont="1" applyFill="1" applyBorder="1" applyAlignment="1">
      <alignment horizontal="right"/>
    </xf>
    <xf numFmtId="0" fontId="52" fillId="0" borderId="7" xfId="0" applyFont="1" applyBorder="1" applyAlignment="1">
      <alignment wrapText="1"/>
    </xf>
    <xf numFmtId="0" fontId="56" fillId="0" borderId="0" xfId="77" applyFont="1"/>
    <xf numFmtId="178" fontId="56" fillId="0" borderId="0" xfId="77" applyNumberFormat="1" applyFont="1"/>
    <xf numFmtId="41" fontId="56" fillId="0" borderId="0" xfId="33" applyNumberFormat="1" applyFont="1" applyFill="1"/>
    <xf numFmtId="43" fontId="46" fillId="0" borderId="0" xfId="0" applyNumberFormat="1" applyFont="1" applyAlignment="1">
      <alignment vertical="center"/>
    </xf>
    <xf numFmtId="172" fontId="0" fillId="0" borderId="0" xfId="12" applyNumberFormat="1" applyFont="1" applyFill="1"/>
    <xf numFmtId="10" fontId="0" fillId="0" borderId="0" xfId="12" applyNumberFormat="1" applyFont="1" applyFill="1"/>
    <xf numFmtId="43" fontId="56" fillId="0" borderId="0" xfId="77" applyNumberFormat="1" applyFont="1"/>
    <xf numFmtId="167" fontId="46" fillId="0" borderId="0" xfId="0" applyNumberFormat="1" applyFont="1" applyAlignment="1">
      <alignment horizontal="center"/>
    </xf>
    <xf numFmtId="165" fontId="46" fillId="0" borderId="0" xfId="1" applyNumberFormat="1" applyFont="1" applyFill="1" applyAlignment="1">
      <alignment horizontal="left"/>
    </xf>
    <xf numFmtId="165" fontId="46" fillId="0" borderId="0" xfId="1" applyNumberFormat="1" applyFont="1" applyFill="1" applyAlignment="1">
      <alignment horizontal="center"/>
    </xf>
    <xf numFmtId="165" fontId="0" fillId="0" borderId="0" xfId="0" applyNumberFormat="1"/>
    <xf numFmtId="165" fontId="54" fillId="0" borderId="0" xfId="1" applyNumberFormat="1" applyFont="1" applyFill="1" applyAlignment="1">
      <alignment horizontal="center"/>
    </xf>
    <xf numFmtId="169" fontId="54" fillId="0" borderId="0" xfId="1" applyNumberFormat="1" applyFont="1" applyFill="1" applyBorder="1" applyAlignment="1">
      <alignment horizontal="right"/>
    </xf>
    <xf numFmtId="37" fontId="46" fillId="0" borderId="0" xfId="1" applyNumberFormat="1" applyFont="1" applyFill="1" applyBorder="1" applyAlignment="1">
      <alignment horizontal="right" indent="2"/>
    </xf>
    <xf numFmtId="37" fontId="46" fillId="0" borderId="0" xfId="1" applyNumberFormat="1" applyFont="1" applyFill="1" applyBorder="1" applyAlignment="1">
      <alignment horizontal="right" indent="1"/>
    </xf>
    <xf numFmtId="37" fontId="46" fillId="0" borderId="0" xfId="0" applyNumberFormat="1" applyFont="1"/>
    <xf numFmtId="37" fontId="46" fillId="0" borderId="0" xfId="1" applyNumberFormat="1" applyFont="1" applyFill="1" applyAlignment="1">
      <alignment horizontal="center"/>
    </xf>
    <xf numFmtId="37" fontId="46" fillId="0" borderId="1" xfId="1" applyNumberFormat="1" applyFont="1" applyFill="1" applyBorder="1" applyAlignment="1">
      <alignment horizontal="center"/>
    </xf>
    <xf numFmtId="37" fontId="46" fillId="0" borderId="1" xfId="1" applyNumberFormat="1" applyFont="1" applyFill="1" applyBorder="1" applyAlignment="1">
      <alignment horizontal="right" indent="2"/>
    </xf>
    <xf numFmtId="165" fontId="46" fillId="0" borderId="1" xfId="1" applyNumberFormat="1" applyFont="1" applyFill="1" applyBorder="1"/>
    <xf numFmtId="37" fontId="46" fillId="0" borderId="1" xfId="1" applyNumberFormat="1" applyFont="1" applyFill="1" applyBorder="1" applyAlignment="1">
      <alignment horizontal="right" indent="1"/>
    </xf>
    <xf numFmtId="174" fontId="46" fillId="0" borderId="0" xfId="1" applyNumberFormat="1" applyFont="1" applyFill="1" applyBorder="1" applyAlignment="1">
      <alignment horizontal="right" indent="2"/>
    </xf>
    <xf numFmtId="1" fontId="46" fillId="0" borderId="0" xfId="0" applyNumberFormat="1" applyFont="1" applyAlignment="1">
      <alignment horizontal="center"/>
    </xf>
    <xf numFmtId="1" fontId="46" fillId="0" borderId="1" xfId="0" applyNumberFormat="1" applyFont="1" applyBorder="1" applyAlignment="1">
      <alignment horizontal="center"/>
    </xf>
    <xf numFmtId="37" fontId="0" fillId="0" borderId="0" xfId="0" applyNumberFormat="1"/>
    <xf numFmtId="43" fontId="46" fillId="0" borderId="3" xfId="0" applyNumberFormat="1" applyFont="1" applyBorder="1"/>
    <xf numFmtId="0" fontId="0" fillId="0" borderId="3" xfId="0" applyBorder="1"/>
    <xf numFmtId="168" fontId="46" fillId="0" borderId="3" xfId="0" applyNumberFormat="1" applyFont="1" applyBorder="1"/>
    <xf numFmtId="164" fontId="54" fillId="0" borderId="0" xfId="1" applyNumberFormat="1" applyFont="1" applyAlignment="1">
      <alignment horizontal="right"/>
    </xf>
    <xf numFmtId="1" fontId="46" fillId="0" borderId="0" xfId="0" applyNumberFormat="1" applyFont="1"/>
    <xf numFmtId="0" fontId="54" fillId="0" borderId="0" xfId="0" applyFont="1" applyAlignment="1">
      <alignment vertical="center"/>
    </xf>
    <xf numFmtId="0" fontId="60" fillId="0" borderId="1" xfId="75" applyFont="1" applyBorder="1"/>
    <xf numFmtId="165" fontId="60" fillId="0" borderId="1" xfId="1" applyNumberFormat="1" applyFont="1" applyBorder="1"/>
    <xf numFmtId="0" fontId="54" fillId="0" borderId="0" xfId="75" applyFont="1"/>
    <xf numFmtId="165" fontId="54" fillId="0" borderId="0" xfId="1" applyNumberFormat="1" applyFont="1"/>
    <xf numFmtId="165" fontId="54" fillId="0" borderId="0" xfId="1" applyNumberFormat="1" applyFont="1" applyFill="1"/>
    <xf numFmtId="165" fontId="37" fillId="0" borderId="0" xfId="74" applyNumberFormat="1" applyFont="1"/>
    <xf numFmtId="0" fontId="56" fillId="0" borderId="0" xfId="75" applyFont="1"/>
    <xf numFmtId="1" fontId="56" fillId="0" borderId="0" xfId="75" applyNumberFormat="1" applyFont="1"/>
    <xf numFmtId="2" fontId="56" fillId="0" borderId="0" xfId="75" applyNumberFormat="1" applyFont="1"/>
    <xf numFmtId="167" fontId="56" fillId="0" borderId="0" xfId="75" applyNumberFormat="1" applyFont="1"/>
    <xf numFmtId="14" fontId="56" fillId="0" borderId="0" xfId="75" applyNumberFormat="1" applyFont="1"/>
    <xf numFmtId="0" fontId="57" fillId="0" borderId="0" xfId="77" applyFont="1" applyAlignment="1">
      <alignment horizontal="center" wrapText="1"/>
    </xf>
    <xf numFmtId="164" fontId="46" fillId="0" borderId="0" xfId="1" applyNumberFormat="1" applyFont="1" applyFill="1" applyBorder="1" applyAlignment="1">
      <alignment horizontal="right" indent="1"/>
    </xf>
    <xf numFmtId="0" fontId="60" fillId="0" borderId="1" xfId="77" applyFont="1" applyBorder="1" applyAlignment="1">
      <alignment horizontal="center" wrapText="1"/>
    </xf>
    <xf numFmtId="0" fontId="54" fillId="0" borderId="0" xfId="77" applyFont="1" applyAlignment="1">
      <alignment horizontal="center"/>
    </xf>
    <xf numFmtId="41" fontId="54" fillId="0" borderId="0" xfId="33" applyNumberFormat="1" applyFont="1" applyFill="1" applyAlignment="1">
      <alignment horizontal="center"/>
    </xf>
    <xf numFmtId="179" fontId="54" fillId="0" borderId="0" xfId="77" applyNumberFormat="1" applyFont="1"/>
    <xf numFmtId="41" fontId="54" fillId="0" borderId="0" xfId="33" applyNumberFormat="1" applyFont="1" applyFill="1"/>
    <xf numFmtId="164" fontId="46" fillId="0" borderId="0" xfId="0" applyNumberFormat="1" applyFont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3" xfId="0" quotePrefix="1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2" xfId="0" quotePrefix="1" applyFont="1" applyBorder="1" applyAlignment="1">
      <alignment horizontal="center"/>
    </xf>
    <xf numFmtId="0" fontId="47" fillId="0" borderId="3" xfId="0" quotePrefix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5" xfId="0" quotePrefix="1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47" fillId="0" borderId="5" xfId="0" applyFont="1" applyBorder="1" applyAlignment="1">
      <alignment horizontal="center"/>
    </xf>
  </cellXfs>
  <cellStyles count="78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6" xfId="74" xr:uid="{5AE75EFE-983D-4415-ABF1-C4602BF3FD8A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FFF00"/>
      <color rgb="FFFF9933"/>
      <color rgb="FFFFFF99"/>
      <color rgb="FF0000FF"/>
      <color rgb="FFFFCC66"/>
      <color rgb="FFFA6400"/>
      <color rgb="FF00B050"/>
      <color rgb="FFC0502F"/>
      <color rgb="FFFFCF01"/>
      <color rgb="FF9848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1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U.S. soybean stocks and season-average farm price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329099606100079E-2"/>
          <c:y val="0.20105705020617556"/>
          <c:w val="0.87378983476851879"/>
          <c:h val="0.484452441870916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Ending stocks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1'!$A$2:$A$10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1'!$B$2:$B$10</c:f>
              <c:numCache>
                <c:formatCode>_(* #,##0_);_(* \(#,##0\);_(* "-"_);_(@_)</c:formatCode>
                <c:ptCount val="9"/>
                <c:pt idx="0">
                  <c:v>196.72900000000001</c:v>
                </c:pt>
                <c:pt idx="1">
                  <c:v>301.59500000000003</c:v>
                </c:pt>
                <c:pt idx="2">
                  <c:v>438.10500000000002</c:v>
                </c:pt>
                <c:pt idx="3">
                  <c:v>925.05200000000002</c:v>
                </c:pt>
                <c:pt idx="4">
                  <c:v>538.54100000000005</c:v>
                </c:pt>
                <c:pt idx="5">
                  <c:v>256.97899999999998</c:v>
                </c:pt>
                <c:pt idx="6">
                  <c:v>274.39400000000001</c:v>
                </c:pt>
                <c:pt idx="7">
                  <c:v>264.18400000000003</c:v>
                </c:pt>
                <c:pt idx="8">
                  <c:v>314.94605570210024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1-497D-9514-7C04855A0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0"/>
          <c:order val="1"/>
          <c:tx>
            <c:strRef>
              <c:f>'Figure 1'!$C$1</c:f>
              <c:strCache>
                <c:ptCount val="1"/>
                <c:pt idx="0">
                  <c:v>Season-average farm 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1'!$A$2:$A$10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2023/24*</c:v>
                </c:pt>
              </c:strCache>
            </c:strRef>
          </c:cat>
          <c:val>
            <c:numRef>
              <c:f>'Figure 1'!$C$2:$C$10</c:f>
              <c:numCache>
                <c:formatCode>_(* #,##0.00_);_(* \(#,##0.00\);_(* "-"_);_(@_)</c:formatCode>
                <c:ptCount val="9"/>
                <c:pt idx="0">
                  <c:v>8.9499999999999993</c:v>
                </c:pt>
                <c:pt idx="1">
                  <c:v>9.4700000000000006</c:v>
                </c:pt>
                <c:pt idx="2">
                  <c:v>9.33</c:v>
                </c:pt>
                <c:pt idx="3">
                  <c:v>8.48</c:v>
                </c:pt>
                <c:pt idx="4">
                  <c:v>8.57</c:v>
                </c:pt>
                <c:pt idx="5">
                  <c:v>10.8</c:v>
                </c:pt>
                <c:pt idx="6">
                  <c:v>13.3</c:v>
                </c:pt>
                <c:pt idx="7">
                  <c:v>14.2</c:v>
                </c:pt>
                <c:pt idx="8">
                  <c:v>12.65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D-43B5-9984-9D2AC231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0672991"/>
        <c:axId val="1884160015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055615811302784"/>
              <c:y val="0.77634508577163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4288834169148945E-4"/>
              <c:y val="0.1131986410611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884160015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 per</a:t>
                </a:r>
                <a:r>
                  <a:rPr lang="en-US" sz="900" baseline="0"/>
                  <a:t> bushel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4395432148447347"/>
              <c:y val="0.12245194149105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0672991"/>
        <c:crosses val="max"/>
        <c:crossBetween val="between"/>
      </c:valAx>
      <c:catAx>
        <c:axId val="2030672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841600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016552559154686"/>
          <c:y val="0.12636227447847018"/>
          <c:w val="0.50687546586941323"/>
          <c:h val="5.7984236316700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>
                <a:effectLst/>
              </a:rPr>
              <a:t>U.S. sunflower</a:t>
            </a:r>
            <a:r>
              <a:rPr lang="en-US" sz="1050" baseline="0">
                <a:effectLst/>
              </a:rPr>
              <a:t> oilseed production, crush, and residual use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636124213369452E-3"/>
          <c:y val="1.2428039036556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593079031429092E-2"/>
          <c:y val="0.18948333513105384"/>
          <c:w val="0.83276103705604276"/>
          <c:h val="0.54478866511549062"/>
        </c:manualLayout>
      </c:layout>
      <c:barChart>
        <c:barDir val="col"/>
        <c:grouping val="stacked"/>
        <c:varyColors val="0"/>
        <c:ser>
          <c:idx val="2"/>
          <c:order val="0"/>
          <c:tx>
            <c:v>Crush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2'!$A$2:$A$12</c15:sqref>
                  </c15:fullRef>
                </c:ext>
              </c:extLst>
              <c:f>'Figure 2'!$A$6:$A$12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2'!$B$2:$B$12</c15:sqref>
                  </c15:fullRef>
                </c:ext>
              </c:extLst>
              <c:f>'Figure 2'!$B$6:$B$12</c:f>
              <c:numCache>
                <c:formatCode>_(* #,##0_);_(* \(#,##0\);_(* "-"??_);_(@_)</c:formatCode>
                <c:ptCount val="7"/>
                <c:pt idx="0">
                  <c:v>1047.1957445</c:v>
                </c:pt>
                <c:pt idx="1">
                  <c:v>1069.2419706999999</c:v>
                </c:pt>
                <c:pt idx="2">
                  <c:v>857.59819917999994</c:v>
                </c:pt>
                <c:pt idx="3">
                  <c:v>1111.1298004799999</c:v>
                </c:pt>
                <c:pt idx="4">
                  <c:v>959.01083969999991</c:v>
                </c:pt>
                <c:pt idx="5">
                  <c:v>906.09989681999991</c:v>
                </c:pt>
                <c:pt idx="6">
                  <c:v>936.96461349999993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C-40DD-B01C-9ACE85FB6F8C}"/>
            </c:ext>
          </c:extLst>
        </c:ser>
        <c:ser>
          <c:idx val="3"/>
          <c:order val="1"/>
          <c:tx>
            <c:v>Nonoil use and residual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prstDash val="dash"/>
            </a:ln>
          </c:spPr>
          <c:invertIfNegative val="0"/>
          <c:dLbls>
            <c:dLbl>
              <c:idx val="4"/>
              <c:layout>
                <c:manualLayout>
                  <c:x val="-4.22877682630299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6-4D2C-A5FD-F465FB93D122}"/>
                </c:ext>
              </c:extLst>
            </c:dLbl>
            <c:dLbl>
              <c:idx val="5"/>
              <c:layout>
                <c:manualLayout>
                  <c:x val="-4.2287768263029922E-3"/>
                  <c:y val="2.949852507374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C6-4D2C-A5FD-F465FB93D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2'!$A$2:$A$12</c15:sqref>
                  </c15:fullRef>
                </c:ext>
              </c:extLst>
              <c:f>'Figure 2'!$A$6:$A$12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2'!$C$2:$C$12</c15:sqref>
                  </c15:fullRef>
                </c:ext>
              </c:extLst>
              <c:f>'Figure 2'!$C$6:$C$12</c:f>
              <c:numCache>
                <c:formatCode>_(* #,##0_);_(* \(#,##0\);_(* "-"??_);_(@_)</c:formatCode>
                <c:ptCount val="7"/>
                <c:pt idx="0">
                  <c:v>1323.9578540560219</c:v>
                </c:pt>
                <c:pt idx="1">
                  <c:v>1233.1349010835504</c:v>
                </c:pt>
                <c:pt idx="2">
                  <c:v>1469.321119475424</c:v>
                </c:pt>
                <c:pt idx="3">
                  <c:v>1901.1417479622226</c:v>
                </c:pt>
                <c:pt idx="4">
                  <c:v>1300.1056385810382</c:v>
                </c:pt>
                <c:pt idx="5">
                  <c:v>2020.2368075772542</c:v>
                </c:pt>
                <c:pt idx="6">
                  <c:v>1578.5123865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C-40DD-B01C-9ACE85FB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4"/>
          <c:order val="2"/>
          <c:tx>
            <c:v>Production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6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75C-40DD-B01C-9ACE85FB6F8C}"/>
              </c:ext>
            </c:extLst>
          </c:dPt>
          <c:dPt>
            <c:idx val="7"/>
            <c:bubble3D val="0"/>
            <c:spPr>
              <a:ln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75C-40DD-B01C-9ACE85FB6F8C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2'!$A$2:$A$12</c15:sqref>
                  </c15:fullRef>
                </c:ext>
              </c:extLst>
              <c:f>'Figure 2'!$A$6:$A$12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  <c:pt idx="6">
                  <c:v>2023/24*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2'!$D$2:$D$12</c15:sqref>
                  </c15:fullRef>
                </c:ext>
              </c:extLst>
              <c:f>'Figure 2'!$D$6:$D$12</c:f>
              <c:numCache>
                <c:formatCode>_(* #,##0_);_(* \(#,##0\);_(* "-"??_);_(@_)</c:formatCode>
                <c:ptCount val="7"/>
                <c:pt idx="0">
                  <c:v>2137.75</c:v>
                </c:pt>
                <c:pt idx="1">
                  <c:v>2101.0949999999998</c:v>
                </c:pt>
                <c:pt idx="2">
                  <c:v>1949.5350000000001</c:v>
                </c:pt>
                <c:pt idx="3">
                  <c:v>2977.6200000000003</c:v>
                </c:pt>
                <c:pt idx="4">
                  <c:v>1899.395</c:v>
                </c:pt>
                <c:pt idx="5">
                  <c:v>2808.5550000000003</c:v>
                </c:pt>
                <c:pt idx="6">
                  <c:v>2263.52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5C-40DD-B01C-9ACE85FB6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021511150237731"/>
              <c:y val="0.85134020858012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  <c:min val="2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 pounds</a:t>
                </a:r>
              </a:p>
            </c:rich>
          </c:tx>
          <c:layout>
            <c:manualLayout>
              <c:xMode val="edge"/>
              <c:yMode val="edge"/>
              <c:x val="8.1457751910734236E-3"/>
              <c:y val="0.103748635402875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818491578174346"/>
          <c:y val="0.10738647713283628"/>
          <c:w val="0.63078559368634446"/>
          <c:h val="4.7048753861519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Brazil's soybean acreage changes and annual average domestic prices, MY 2016/17–2023/24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856054325638E-2"/>
          <c:y val="0.2343618788926087"/>
          <c:w val="0.86073052634292535"/>
          <c:h val="0.4851361499641905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'Figure 3'!$C$1</c:f>
              <c:strCache>
                <c:ptCount val="1"/>
                <c:pt idx="0">
                  <c:v>Change in harvested acreage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'Figure 3'!$A$2:$A$9</c:f>
              <c:strCache>
                <c:ptCount val="8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2023/24*</c:v>
                </c:pt>
              </c:strCache>
            </c:strRef>
          </c:cat>
          <c:val>
            <c:numRef>
              <c:f>'Figure 3'!$C$2:$C$9</c:f>
              <c:numCache>
                <c:formatCode>_(* #,##0.0_);_(* \(#,##0.0\);_(* "-"??_);_(@_)</c:formatCode>
                <c:ptCount val="8"/>
                <c:pt idx="0">
                  <c:v>0.60000000000000142</c:v>
                </c:pt>
                <c:pt idx="1">
                  <c:v>1.25</c:v>
                </c:pt>
                <c:pt idx="2">
                  <c:v>0.75</c:v>
                </c:pt>
                <c:pt idx="3">
                  <c:v>1</c:v>
                </c:pt>
                <c:pt idx="4">
                  <c:v>2.6000000000000014</c:v>
                </c:pt>
                <c:pt idx="5">
                  <c:v>2</c:v>
                </c:pt>
                <c:pt idx="6">
                  <c:v>3.1000000000000014</c:v>
                </c:pt>
                <c:pt idx="7">
                  <c:v>1.2999999999999972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F8B-92B4-47E9AD5B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1"/>
          <c:order val="1"/>
          <c:tx>
            <c:strRef>
              <c:f>'Figure 3'!$B$1</c:f>
              <c:strCache>
                <c:ptCount val="1"/>
                <c:pt idx="0">
                  <c:v>Price, Rondonópolis, Mato Grosso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3'!$A$2:$A$9</c:f>
              <c:strCache>
                <c:ptCount val="8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2023/24*</c:v>
                </c:pt>
              </c:strCache>
            </c:strRef>
          </c:cat>
          <c:val>
            <c:numRef>
              <c:f>'Figure 3'!$B$2:$B$9</c:f>
              <c:numCache>
                <c:formatCode>0</c:formatCode>
                <c:ptCount val="8"/>
                <c:pt idx="0">
                  <c:v>335.87700000000001</c:v>
                </c:pt>
                <c:pt idx="1">
                  <c:v>318.11700000000002</c:v>
                </c:pt>
                <c:pt idx="2">
                  <c:v>299.54899999999998</c:v>
                </c:pt>
                <c:pt idx="3">
                  <c:v>305.09100000000001</c:v>
                </c:pt>
                <c:pt idx="4">
                  <c:v>511.75799999999998</c:v>
                </c:pt>
                <c:pt idx="5">
                  <c:v>563.49699999999996</c:v>
                </c:pt>
                <c:pt idx="6">
                  <c:v>482.11599999999999</c:v>
                </c:pt>
                <c:pt idx="7">
                  <c:v>423.95600000000002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C-4F8B-92B4-47E9AD5B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49360"/>
        <c:axId val="311371152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 (MY)</a:t>
                </a:r>
                <a:endParaRPr lang="en-US" sz="9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206493013091959"/>
              <c:y val="0.84082694200787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hectares</a:t>
                </a:r>
                <a:endParaRPr lang="en-US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3105633963982425E-2"/>
              <c:y val="0.146674495688716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31137115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metric ton</a:t>
                </a:r>
                <a:endParaRPr lang="en-US" sz="9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5114715563431909"/>
              <c:y val="0.15156737488685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9249360"/>
        <c:crosses val="max"/>
        <c:crossBetween val="between"/>
      </c:valAx>
      <c:catAx>
        <c:axId val="259249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37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64166132838607"/>
          <c:y val="0.15154820258247181"/>
          <c:w val="0.582313261650372"/>
          <c:h val="4.7944467837685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</xdr:colOff>
      <xdr:row>0</xdr:row>
      <xdr:rowOff>21378</xdr:rowOff>
    </xdr:from>
    <xdr:to>
      <xdr:col>14</xdr:col>
      <xdr:colOff>344805</xdr:colOff>
      <xdr:row>18</xdr:row>
      <xdr:rowOff>114299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C7E9A6E3-2D92-4BA3-885A-A2F9DAD5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0.82869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99622"/>
          <a:ext cx="6142228" cy="5994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9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 forecast.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World Agricultural Outlook Board, February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2024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0</xdr:rowOff>
    </xdr:from>
    <xdr:to>
      <xdr:col>14</xdr:col>
      <xdr:colOff>129540</xdr:colOff>
      <xdr:row>22</xdr:row>
      <xdr:rowOff>114300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7E9ADE6-2A79-49F5-A975-3B31265AB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0.88274</cdr:y>
    </cdr:from>
    <cdr:to>
      <cdr:x>1</cdr:x>
      <cdr:y>0.98895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00475"/>
          <a:ext cx="6006465" cy="457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</a:t>
          </a:r>
          <a:r>
            <a:rPr lang="en-US" sz="8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 forecast.</a:t>
          </a:r>
          <a:endParaRPr lang="en-US" sz="8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World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Outlook Board, February 2024 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Estimates.</a:t>
          </a:r>
          <a:endParaRPr lang="en-US" sz="8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559647</xdr:colOff>
      <xdr:row>0</xdr:row>
      <xdr:rowOff>0</xdr:rowOff>
    </xdr:from>
    <xdr:to>
      <xdr:col>15</xdr:col>
      <xdr:colOff>615739</xdr:colOff>
      <xdr:row>23</xdr:row>
      <xdr:rowOff>148166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9F3240-B9FA-4ABE-966C-6C797212F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0.86525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725333"/>
          <a:ext cx="7554807" cy="580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 The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 prices for MY 2023/24 is for October 2023-January 2024. </a:t>
          </a:r>
          <a:endParaRPr lang="en-US" sz="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Foreign Agricultural Service, February 2024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>
      <selection activeCell="A16" sqref="A16"/>
    </sheetView>
  </sheetViews>
  <sheetFormatPr defaultColWidth="9.7109375" defaultRowHeight="13.9"/>
  <cols>
    <col min="1" max="1" width="166.85546875" style="12" customWidth="1"/>
    <col min="2" max="16384" width="9.7109375" style="1"/>
  </cols>
  <sheetData>
    <row r="1" spans="1:3">
      <c r="A1" s="7" t="s">
        <v>0</v>
      </c>
      <c r="B1" s="85"/>
      <c r="C1" s="8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5"/>
    </row>
    <row r="5" spans="1:3">
      <c r="A5" s="10" t="s">
        <v>3</v>
      </c>
      <c r="B5" s="4"/>
      <c r="C5" s="85"/>
    </row>
    <row r="6" spans="1:3">
      <c r="A6" s="10" t="s">
        <v>4</v>
      </c>
      <c r="B6" s="4"/>
      <c r="C6" s="85"/>
    </row>
    <row r="7" spans="1:3">
      <c r="A7" s="10" t="s">
        <v>5</v>
      </c>
      <c r="B7" s="4"/>
      <c r="C7" s="85"/>
    </row>
    <row r="8" spans="1:3">
      <c r="A8" s="10" t="s">
        <v>6</v>
      </c>
      <c r="B8" s="4"/>
      <c r="C8" s="85"/>
    </row>
    <row r="9" spans="1:3">
      <c r="A9" s="10" t="s">
        <v>7</v>
      </c>
      <c r="B9" s="4"/>
      <c r="C9" s="85"/>
    </row>
    <row r="10" spans="1:3">
      <c r="A10" s="10" t="s">
        <v>8</v>
      </c>
      <c r="B10" s="4"/>
      <c r="C10" s="85"/>
    </row>
    <row r="11" spans="1:3">
      <c r="A11" s="10" t="s">
        <v>9</v>
      </c>
      <c r="B11" s="4"/>
      <c r="C11" s="85"/>
    </row>
    <row r="12" spans="1:3">
      <c r="A12" s="10" t="s">
        <v>10</v>
      </c>
      <c r="B12" s="4"/>
      <c r="C12" s="85"/>
    </row>
    <row r="13" spans="1:3">
      <c r="A13" s="11" t="s">
        <v>11</v>
      </c>
      <c r="B13" s="4"/>
      <c r="C13" s="85"/>
    </row>
    <row r="14" spans="1:3" ht="13.15">
      <c r="A14" s="85"/>
      <c r="B14" s="85"/>
      <c r="C14" s="85"/>
    </row>
    <row r="15" spans="1:3">
      <c r="A15" s="7" t="s">
        <v>12</v>
      </c>
      <c r="B15" s="85"/>
      <c r="C15" s="85"/>
    </row>
    <row r="16" spans="1:3">
      <c r="A16" s="9">
        <v>45334</v>
      </c>
      <c r="B16" s="85"/>
      <c r="C16" s="8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0"/>
  <sheetViews>
    <sheetView showGridLines="0" topLeftCell="A16" zoomScaleNormal="100" workbookViewId="0">
      <selection activeCell="F15" sqref="F15"/>
    </sheetView>
  </sheetViews>
  <sheetFormatPr defaultColWidth="9.140625" defaultRowHeight="13.15"/>
  <cols>
    <col min="1" max="1" width="21.7109375" customWidth="1"/>
    <col min="2" max="2" width="14.140625" customWidth="1"/>
    <col min="3" max="3" width="9.5703125" customWidth="1"/>
    <col min="4" max="4" width="26.7109375" customWidth="1"/>
    <col min="5" max="5" width="9.7109375" customWidth="1"/>
    <col min="6" max="6" width="10.7109375" customWidth="1"/>
    <col min="7" max="7" width="19.85546875" customWidth="1"/>
    <col min="8" max="8" width="9.7109375" customWidth="1"/>
    <col min="9" max="9" width="1.7109375" customWidth="1"/>
    <col min="10" max="10" width="14.7109375" customWidth="1"/>
    <col min="11" max="12" width="10.7109375" customWidth="1"/>
    <col min="13" max="13" width="10.28515625" customWidth="1"/>
    <col min="14" max="14" width="9.7109375" customWidth="1"/>
    <col min="17" max="17" width="15.42578125" bestFit="1" customWidth="1"/>
    <col min="18" max="18" width="13.28515625" bestFit="1" customWidth="1"/>
    <col min="22" max="22" width="12.140625" customWidth="1"/>
    <col min="24" max="24" width="10.42578125" bestFit="1" customWidth="1"/>
  </cols>
  <sheetData>
    <row r="1" spans="1:23" ht="13.9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9">
      <c r="A2" s="15"/>
      <c r="B2" s="16" t="s">
        <v>13</v>
      </c>
      <c r="C2" s="168"/>
      <c r="D2" s="17" t="s">
        <v>14</v>
      </c>
      <c r="E2" s="18"/>
      <c r="F2" s="168" t="s">
        <v>15</v>
      </c>
      <c r="G2" s="168"/>
      <c r="H2" s="168"/>
      <c r="I2" s="15"/>
      <c r="J2" s="18"/>
      <c r="K2" s="168"/>
      <c r="L2" s="19" t="s">
        <v>16</v>
      </c>
      <c r="M2" s="168"/>
      <c r="N2" s="15"/>
    </row>
    <row r="3" spans="1:23" ht="13.9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9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5">
      <c r="A5" s="15"/>
      <c r="B5" s="170" t="s">
        <v>31</v>
      </c>
      <c r="C5" s="169"/>
      <c r="D5" s="27" t="s">
        <v>32</v>
      </c>
      <c r="G5" s="170"/>
      <c r="I5" s="170"/>
      <c r="J5" s="170" t="s">
        <v>33</v>
      </c>
      <c r="K5" s="170"/>
      <c r="L5" s="170"/>
      <c r="M5" s="170"/>
      <c r="N5" s="170"/>
      <c r="W5" s="26"/>
    </row>
    <row r="6" spans="1:23" ht="16.5" customHeight="1">
      <c r="A6" s="15" t="s">
        <v>34</v>
      </c>
      <c r="B6" s="125">
        <v>87.194999999999993</v>
      </c>
      <c r="C6" s="125">
        <v>86.292000000000002</v>
      </c>
      <c r="D6" s="125">
        <f>F6/C6</f>
        <v>51.737032401613128</v>
      </c>
      <c r="E6" s="126">
        <v>256.97899999999998</v>
      </c>
      <c r="F6" s="127">
        <v>4464.4920000000002</v>
      </c>
      <c r="G6" s="28">
        <v>15.915130131319001</v>
      </c>
      <c r="H6" s="28">
        <f>SUM(E6:G6)</f>
        <v>4737.3861301313191</v>
      </c>
      <c r="I6" s="15"/>
      <c r="J6" s="127">
        <v>2203.8727764571586</v>
      </c>
      <c r="K6" s="127">
        <f>M6-L6-J6</f>
        <v>107.00538551899945</v>
      </c>
      <c r="L6" s="28">
        <v>2152.1139681551608</v>
      </c>
      <c r="M6" s="28">
        <f>H6-N6</f>
        <v>4462.9921301313188</v>
      </c>
      <c r="N6" s="28">
        <v>274.39400000000001</v>
      </c>
    </row>
    <row r="7" spans="1:23" ht="16.5" customHeight="1">
      <c r="A7" s="15" t="s">
        <v>35</v>
      </c>
      <c r="B7" s="125">
        <v>87.45</v>
      </c>
      <c r="C7" s="125">
        <v>86.174000000000007</v>
      </c>
      <c r="D7" s="125">
        <f>F7/C7</f>
        <v>49.555329913895143</v>
      </c>
      <c r="E7" s="126">
        <f>N6</f>
        <v>274.39400000000001</v>
      </c>
      <c r="F7" s="127">
        <v>4270.3810000000003</v>
      </c>
      <c r="G7" s="28">
        <f>G27</f>
        <v>24.512114749955</v>
      </c>
      <c r="H7" s="28">
        <f>SUM(E7:G7)</f>
        <v>4569.2871147499554</v>
      </c>
      <c r="I7" s="15"/>
      <c r="J7" s="127">
        <f>J27</f>
        <v>2211.9384453555185</v>
      </c>
      <c r="K7" s="127">
        <f>M7-L7-J7</f>
        <v>101.34858267427353</v>
      </c>
      <c r="L7" s="28">
        <f>L27</f>
        <v>1991.816086720163</v>
      </c>
      <c r="M7" s="28">
        <f>H7-N7</f>
        <v>4305.1031147499552</v>
      </c>
      <c r="N7" s="28">
        <v>264.18400000000003</v>
      </c>
      <c r="P7" s="128"/>
    </row>
    <row r="8" spans="1:23" ht="16.5" customHeight="1">
      <c r="A8" s="15" t="s">
        <v>36</v>
      </c>
      <c r="B8" s="125">
        <v>83.6</v>
      </c>
      <c r="C8" s="125">
        <v>82.355999999999995</v>
      </c>
      <c r="D8" s="125">
        <f>F8/C8</f>
        <v>50.569199572587301</v>
      </c>
      <c r="E8" s="126">
        <f>N7</f>
        <v>264.18400000000003</v>
      </c>
      <c r="F8" s="127">
        <v>4164.6769999999997</v>
      </c>
      <c r="G8" s="28">
        <v>30</v>
      </c>
      <c r="H8" s="28">
        <f>SUM(E8:G8)</f>
        <v>4458.8609999999999</v>
      </c>
      <c r="I8" s="15"/>
      <c r="J8" s="127">
        <v>2300</v>
      </c>
      <c r="K8" s="129">
        <v>123.834</v>
      </c>
      <c r="L8" s="28">
        <v>1720</v>
      </c>
      <c r="M8" s="28">
        <f>SUM(J8:L8)</f>
        <v>4143.8339999999998</v>
      </c>
      <c r="N8" s="28">
        <f>H8-M8</f>
        <v>315.02700000000004</v>
      </c>
      <c r="P8" s="128"/>
      <c r="Q8" s="128"/>
    </row>
    <row r="9" spans="1:23" ht="16.5" customHeight="1">
      <c r="A9" s="15"/>
      <c r="B9" s="15"/>
      <c r="C9" s="15"/>
      <c r="D9" s="15"/>
      <c r="E9" s="29"/>
      <c r="F9" s="29"/>
      <c r="G9" s="30"/>
      <c r="H9" s="29"/>
      <c r="I9" s="29"/>
      <c r="J9" s="30"/>
      <c r="K9" s="30"/>
      <c r="L9" s="30"/>
      <c r="M9" s="30"/>
      <c r="N9" s="30"/>
    </row>
    <row r="10" spans="1:23" ht="16.5" customHeight="1">
      <c r="A10" s="31" t="s">
        <v>37</v>
      </c>
      <c r="B10" s="86"/>
      <c r="C10" s="86"/>
      <c r="D10" s="86"/>
      <c r="E10" s="33"/>
      <c r="F10" s="33"/>
      <c r="G10" s="6"/>
      <c r="H10" s="13"/>
      <c r="I10" s="86"/>
      <c r="J10" s="13"/>
      <c r="K10" s="32"/>
      <c r="L10" s="6"/>
      <c r="M10" s="6"/>
      <c r="N10" s="13"/>
    </row>
    <row r="11" spans="1:23" ht="16.5" customHeight="1">
      <c r="A11" s="15" t="s">
        <v>38</v>
      </c>
      <c r="B11" s="86"/>
      <c r="C11" s="86"/>
      <c r="D11" s="86"/>
      <c r="E11" s="33"/>
      <c r="F11" s="33"/>
      <c r="G11" s="6">
        <f>(31794.8*36.74371)/1000000</f>
        <v>1.1682589107079999</v>
      </c>
      <c r="H11" s="13"/>
      <c r="I11" s="86"/>
      <c r="J11" s="6">
        <f>((5028287*0.907185)*36.74371)/1000000</f>
        <v>167.60961304264146</v>
      </c>
      <c r="K11" s="32"/>
      <c r="L11" s="6">
        <f>(2077930.3*36.74371)/1000000</f>
        <v>76.350868343412998</v>
      </c>
      <c r="M11" s="6"/>
      <c r="N11" s="13"/>
      <c r="Q11" s="89"/>
    </row>
    <row r="12" spans="1:23" ht="16.5" customHeight="1">
      <c r="A12" s="15" t="s">
        <v>39</v>
      </c>
      <c r="B12" s="86"/>
      <c r="C12" s="86"/>
      <c r="D12" s="86"/>
      <c r="E12" s="33"/>
      <c r="F12" s="33"/>
      <c r="G12" s="6">
        <f>(33827.2*36.74371)/1000000</f>
        <v>1.2429368269119998</v>
      </c>
      <c r="H12" s="13"/>
      <c r="I12" s="86"/>
      <c r="J12" s="6">
        <f>((5899694*0.907185)*36.74371)/1000000</f>
        <v>196.65652107964277</v>
      </c>
      <c r="K12" s="32"/>
      <c r="L12" s="6">
        <f>(9947619.5*36.74371)/1000000</f>
        <v>365.51244609834498</v>
      </c>
      <c r="M12" s="6"/>
      <c r="N12" s="13"/>
      <c r="Q12" s="89"/>
    </row>
    <row r="13" spans="1:23" ht="16.5" customHeight="1">
      <c r="A13" s="15" t="s">
        <v>40</v>
      </c>
      <c r="B13" s="86"/>
      <c r="C13" s="86"/>
      <c r="D13" s="86"/>
      <c r="E13" s="33"/>
      <c r="F13" s="33"/>
      <c r="G13" s="6">
        <f>(35058.7*36.74371)/1000000</f>
        <v>1.288186705777</v>
      </c>
      <c r="H13" s="13"/>
      <c r="I13" s="86"/>
      <c r="J13" s="6">
        <f>((5687098*0.907185)*36.74371)/1000000</f>
        <v>189.56998578553299</v>
      </c>
      <c r="K13" s="32"/>
      <c r="L13" s="6">
        <f>(9794669.4*36.74371)/1000000</f>
        <v>359.89249197947402</v>
      </c>
      <c r="M13" s="6"/>
      <c r="N13" s="13"/>
      <c r="Q13" s="89"/>
    </row>
    <row r="14" spans="1:23" ht="16.5" customHeight="1">
      <c r="A14" s="15" t="s">
        <v>41</v>
      </c>
      <c r="B14" s="86"/>
      <c r="C14" s="86"/>
      <c r="D14" s="86"/>
      <c r="E14" s="33">
        <f>N6</f>
        <v>274.39400000000001</v>
      </c>
      <c r="F14" s="33">
        <v>4270.3810000000003</v>
      </c>
      <c r="G14" s="6">
        <f>SUM(G11:G13)</f>
        <v>3.699382443397</v>
      </c>
      <c r="H14" s="13">
        <f>SUM(E14:G14)</f>
        <v>4548.4743824433972</v>
      </c>
      <c r="I14" s="86"/>
      <c r="J14" s="6">
        <f>SUM(J11:J13)</f>
        <v>553.83611990781719</v>
      </c>
      <c r="K14" s="32">
        <f>M14-L14-J14</f>
        <v>171.73045611434793</v>
      </c>
      <c r="L14" s="6">
        <f>SUM(L11:L13)</f>
        <v>801.75580642123202</v>
      </c>
      <c r="M14" s="6">
        <f>H14-N14</f>
        <v>1527.3223824433971</v>
      </c>
      <c r="N14" s="13">
        <f>3021.152</f>
        <v>3021.152</v>
      </c>
    </row>
    <row r="15" spans="1:23" ht="16.5" customHeight="1">
      <c r="A15" s="15" t="s">
        <v>42</v>
      </c>
      <c r="B15" s="86"/>
      <c r="C15" s="86"/>
      <c r="D15" s="86"/>
      <c r="E15" s="33"/>
      <c r="F15" s="91"/>
      <c r="G15" s="6">
        <f>(36017.3*36.74371)/1000000</f>
        <v>1.3234092261829999</v>
      </c>
      <c r="H15" s="13"/>
      <c r="I15" s="86"/>
      <c r="J15" s="6">
        <f>((5622561*0.907185)*36.74371)/1000000</f>
        <v>187.41875185697378</v>
      </c>
      <c r="K15" s="32"/>
      <c r="L15" s="6">
        <f>(7968849.1*36.74371)/1000000</f>
        <v>292.80508036416103</v>
      </c>
      <c r="M15" s="6"/>
      <c r="N15" s="13"/>
    </row>
    <row r="16" spans="1:23" ht="16.5" customHeight="1">
      <c r="A16" s="15" t="s">
        <v>43</v>
      </c>
      <c r="B16" s="86"/>
      <c r="C16" s="86"/>
      <c r="D16" s="86"/>
      <c r="E16" s="33"/>
      <c r="F16" s="91"/>
      <c r="G16" s="6">
        <f>(5893.9*36.74371)/1000000</f>
        <v>0.216563752369</v>
      </c>
      <c r="H16" s="13"/>
      <c r="I16" s="86"/>
      <c r="J16" s="6">
        <f>((5734398*0.907185)*36.74371)/1000000</f>
        <v>191.14665288844833</v>
      </c>
      <c r="K16" s="32"/>
      <c r="L16" s="6">
        <f>(8559125.5*36.74371)/1000000</f>
        <v>314.49402522560501</v>
      </c>
      <c r="M16" s="6"/>
      <c r="N16" s="13"/>
    </row>
    <row r="17" spans="1:24" ht="16.5" customHeight="1">
      <c r="A17" s="15" t="s">
        <v>44</v>
      </c>
      <c r="B17" s="86"/>
      <c r="C17" s="86"/>
      <c r="D17" s="86"/>
      <c r="E17" s="33"/>
      <c r="F17" s="91"/>
      <c r="G17" s="6">
        <f>(27761.8*36.7371)/1000000</f>
        <v>1.0198880227799998</v>
      </c>
      <c r="H17" s="13"/>
      <c r="I17" s="86"/>
      <c r="J17" s="6">
        <f>((5306995*0.907185)*36.74371)/1000000</f>
        <v>176.89988227983665</v>
      </c>
      <c r="K17" s="32"/>
      <c r="L17" s="6">
        <f>(5374314*36.74371)/1000000</f>
        <v>197.47223506494001</v>
      </c>
      <c r="M17" s="6"/>
      <c r="N17" s="13"/>
      <c r="Q17" s="89"/>
    </row>
    <row r="18" spans="1:24" ht="16.5" customHeight="1">
      <c r="A18" s="15" t="s">
        <v>45</v>
      </c>
      <c r="B18" s="86"/>
      <c r="C18" s="86"/>
      <c r="D18" s="86"/>
      <c r="E18" s="33">
        <f>N14</f>
        <v>3021.152</v>
      </c>
      <c r="F18" s="91"/>
      <c r="G18" s="6">
        <f>SUM(G15:G17)</f>
        <v>2.559861001332</v>
      </c>
      <c r="H18" s="13">
        <f>SUM(E18:G18)</f>
        <v>3023.7118610013322</v>
      </c>
      <c r="I18" s="86"/>
      <c r="J18" s="6">
        <f>SUM(J15:J17)</f>
        <v>555.46528702525882</v>
      </c>
      <c r="K18" s="32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5"/>
    </row>
    <row r="19" spans="1:24" ht="16.5" customHeight="1">
      <c r="A19" s="15" t="s">
        <v>46</v>
      </c>
      <c r="B19" s="86"/>
      <c r="C19" s="86"/>
      <c r="D19" s="86"/>
      <c r="E19" s="33"/>
      <c r="F19" s="91"/>
      <c r="G19" s="6">
        <f>(34752.6*36.74371)/1000000</f>
        <v>1.2769394561459999</v>
      </c>
      <c r="H19" s="13"/>
      <c r="I19" s="86"/>
      <c r="J19" s="6">
        <f>((5939012*0.907185)*36.74371)/1000000</f>
        <v>197.96712144227334</v>
      </c>
      <c r="K19" s="32"/>
      <c r="L19" s="6">
        <f>(3135729.4*36.74371)/1000000</f>
        <v>115.21833171207399</v>
      </c>
      <c r="M19" s="6"/>
      <c r="N19" s="13"/>
      <c r="Q19" s="89"/>
    </row>
    <row r="20" spans="1:24" ht="16.5" customHeight="1">
      <c r="A20" s="15" t="s">
        <v>47</v>
      </c>
      <c r="B20" s="86"/>
      <c r="C20" s="86"/>
      <c r="D20" s="86"/>
      <c r="E20" s="33"/>
      <c r="F20" s="91"/>
      <c r="G20" s="6">
        <f>(8485.3*36.74371)/1000000</f>
        <v>0.31178140246299996</v>
      </c>
      <c r="H20" s="13"/>
      <c r="I20" s="86"/>
      <c r="J20" s="6">
        <f>((5609607*0.907185)*36.74371)/1000000</f>
        <v>186.98695173749888</v>
      </c>
      <c r="K20" s="32"/>
      <c r="L20" s="6">
        <f>(2554266.9*36.74371)/1000000</f>
        <v>93.853242236198994</v>
      </c>
      <c r="M20" s="6"/>
      <c r="N20" s="13"/>
    </row>
    <row r="21" spans="1:24" ht="16.5" customHeight="1">
      <c r="A21" s="15" t="s">
        <v>48</v>
      </c>
      <c r="B21" s="86"/>
      <c r="C21" s="86"/>
      <c r="D21" s="86"/>
      <c r="E21" s="33"/>
      <c r="F21" s="91"/>
      <c r="G21" s="6">
        <f>(126995.3*36.74371)/1000000</f>
        <v>4.6662784745629997</v>
      </c>
      <c r="H21" s="13"/>
      <c r="I21" s="86"/>
      <c r="J21" s="6">
        <f>((5679096*0.907185)*36.74371)/1000000</f>
        <v>189.30325237839708</v>
      </c>
      <c r="K21" s="32"/>
      <c r="L21" s="6">
        <f>(986447.6*36.74371)/1000000</f>
        <v>36.245744544596</v>
      </c>
      <c r="M21" s="6"/>
      <c r="N21" s="13"/>
      <c r="P21" s="86"/>
      <c r="Q21" s="89"/>
    </row>
    <row r="22" spans="1:24" ht="16.5" customHeight="1">
      <c r="A22" s="15" t="s">
        <v>49</v>
      </c>
      <c r="B22" s="86"/>
      <c r="C22" s="86"/>
      <c r="D22" s="86"/>
      <c r="E22" s="33">
        <f>N18</f>
        <v>1686.6320000000001</v>
      </c>
      <c r="F22" s="91"/>
      <c r="G22" s="6">
        <f>SUM(G19:G21)</f>
        <v>6.254999333172</v>
      </c>
      <c r="H22" s="13">
        <f>SUM(E22:G22)</f>
        <v>1692.8869993331721</v>
      </c>
      <c r="I22" s="86"/>
      <c r="J22" s="6">
        <f>SUM(J19:J21)</f>
        <v>574.25732555816921</v>
      </c>
      <c r="K22" s="32">
        <f>M22-L22-J22</f>
        <v>76.924355282133774</v>
      </c>
      <c r="L22" s="6">
        <f>SUM(L19:L21)</f>
        <v>245.31731849286899</v>
      </c>
      <c r="M22" s="6">
        <f>H22-N22</f>
        <v>896.49899933317204</v>
      </c>
      <c r="N22" s="13">
        <v>796.38800000000003</v>
      </c>
      <c r="P22" s="86"/>
    </row>
    <row r="23" spans="1:24" ht="16.5" customHeight="1">
      <c r="A23" s="15" t="s">
        <v>50</v>
      </c>
      <c r="B23" s="86"/>
      <c r="C23" s="86"/>
      <c r="D23" s="86"/>
      <c r="E23" s="33"/>
      <c r="F23" s="91"/>
      <c r="G23" s="6">
        <f>(166679*36.744)/1000000</f>
        <v>6.1244531760000003</v>
      </c>
      <c r="H23" s="13"/>
      <c r="I23" s="86"/>
      <c r="J23" s="6">
        <f>((5236516*0.907185)*36.74371)/1000000</f>
        <v>174.55058162980768</v>
      </c>
      <c r="K23" s="32"/>
      <c r="L23" s="6">
        <f>(831037.3*36.74371)/1000000</f>
        <v>30.535393550383002</v>
      </c>
      <c r="M23" s="6"/>
      <c r="N23" s="13"/>
    </row>
    <row r="24" spans="1:24" ht="16.5" customHeight="1">
      <c r="A24" s="15" t="s">
        <v>51</v>
      </c>
      <c r="B24" s="86"/>
      <c r="C24" s="86"/>
      <c r="D24" s="86"/>
      <c r="E24" s="33"/>
      <c r="F24" s="91"/>
      <c r="G24" s="6">
        <f>(114325.1*36.74371)/1000000</f>
        <v>4.2007283201210006</v>
      </c>
      <c r="H24" s="13"/>
      <c r="I24" s="86"/>
      <c r="J24" s="6">
        <f>((5545001*0.907185)*36.74371)/1000000</f>
        <v>184.83341780830332</v>
      </c>
      <c r="K24" s="32"/>
      <c r="L24" s="6">
        <f>(1275803.3*36.74371)/1000000</f>
        <v>46.877746472243004</v>
      </c>
      <c r="M24" s="6"/>
      <c r="N24" s="13"/>
      <c r="Q24" s="89"/>
    </row>
    <row r="25" spans="1:24" ht="16.5" customHeight="1">
      <c r="A25" s="15" t="s">
        <v>52</v>
      </c>
      <c r="B25" s="86"/>
      <c r="C25" s="86"/>
      <c r="D25" s="86"/>
      <c r="E25" s="33"/>
      <c r="F25" s="91"/>
      <c r="G25" s="6">
        <f>(45519.5*36.74371)/1000000</f>
        <v>1.6725553073450001</v>
      </c>
      <c r="H25" s="13"/>
      <c r="I25" s="86"/>
      <c r="J25" s="6">
        <f>((5069870*0.907185)*36.74371)/1000000</f>
        <v>168.99571342616218</v>
      </c>
      <c r="K25" s="32"/>
      <c r="L25" s="6">
        <f>(1702563*36.74371)/1000000</f>
        <v>62.558481128730001</v>
      </c>
      <c r="M25" s="6"/>
      <c r="N25" s="13"/>
    </row>
    <row r="26" spans="1:24" ht="16.5" customHeight="1">
      <c r="A26" s="15" t="s">
        <v>53</v>
      </c>
      <c r="B26" s="86"/>
      <c r="C26" s="86"/>
      <c r="D26" s="86"/>
      <c r="E26" s="33">
        <f>N22</f>
        <v>796.38800000000003</v>
      </c>
      <c r="F26" s="91"/>
      <c r="G26" s="6">
        <f>SUM(G23:G25)</f>
        <v>11.997736803466001</v>
      </c>
      <c r="H26" s="13">
        <f>SUM(E26:G26)</f>
        <v>808.38573680346599</v>
      </c>
      <c r="I26" s="86"/>
      <c r="J26" s="6">
        <f>SUM(J23:J25)</f>
        <v>528.37971286427319</v>
      </c>
      <c r="K26" s="32">
        <f>M26-J26-L26</f>
        <v>-124.14959721216317</v>
      </c>
      <c r="L26" s="6">
        <f>SUM(L23:L25)</f>
        <v>139.971621151356</v>
      </c>
      <c r="M26" s="6">
        <f>H26-N26</f>
        <v>544.20173680346602</v>
      </c>
      <c r="N26" s="104">
        <v>264.18400000000003</v>
      </c>
    </row>
    <row r="27" spans="1:24" ht="16.5" customHeight="1">
      <c r="A27" s="15" t="s">
        <v>28</v>
      </c>
      <c r="B27" s="86"/>
      <c r="C27" s="86"/>
      <c r="D27" s="86"/>
      <c r="E27" s="33"/>
      <c r="F27" s="91"/>
      <c r="G27" s="103">
        <f>(667110.5*36.74371)/1000000</f>
        <v>24.512114749955</v>
      </c>
      <c r="H27" s="97"/>
      <c r="I27" s="98"/>
      <c r="J27" s="6">
        <f>SUM(J14,J18,J22,J26)</f>
        <v>2211.9384453555185</v>
      </c>
      <c r="K27" s="99"/>
      <c r="L27" s="6">
        <f>(54208355.3*36.74371)/1000000</f>
        <v>1991.816086720163</v>
      </c>
      <c r="M27" s="6"/>
      <c r="N27" s="13"/>
      <c r="Q27" s="89"/>
    </row>
    <row r="28" spans="1:24" ht="16.5" customHeight="1">
      <c r="A28" s="15"/>
      <c r="B28" s="86"/>
      <c r="C28" s="86"/>
      <c r="D28" s="86"/>
      <c r="E28" s="33"/>
      <c r="F28" s="33"/>
      <c r="G28" s="6"/>
      <c r="H28" s="13"/>
      <c r="I28" s="86"/>
      <c r="J28" s="13"/>
      <c r="K28" s="32"/>
      <c r="L28" s="6"/>
      <c r="M28" s="6"/>
      <c r="N28" s="13"/>
      <c r="R28" s="86"/>
    </row>
    <row r="29" spans="1:24" ht="16.5" customHeight="1">
      <c r="A29" s="31" t="s">
        <v>54</v>
      </c>
      <c r="B29" s="86"/>
      <c r="C29" s="86"/>
      <c r="D29" s="86"/>
      <c r="E29" s="33"/>
      <c r="F29" s="33"/>
      <c r="G29" s="6"/>
      <c r="H29" s="13"/>
      <c r="I29" s="86"/>
      <c r="J29" s="13"/>
      <c r="K29" s="32"/>
      <c r="L29" s="6"/>
      <c r="M29" s="6"/>
      <c r="N29" s="13"/>
      <c r="Q29" s="86"/>
      <c r="V29" s="101"/>
      <c r="X29" s="102"/>
    </row>
    <row r="30" spans="1:24" ht="16.5" customHeight="1">
      <c r="A30" s="15" t="s">
        <v>38</v>
      </c>
      <c r="B30" s="86"/>
      <c r="C30" s="86"/>
      <c r="D30" s="86"/>
      <c r="E30" s="33"/>
      <c r="F30" s="33"/>
      <c r="G30" s="6">
        <f>(37462.8*36.74371)/1000000</f>
        <v>1.3765222589880002</v>
      </c>
      <c r="H30" s="13"/>
      <c r="I30" s="86"/>
      <c r="J30" s="6">
        <f>((5242931*0.907185)*36.74371)/1000000</f>
        <v>174.76441502230665</v>
      </c>
      <c r="K30" s="32"/>
      <c r="L30" s="6">
        <f>(2471110*36.74371)/1000000</f>
        <v>90.797749218099995</v>
      </c>
      <c r="M30" s="6"/>
      <c r="N30" s="13"/>
      <c r="T30" s="100"/>
    </row>
    <row r="31" spans="1:24" ht="16.5" customHeight="1">
      <c r="A31" s="15" t="s">
        <v>39</v>
      </c>
      <c r="B31" s="86"/>
      <c r="C31" s="86"/>
      <c r="D31" s="86"/>
      <c r="E31" s="33"/>
      <c r="F31" s="33"/>
      <c r="G31" s="6">
        <f>(19548.9*36.74371)/1000000</f>
        <v>0.71829911241900002</v>
      </c>
      <c r="H31" s="13"/>
      <c r="I31" s="86"/>
      <c r="J31" s="6">
        <f>((6041685*0.907185)*36.74371)/1000000</f>
        <v>201.38955572256145</v>
      </c>
      <c r="K31" s="32"/>
      <c r="L31" s="6">
        <f>(9477743.2*36.74371)/1000000</f>
        <v>348.24744759527192</v>
      </c>
      <c r="M31" s="6"/>
      <c r="N31" s="13"/>
      <c r="T31" s="100"/>
    </row>
    <row r="32" spans="1:24" ht="16.5" customHeight="1">
      <c r="A32" s="15" t="s">
        <v>40</v>
      </c>
      <c r="B32" s="86"/>
      <c r="C32" s="86"/>
      <c r="D32" s="86"/>
      <c r="E32" s="33"/>
      <c r="F32" s="33"/>
      <c r="G32" s="6">
        <f>(46150.7*36.74371)/1000000</f>
        <v>1.6957479370969999</v>
      </c>
      <c r="H32" s="13"/>
      <c r="I32" s="86"/>
      <c r="J32" s="6">
        <f>((6002708*0.907185)*36.74371)/1000000</f>
        <v>200.09032202974259</v>
      </c>
      <c r="K32" s="32"/>
      <c r="L32" s="6">
        <f>(7463380.7*36.74371)/1000000</f>
        <v>274.232296060397</v>
      </c>
      <c r="M32" s="6"/>
      <c r="N32" s="116"/>
      <c r="T32" s="100"/>
    </row>
    <row r="33" spans="1:20" ht="16.5" customHeight="1">
      <c r="A33" s="15" t="s">
        <v>41</v>
      </c>
      <c r="B33" s="86"/>
      <c r="C33" s="86"/>
      <c r="D33" s="86"/>
      <c r="E33" s="33">
        <f>N26</f>
        <v>264.18400000000003</v>
      </c>
      <c r="F33" s="33">
        <v>4164.6769999999997</v>
      </c>
      <c r="G33" s="6">
        <f>SUM(G30:G32)</f>
        <v>3.7905693085040002</v>
      </c>
      <c r="H33" s="13">
        <f>SUM(E33:G33)</f>
        <v>4432.6515693085039</v>
      </c>
      <c r="I33" s="86"/>
      <c r="J33" s="6">
        <f>SUM(J30:J32)</f>
        <v>576.2442927746107</v>
      </c>
      <c r="K33" s="32">
        <f>M33-L33-J33</f>
        <v>143.18078366012412</v>
      </c>
      <c r="L33" s="6">
        <f>SUM(L30:L32)</f>
        <v>713.27749287376901</v>
      </c>
      <c r="M33" s="6">
        <f>H33-N33</f>
        <v>1432.7025693085038</v>
      </c>
      <c r="N33" s="130">
        <v>2999.9490000000001</v>
      </c>
      <c r="T33" s="100"/>
    </row>
    <row r="34" spans="1:20" ht="16.5" customHeight="1">
      <c r="A34" s="15" t="s">
        <v>42</v>
      </c>
      <c r="B34" s="86"/>
      <c r="C34" s="86"/>
      <c r="D34" s="86"/>
      <c r="E34" s="33"/>
      <c r="F34" s="33"/>
      <c r="G34" s="6">
        <f>(18657.9*36.74371)/1000000</f>
        <v>0.68556046680899996</v>
      </c>
      <c r="H34" s="13"/>
      <c r="I34" s="86"/>
      <c r="J34" s="6">
        <f>((6128558*0.907185)*36.74371)/1000000</f>
        <v>204.28532319045925</v>
      </c>
      <c r="K34" s="32"/>
      <c r="L34" s="6">
        <f>(4824464.6*36.74371)/1000000</f>
        <v>177.26872816766598</v>
      </c>
      <c r="M34" s="6"/>
      <c r="N34" s="130"/>
      <c r="T34" s="100"/>
    </row>
    <row r="35" spans="1:20" ht="16.5" customHeight="1">
      <c r="A35" s="82" t="s">
        <v>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83"/>
      <c r="M35" s="72"/>
      <c r="N35" s="72"/>
      <c r="T35" s="100"/>
    </row>
    <row r="36" spans="1:20" ht="16.5" customHeight="1">
      <c r="A36" s="15" t="s">
        <v>56</v>
      </c>
      <c r="B36" s="15"/>
      <c r="C36" s="15"/>
      <c r="D36" s="15"/>
      <c r="E36" s="36"/>
      <c r="F36" s="36"/>
      <c r="G36" s="36"/>
      <c r="H36" s="36"/>
      <c r="I36" s="36"/>
      <c r="J36" s="36"/>
      <c r="K36" s="36"/>
      <c r="L36" s="36"/>
      <c r="M36" s="36"/>
      <c r="N36" s="36"/>
      <c r="T36" s="100"/>
    </row>
    <row r="37" spans="1:20" ht="16.5" customHeight="1">
      <c r="A37" s="20" t="s">
        <v>57</v>
      </c>
      <c r="B37" s="37">
        <f>Contents!A16</f>
        <v>45334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T37" s="100"/>
    </row>
    <row r="38" spans="1:20" ht="16.5" customHeight="1">
      <c r="T38" s="100"/>
    </row>
    <row r="39" spans="1:20" ht="16.5" customHeight="1">
      <c r="K39" s="35"/>
      <c r="T39" s="100"/>
    </row>
    <row r="40" spans="1:20" ht="16.5" customHeight="1">
      <c r="K40" s="96"/>
      <c r="P40" s="35"/>
      <c r="T40" s="100"/>
    </row>
    <row r="41" spans="1:20" ht="16.5" customHeight="1">
      <c r="T41" s="100"/>
    </row>
    <row r="42" spans="1:20" ht="16.5" customHeight="1">
      <c r="J42" s="35"/>
      <c r="L42" s="35"/>
      <c r="T42" s="100"/>
    </row>
    <row r="43" spans="1:20" ht="16.5" customHeight="1">
      <c r="J43" s="35"/>
      <c r="L43" s="35"/>
      <c r="T43" s="100"/>
    </row>
    <row r="44" spans="1:20" ht="16.5" customHeight="1">
      <c r="J44" s="35"/>
      <c r="L44" s="35"/>
      <c r="T44" s="100"/>
    </row>
    <row r="45" spans="1:20" ht="16.5" customHeight="1">
      <c r="T45" s="100"/>
    </row>
    <row r="46" spans="1:20" ht="16.5" customHeight="1">
      <c r="T46" s="100"/>
    </row>
    <row r="47" spans="1:20" ht="16.5" customHeight="1">
      <c r="T47" s="100"/>
    </row>
    <row r="48" spans="1:20" ht="16.5" customHeight="1">
      <c r="T48" s="100"/>
    </row>
    <row r="49" spans="15:73" ht="16.5" customHeight="1"/>
    <row r="50" spans="15:73" ht="16.5" customHeight="1"/>
    <row r="51" spans="15:73" ht="16.5" customHeight="1"/>
    <row r="52" spans="15:73" ht="16.5" customHeight="1"/>
    <row r="53" spans="15:73" ht="16.5" customHeight="1">
      <c r="O53" s="86"/>
      <c r="P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</row>
    <row r="54" spans="15:73">
      <c r="O54" s="86"/>
      <c r="P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</row>
    <row r="55" spans="15:73">
      <c r="O55" s="86"/>
      <c r="P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</row>
    <row r="56" spans="15:73">
      <c r="O56" s="86"/>
      <c r="P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</row>
    <row r="57" spans="15:73">
      <c r="O57" s="86"/>
      <c r="P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</row>
    <row r="58" spans="15:73">
      <c r="O58" s="86"/>
      <c r="P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</row>
    <row r="59" spans="15:73">
      <c r="O59" s="86"/>
      <c r="P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</row>
    <row r="60" spans="15:73">
      <c r="O60" s="86"/>
      <c r="P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</row>
    <row r="61" spans="15:73">
      <c r="O61" s="86"/>
      <c r="P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</row>
    <row r="62" spans="15:73">
      <c r="O62" s="86"/>
      <c r="P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</row>
    <row r="63" spans="15:73">
      <c r="O63" s="86"/>
      <c r="P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</row>
    <row r="64" spans="15:73">
      <c r="O64" s="86"/>
      <c r="P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</row>
    <row r="65" spans="15:73">
      <c r="O65" s="86"/>
      <c r="P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</row>
    <row r="66" spans="15:73">
      <c r="O66" s="86"/>
      <c r="P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</row>
    <row r="67" spans="15:73">
      <c r="O67" s="86"/>
      <c r="P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</row>
    <row r="68" spans="15:73">
      <c r="O68" s="86"/>
      <c r="P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</row>
    <row r="69" spans="15:73">
      <c r="O69" s="86"/>
      <c r="P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</row>
    <row r="70" spans="15:73">
      <c r="O70" s="86"/>
      <c r="P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</row>
    <row r="71" spans="15:73">
      <c r="O71" s="86"/>
      <c r="P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</row>
    <row r="72" spans="15:73">
      <c r="O72" s="86"/>
      <c r="P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</row>
    <row r="73" spans="15:73">
      <c r="O73" s="86"/>
      <c r="P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</row>
    <row r="74" spans="15:73">
      <c r="O74" s="86"/>
      <c r="P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</row>
    <row r="75" spans="15:73">
      <c r="O75" s="86"/>
      <c r="P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</row>
    <row r="76" spans="15:73">
      <c r="O76" s="86"/>
      <c r="P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</row>
    <row r="77" spans="15:73">
      <c r="O77" s="86"/>
      <c r="P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</row>
    <row r="78" spans="15:73">
      <c r="O78" s="86"/>
      <c r="P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</row>
    <row r="79" spans="15:73">
      <c r="O79" s="86"/>
      <c r="P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</row>
    <row r="80" spans="15:73">
      <c r="O80" s="86"/>
      <c r="P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</row>
    <row r="81" spans="15:73"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</row>
    <row r="82" spans="15:73"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</row>
    <row r="83" spans="15:73"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</row>
    <row r="84" spans="15:73"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</row>
    <row r="85" spans="15:73"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</row>
    <row r="86" spans="15:73"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</row>
    <row r="87" spans="15:73"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</row>
    <row r="88" spans="15:73"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</row>
    <row r="89" spans="15:73"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</row>
    <row r="90" spans="15:73"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</row>
    <row r="91" spans="15:73"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</row>
    <row r="92" spans="15:73"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</row>
    <row r="93" spans="15:73"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</row>
    <row r="94" spans="15:73"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</row>
    <row r="95" spans="15:73"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</row>
    <row r="96" spans="15:73"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</row>
    <row r="97" spans="15:73"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</row>
    <row r="98" spans="15:73"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</row>
    <row r="99" spans="15:73"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</row>
    <row r="100" spans="15:73"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</row>
    <row r="101" spans="15:73"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</row>
    <row r="102" spans="15:73"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</row>
    <row r="103" spans="15:73"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</row>
    <row r="104" spans="15:73"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</row>
    <row r="105" spans="15:73"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</row>
    <row r="106" spans="15:73"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</row>
    <row r="107" spans="15:73"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</row>
    <row r="108" spans="15:73"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</row>
    <row r="109" spans="15:73"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</row>
    <row r="110" spans="15:73"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</row>
    <row r="111" spans="15:73"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</row>
    <row r="112" spans="15:73"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</row>
    <row r="113" spans="15:73"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</row>
    <row r="114" spans="15:73"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</row>
    <row r="115" spans="15:73"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</row>
    <row r="116" spans="15:73"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</row>
    <row r="117" spans="15:73"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</row>
    <row r="118" spans="15:73"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</row>
    <row r="119" spans="15:73"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</row>
    <row r="120" spans="15:73"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</row>
    <row r="121" spans="15:73"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</row>
    <row r="122" spans="15:73"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</row>
    <row r="123" spans="15:73"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</row>
    <row r="124" spans="15:73"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</row>
    <row r="125" spans="15:73"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</row>
    <row r="126" spans="15:73"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</row>
    <row r="127" spans="15:73"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</row>
    <row r="128" spans="15:73"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</row>
    <row r="129" spans="15:73"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</row>
    <row r="130" spans="15:73"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</row>
    <row r="131" spans="15:73"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</row>
    <row r="132" spans="15:73"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</row>
    <row r="133" spans="15:73"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</row>
    <row r="134" spans="15:73"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</row>
    <row r="135" spans="15:73"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</row>
    <row r="136" spans="15:73"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</row>
    <row r="137" spans="15:73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</row>
    <row r="138" spans="15:73"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</row>
    <row r="139" spans="15:73"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</row>
    <row r="140" spans="15:73"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</row>
    <row r="141" spans="15:73"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</row>
    <row r="142" spans="15:73"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</row>
    <row r="143" spans="15:73"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</row>
    <row r="144" spans="15:73"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</row>
    <row r="145" spans="15:73"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</row>
    <row r="146" spans="15:73"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</row>
    <row r="147" spans="15:73"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</row>
    <row r="148" spans="15:73"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</row>
    <row r="149" spans="15:73"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</row>
    <row r="150" spans="15:73"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</row>
    <row r="151" spans="15:73"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</row>
    <row r="152" spans="15:73"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</row>
    <row r="153" spans="15:73"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</row>
    <row r="154" spans="15:73"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</row>
    <row r="155" spans="15:73"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</row>
    <row r="156" spans="15:73"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</row>
    <row r="157" spans="15:73"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</row>
    <row r="158" spans="15:73"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</row>
    <row r="159" spans="15:73"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</row>
    <row r="160" spans="15:73"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</row>
    <row r="161" spans="15:73"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</row>
    <row r="162" spans="15:73"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</row>
    <row r="163" spans="15:73"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</row>
    <row r="164" spans="15:73"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</row>
    <row r="165" spans="15:73"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</row>
    <row r="166" spans="15:73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</row>
    <row r="167" spans="15:73"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</row>
    <row r="168" spans="15:73"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</row>
    <row r="169" spans="15:73"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</row>
    <row r="170" spans="15:73"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</row>
    <row r="171" spans="15:73"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</row>
    <row r="172" spans="15:73"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</row>
    <row r="173" spans="15:73"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</row>
    <row r="174" spans="15:73"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</row>
    <row r="175" spans="15:73"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</row>
    <row r="176" spans="15:73"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</row>
    <row r="177" spans="15:73"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</row>
    <row r="178" spans="15:73"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</row>
    <row r="179" spans="15:73"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</row>
    <row r="180" spans="15:73"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</row>
    <row r="181" spans="15:73"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</row>
    <row r="182" spans="15:73"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</row>
    <row r="183" spans="15:73"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</row>
    <row r="184" spans="15:73"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</row>
    <row r="185" spans="15:73"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</row>
    <row r="186" spans="15:73"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</row>
    <row r="187" spans="15:73"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</row>
    <row r="188" spans="15:73"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</row>
    <row r="189" spans="15:73"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</row>
    <row r="190" spans="15:73"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</row>
    <row r="191" spans="15:73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</row>
    <row r="192" spans="15:73"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</row>
    <row r="193" spans="15:73"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</row>
    <row r="194" spans="15:73"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</row>
    <row r="195" spans="15:73"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</row>
    <row r="196" spans="15:73"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</row>
    <row r="197" spans="15:73"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</row>
    <row r="198" spans="15:73"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</row>
    <row r="199" spans="15:73"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</row>
    <row r="200" spans="15:73"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</row>
    <row r="201" spans="15:73"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</row>
    <row r="202" spans="15:73"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</row>
    <row r="203" spans="15:73"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</row>
    <row r="204" spans="15:73"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</row>
    <row r="205" spans="15:73"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</row>
    <row r="206" spans="15:73"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</row>
    <row r="207" spans="15:73"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</row>
    <row r="208" spans="15:73"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</row>
    <row r="209" spans="15:73"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</row>
    <row r="210" spans="15:73"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</row>
    <row r="211" spans="15:73"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</row>
    <row r="212" spans="15:73"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</row>
    <row r="213" spans="15:73"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</row>
    <row r="214" spans="15:73"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</row>
    <row r="215" spans="15:73"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</row>
    <row r="216" spans="15:73"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</row>
    <row r="217" spans="15:73"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</row>
    <row r="218" spans="15:73"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</row>
    <row r="219" spans="15:73"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</row>
    <row r="220" spans="15:73"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</row>
    <row r="221" spans="15:73"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</row>
    <row r="222" spans="15:73"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</row>
    <row r="223" spans="15:73"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</row>
    <row r="224" spans="15:73"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</row>
    <row r="225" spans="15:73"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</row>
    <row r="226" spans="15:73"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</row>
    <row r="227" spans="15:73"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</row>
    <row r="228" spans="15:73"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</row>
    <row r="229" spans="15:73"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</row>
    <row r="230" spans="15:73"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</row>
    <row r="231" spans="15:73"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</row>
    <row r="232" spans="15:73"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</row>
    <row r="233" spans="15:73"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</row>
    <row r="234" spans="15:73"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</row>
    <row r="235" spans="15:73"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</row>
    <row r="236" spans="15:73"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</row>
    <row r="237" spans="15:73"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</row>
    <row r="238" spans="15:73"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</row>
    <row r="239" spans="15:73"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</row>
    <row r="240" spans="15:73"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</row>
    <row r="241" spans="15:73"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</row>
    <row r="242" spans="15:73"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</row>
    <row r="243" spans="15:73"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</row>
    <row r="244" spans="15:73"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</row>
    <row r="245" spans="15:73"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</row>
    <row r="246" spans="15:73"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</row>
    <row r="247" spans="15:73"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</row>
    <row r="248" spans="15:73"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</row>
    <row r="249" spans="15:73"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</row>
    <row r="250" spans="15:73"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</row>
    <row r="251" spans="15:73"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</row>
    <row r="252" spans="15:73"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</row>
    <row r="253" spans="15:73"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</row>
    <row r="254" spans="15:73"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</row>
    <row r="255" spans="15:73"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</row>
    <row r="256" spans="15:73"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</row>
    <row r="257" spans="15:73"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</row>
    <row r="258" spans="15:73"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</row>
    <row r="259" spans="15:73"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</row>
    <row r="260" spans="15:73"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</row>
    <row r="261" spans="15:73"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</row>
    <row r="262" spans="15:73"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</row>
    <row r="263" spans="15:73"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</row>
    <row r="264" spans="15:73"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</row>
    <row r="265" spans="15:73"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</row>
    <row r="266" spans="15:73"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</row>
    <row r="267" spans="15:73"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</row>
    <row r="268" spans="15:73"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</row>
    <row r="269" spans="15:73"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</row>
    <row r="270" spans="15:73"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</row>
    <row r="271" spans="15:73"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</row>
    <row r="272" spans="15:73"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</row>
    <row r="273" spans="15:73"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</row>
    <row r="274" spans="15:73"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</row>
    <row r="275" spans="15:73"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</row>
    <row r="276" spans="15:73"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</row>
    <row r="277" spans="15:73"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</row>
    <row r="278" spans="15:73"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</row>
    <row r="279" spans="15:73"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</row>
    <row r="280" spans="15:73"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</row>
    <row r="281" spans="15:73"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</row>
    <row r="282" spans="15:73"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</row>
    <row r="283" spans="15:73"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</row>
    <row r="284" spans="15:73"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</row>
    <row r="285" spans="15:73"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</row>
    <row r="286" spans="15:73"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</row>
    <row r="287" spans="15:73"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</row>
    <row r="288" spans="15:73"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</row>
    <row r="289" spans="15:73"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</row>
    <row r="290" spans="15:73"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</row>
    <row r="291" spans="15:73"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</row>
    <row r="292" spans="15:73"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</row>
    <row r="293" spans="15:73"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</row>
    <row r="294" spans="15:73"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</row>
    <row r="295" spans="15:73"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</row>
    <row r="296" spans="15:73"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</row>
    <row r="297" spans="15:73"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</row>
    <row r="298" spans="15:73"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</row>
    <row r="299" spans="15:73"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</row>
    <row r="300" spans="15:73"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</row>
    <row r="301" spans="15:73"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</row>
    <row r="302" spans="15:73"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</row>
    <row r="303" spans="15:73"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</row>
    <row r="304" spans="15:73"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</row>
    <row r="305" spans="15:73"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</row>
    <row r="306" spans="15:73"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</row>
    <row r="307" spans="15:73"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</row>
    <row r="308" spans="15:73"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</row>
    <row r="309" spans="15:73"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</row>
    <row r="310" spans="15:73"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</row>
    <row r="311" spans="15:73"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</row>
    <row r="312" spans="15:73"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</row>
    <row r="313" spans="15:73"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</row>
    <row r="314" spans="15:73"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</row>
    <row r="315" spans="15:73"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</row>
    <row r="316" spans="15:73"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</row>
    <row r="317" spans="15:73"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</row>
    <row r="318" spans="15:73"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</row>
    <row r="319" spans="15:73"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</row>
    <row r="320" spans="15:73"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</row>
    <row r="321" spans="15:73"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</row>
    <row r="322" spans="15:73"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</row>
    <row r="323" spans="15:73"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</row>
    <row r="324" spans="15:73"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</row>
    <row r="325" spans="15:73"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</row>
    <row r="326" spans="15:73"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</row>
    <row r="327" spans="15:73"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</row>
    <row r="328" spans="15:73"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</row>
    <row r="329" spans="15:73"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</row>
    <row r="330" spans="15:73"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</row>
    <row r="331" spans="15:73"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</row>
    <row r="332" spans="15:73"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</row>
    <row r="333" spans="15:73"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</row>
    <row r="334" spans="15:73"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</row>
    <row r="335" spans="15:73"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</row>
    <row r="336" spans="15:73"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</row>
    <row r="337" spans="15:73"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</row>
    <row r="338" spans="15:73"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</row>
    <row r="339" spans="15:73"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</row>
    <row r="340" spans="15:73"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</row>
    <row r="341" spans="15:73"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</row>
    <row r="342" spans="15:73"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</row>
    <row r="343" spans="15:73"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</row>
    <row r="344" spans="15:73"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</row>
    <row r="345" spans="15:73"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</row>
    <row r="346" spans="15:73"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</row>
    <row r="347" spans="15:73"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</row>
    <row r="348" spans="15:73"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</row>
    <row r="349" spans="15:73"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</row>
    <row r="350" spans="15:73"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</row>
    <row r="351" spans="15:73"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</row>
    <row r="352" spans="15:73"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</row>
    <row r="353" spans="15:73"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</row>
    <row r="354" spans="15:73"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</row>
    <row r="355" spans="15:73"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</row>
    <row r="356" spans="15:73"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</row>
    <row r="357" spans="15:73"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</row>
    <row r="358" spans="15:73"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</row>
    <row r="359" spans="15:73"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</row>
    <row r="360" spans="15:73"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</row>
    <row r="361" spans="15:73"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</row>
    <row r="362" spans="15:73"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</row>
    <row r="363" spans="15:73"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</row>
    <row r="364" spans="15:73"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</row>
    <row r="365" spans="15:73"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</row>
    <row r="366" spans="15:73"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</row>
    <row r="367" spans="15:73"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</row>
    <row r="368" spans="15:73"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</row>
    <row r="369" spans="15:73"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</row>
    <row r="370" spans="15:73"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</row>
    <row r="371" spans="15:73"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</row>
    <row r="372" spans="15:73"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</row>
    <row r="373" spans="15:73"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</row>
    <row r="374" spans="15:73"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</row>
    <row r="375" spans="15:73"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</row>
    <row r="376" spans="15:73"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</row>
    <row r="377" spans="15:73"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</row>
    <row r="378" spans="15:73"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</row>
    <row r="379" spans="15:73"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</row>
    <row r="380" spans="15:73"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</row>
    <row r="381" spans="15:73"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</row>
    <row r="382" spans="15:73"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</row>
    <row r="383" spans="15:73"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</row>
    <row r="384" spans="15:73"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</row>
    <row r="385" spans="15:73"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</row>
    <row r="386" spans="15:73"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</row>
    <row r="387" spans="15:73"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</row>
    <row r="388" spans="15:73"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</row>
    <row r="389" spans="15:73"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</row>
    <row r="390" spans="15:73"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</row>
    <row r="391" spans="15:73"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</row>
    <row r="392" spans="15:73"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</row>
    <row r="393" spans="15:73"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</row>
    <row r="394" spans="15:73"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</row>
    <row r="395" spans="15:73"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</row>
    <row r="396" spans="15:73"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  <c r="BU396" s="86"/>
    </row>
    <row r="397" spans="15:73"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</row>
    <row r="398" spans="15:73"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</row>
    <row r="399" spans="15:73"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</row>
    <row r="400" spans="15:73"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</row>
    <row r="401" spans="15:73"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</row>
    <row r="402" spans="15:73"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</row>
    <row r="403" spans="15:73"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</row>
    <row r="404" spans="15:73"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</row>
    <row r="405" spans="15:73"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</row>
    <row r="406" spans="15:73"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</row>
    <row r="407" spans="15:73"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</row>
    <row r="408" spans="15:73"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</row>
    <row r="409" spans="15:73"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</row>
    <row r="410" spans="15:73"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</row>
    <row r="411" spans="15:73"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</row>
    <row r="412" spans="15:73"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</row>
    <row r="413" spans="15:73"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</row>
    <row r="414" spans="15:73"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</row>
    <row r="415" spans="15:73"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</row>
    <row r="416" spans="15:73"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</row>
    <row r="417" spans="15:73"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</row>
    <row r="418" spans="15:73"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</row>
    <row r="419" spans="15:73"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</row>
    <row r="420" spans="15:73"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6"/>
    </row>
    <row r="421" spans="15:73"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</row>
    <row r="422" spans="15:73"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</row>
    <row r="423" spans="15:73"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</row>
    <row r="424" spans="15:73"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</row>
    <row r="425" spans="15:73"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</row>
    <row r="426" spans="15:73"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</row>
    <row r="427" spans="15:73"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</row>
    <row r="428" spans="15:73"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</row>
    <row r="429" spans="15:73"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</row>
    <row r="430" spans="15:73"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</row>
    <row r="431" spans="15:73"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</row>
    <row r="432" spans="15:73"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6"/>
    </row>
    <row r="433" spans="15:73"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</row>
    <row r="434" spans="15:73"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</row>
    <row r="435" spans="15:73"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</row>
    <row r="436" spans="15:73"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</row>
    <row r="437" spans="15:73"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</row>
    <row r="438" spans="15:73"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</row>
    <row r="439" spans="15:73"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</row>
    <row r="440" spans="15:73"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</row>
    <row r="441" spans="15:73"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</row>
    <row r="442" spans="15:73"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</row>
    <row r="443" spans="15:73"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</row>
    <row r="444" spans="15:73"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</row>
    <row r="445" spans="15:73"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</row>
    <row r="446" spans="15:73"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</row>
    <row r="447" spans="15:73"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</row>
    <row r="448" spans="15:73"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</row>
    <row r="449" spans="15:73"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</row>
    <row r="450" spans="15:73"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</row>
    <row r="451" spans="15:73"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</row>
    <row r="452" spans="15:73"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</row>
    <row r="453" spans="15:73"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</row>
    <row r="454" spans="15:73"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</row>
    <row r="455" spans="15:73"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</row>
    <row r="456" spans="15:73"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6"/>
    </row>
    <row r="457" spans="15:73"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</row>
    <row r="458" spans="15:73"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</row>
    <row r="459" spans="15:73"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</row>
    <row r="460" spans="15:73"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</row>
    <row r="461" spans="15:73"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</row>
    <row r="462" spans="15:73"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</row>
    <row r="463" spans="15:73"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</row>
    <row r="464" spans="15:73"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</row>
    <row r="465" spans="15:73"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</row>
    <row r="466" spans="15:73"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</row>
    <row r="467" spans="15:73"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</row>
    <row r="468" spans="15:73"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6"/>
    </row>
    <row r="469" spans="15:73"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</row>
    <row r="470" spans="15:73"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</row>
    <row r="471" spans="15:73"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</row>
    <row r="472" spans="15:73"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</row>
    <row r="473" spans="15:73"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</row>
    <row r="474" spans="15:73"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</row>
    <row r="475" spans="15:73"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</row>
    <row r="476" spans="15:73"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</row>
    <row r="477" spans="15:73"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</row>
    <row r="478" spans="15:73"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</row>
    <row r="479" spans="15:73"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</row>
    <row r="480" spans="15:73"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6"/>
    </row>
    <row r="481" spans="15:73"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</row>
    <row r="482" spans="15:73"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</row>
    <row r="483" spans="15:73"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</row>
    <row r="484" spans="15:73"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</row>
    <row r="485" spans="15:73"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</row>
    <row r="486" spans="15:73"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</row>
    <row r="487" spans="15:73"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</row>
    <row r="488" spans="15:73"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</row>
    <row r="489" spans="15:73"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</row>
    <row r="490" spans="15:73"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</row>
    <row r="491" spans="15:73"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</row>
    <row r="492" spans="15:73"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6"/>
    </row>
    <row r="493" spans="15:73"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</row>
    <row r="494" spans="15:73"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</row>
    <row r="495" spans="15:73"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</row>
    <row r="496" spans="15:73"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</row>
    <row r="497" spans="15:73"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</row>
    <row r="498" spans="15:73"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</row>
    <row r="499" spans="15:73"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</row>
    <row r="500" spans="15:73"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</row>
    <row r="501" spans="15:73"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</row>
    <row r="502" spans="15:73"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</row>
    <row r="503" spans="15:73"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</row>
    <row r="504" spans="15:73"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6"/>
    </row>
    <row r="505" spans="15:73"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</row>
    <row r="506" spans="15:73"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</row>
    <row r="507" spans="15:73"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</row>
    <row r="508" spans="15:73"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</row>
    <row r="509" spans="15:73"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</row>
    <row r="510" spans="15:73"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</row>
    <row r="511" spans="15:73"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</row>
    <row r="512" spans="15:73"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</row>
    <row r="513" spans="15:73"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</row>
    <row r="514" spans="15:73"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</row>
    <row r="515" spans="15:73"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</row>
    <row r="516" spans="15:73"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6"/>
    </row>
    <row r="517" spans="15:73"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</row>
    <row r="518" spans="15:73"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</row>
    <row r="519" spans="15:73"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</row>
    <row r="520" spans="15:73"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</row>
    <row r="521" spans="15:73"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</row>
    <row r="522" spans="15:73"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</row>
    <row r="523" spans="15:73"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</row>
    <row r="524" spans="15:73"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</row>
    <row r="525" spans="15:73"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</row>
    <row r="526" spans="15:73"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</row>
    <row r="527" spans="15:73"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</row>
    <row r="528" spans="15:73"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</row>
    <row r="529" spans="15:73"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</row>
    <row r="530" spans="15:73"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</row>
    <row r="531" spans="15:73"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</row>
    <row r="532" spans="15:73"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</row>
    <row r="533" spans="15:73"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</row>
    <row r="534" spans="15:73"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</row>
    <row r="535" spans="15:73"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</row>
    <row r="536" spans="15:73"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</row>
    <row r="537" spans="15:73"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</row>
    <row r="538" spans="15:73"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</row>
    <row r="539" spans="15:73"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</row>
    <row r="540" spans="15:73"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</row>
    <row r="541" spans="15:73"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</row>
    <row r="542" spans="15:73"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</row>
    <row r="543" spans="15:73"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</row>
    <row r="544" spans="15:73"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</row>
    <row r="545" spans="15:73"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</row>
    <row r="546" spans="15:73"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</row>
    <row r="547" spans="15:73"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</row>
    <row r="548" spans="15:73"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</row>
    <row r="549" spans="15:73"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</row>
    <row r="550" spans="15:73"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</row>
  </sheetData>
  <dataConsolidate link="1"/>
  <phoneticPr fontId="39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33"/>
  <sheetViews>
    <sheetView showGridLines="0" zoomScaleNormal="100" workbookViewId="0">
      <selection activeCell="B1" sqref="B1"/>
    </sheetView>
  </sheetViews>
  <sheetFormatPr defaultColWidth="9.140625" defaultRowHeight="13.15"/>
  <cols>
    <col min="1" max="1" width="16" customWidth="1"/>
    <col min="2" max="2" width="12.28515625" bestFit="1" customWidth="1"/>
    <col min="3" max="3" width="13.42578125" bestFit="1" customWidth="1"/>
    <col min="4" max="4" width="11.140625" bestFit="1" customWidth="1"/>
    <col min="5" max="5" width="13.42578125" bestFit="1" customWidth="1"/>
    <col min="6" max="6" width="1.7109375" customWidth="1"/>
    <col min="7" max="7" width="14.42578125" bestFit="1" customWidth="1"/>
    <col min="8" max="9" width="13.42578125" bestFit="1" customWidth="1"/>
    <col min="10" max="10" width="10.7109375" customWidth="1"/>
    <col min="11" max="11" width="13.5703125" customWidth="1"/>
    <col min="12" max="12" width="11.7109375" bestFit="1" customWidth="1"/>
  </cols>
  <sheetData>
    <row r="1" spans="1:12" ht="13.9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9">
      <c r="A2" s="15"/>
      <c r="B2" s="171" t="s">
        <v>58</v>
      </c>
      <c r="C2" s="171"/>
      <c r="D2" s="171"/>
      <c r="E2" s="171"/>
      <c r="F2" s="15"/>
      <c r="G2" s="171" t="s">
        <v>59</v>
      </c>
      <c r="H2" s="171"/>
      <c r="I2" s="171"/>
      <c r="J2" s="15"/>
    </row>
    <row r="3" spans="1:12" ht="13.9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2" ht="13.9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2" ht="14.45">
      <c r="A5" s="15"/>
      <c r="B5" s="172" t="s">
        <v>67</v>
      </c>
      <c r="C5" s="172"/>
      <c r="D5" s="172"/>
      <c r="E5" s="172"/>
      <c r="F5" s="172"/>
      <c r="G5" s="172"/>
      <c r="H5" s="172"/>
      <c r="I5" s="172"/>
      <c r="J5" s="172"/>
    </row>
    <row r="6" spans="1:12" ht="13.9">
      <c r="A6" s="15" t="s">
        <v>34</v>
      </c>
      <c r="B6" s="38">
        <v>340.786</v>
      </c>
      <c r="C6" s="39">
        <v>51814.455000000002</v>
      </c>
      <c r="D6" s="39">
        <v>654.51012091299992</v>
      </c>
      <c r="E6" s="28">
        <f>SUM(B6:D6)</f>
        <v>52809.751120913003</v>
      </c>
      <c r="F6" s="39"/>
      <c r="G6" s="39">
        <f>E6-H6-J6</f>
        <v>38958.712222688002</v>
      </c>
      <c r="H6" s="39">
        <v>13540.111898224999</v>
      </c>
      <c r="I6" s="39">
        <f>E6-J6</f>
        <v>52498.824120912999</v>
      </c>
      <c r="J6" s="39">
        <v>310.92700000000002</v>
      </c>
    </row>
    <row r="7" spans="1:12" ht="16.149999999999999">
      <c r="A7" s="15" t="s">
        <v>35</v>
      </c>
      <c r="B7" s="38">
        <f>J6</f>
        <v>310.92700000000002</v>
      </c>
      <c r="C7" s="39">
        <f>C23</f>
        <v>52493.097999999998</v>
      </c>
      <c r="D7" s="39">
        <f>D23</f>
        <v>632.09806422399993</v>
      </c>
      <c r="E7" s="28">
        <f>SUM(B7:D7)</f>
        <v>53436.123064224004</v>
      </c>
      <c r="F7" s="39"/>
      <c r="G7" s="39">
        <f>E7-H7-J7</f>
        <v>38401.723957986855</v>
      </c>
      <c r="H7" s="39">
        <f>H23</f>
        <v>14663.508106237146</v>
      </c>
      <c r="I7" s="39">
        <f>E7-J7</f>
        <v>53065.232064224001</v>
      </c>
      <c r="J7" s="39">
        <f>J22</f>
        <v>370.89100000000002</v>
      </c>
      <c r="K7" s="110"/>
      <c r="L7" s="122"/>
    </row>
    <row r="8" spans="1:12" ht="16.149999999999999">
      <c r="A8" s="15" t="s">
        <v>36</v>
      </c>
      <c r="B8" s="38">
        <f>J7</f>
        <v>370.89100000000002</v>
      </c>
      <c r="C8" s="39">
        <v>54154</v>
      </c>
      <c r="D8" s="39">
        <v>600</v>
      </c>
      <c r="E8" s="28">
        <f>SUM(B8:D8)</f>
        <v>55124.891000000003</v>
      </c>
      <c r="F8" s="39"/>
      <c r="G8" s="39">
        <f t="shared" ref="G8" si="0">E8-H8-J8</f>
        <v>39424.891000000003</v>
      </c>
      <c r="H8" s="39">
        <v>15300</v>
      </c>
      <c r="I8" s="39">
        <f>E8-J8</f>
        <v>54724.891000000003</v>
      </c>
      <c r="J8" s="39">
        <v>400</v>
      </c>
      <c r="L8" s="123"/>
    </row>
    <row r="9" spans="1:12" ht="13.9">
      <c r="A9" s="15"/>
      <c r="B9" s="40"/>
      <c r="C9" s="40"/>
      <c r="D9" s="40"/>
      <c r="E9" s="40"/>
      <c r="F9" s="40"/>
      <c r="G9" s="39"/>
      <c r="H9" s="40"/>
      <c r="I9" s="40"/>
      <c r="J9" s="40"/>
    </row>
    <row r="10" spans="1:12" ht="13.9">
      <c r="A10" s="31" t="s">
        <v>37</v>
      </c>
      <c r="B10" s="41"/>
      <c r="C10" s="6"/>
      <c r="D10" s="6"/>
      <c r="E10" s="6"/>
      <c r="F10" s="6"/>
      <c r="G10" s="6"/>
      <c r="H10" s="6"/>
      <c r="I10" s="6"/>
      <c r="J10" s="6"/>
    </row>
    <row r="11" spans="1:12" ht="14.45">
      <c r="A11" s="15" t="s">
        <v>39</v>
      </c>
      <c r="B11" s="41">
        <f>J6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1">SUM(B11:D11)</f>
        <v>4972.2048571759997</v>
      </c>
      <c r="F11" s="6"/>
      <c r="G11" s="6">
        <f>I11-H11</f>
        <v>3639.9264505289998</v>
      </c>
      <c r="H11" s="6">
        <f>(865513.7*1.10231)/1000</f>
        <v>954.06440664699983</v>
      </c>
      <c r="I11" s="5">
        <f>E11-J11</f>
        <v>4593.9908571759997</v>
      </c>
      <c r="J11" s="6">
        <v>378.214</v>
      </c>
      <c r="K11" s="87"/>
      <c r="L11" s="89"/>
    </row>
    <row r="12" spans="1:12" ht="14.45">
      <c r="A12" s="15" t="s">
        <v>40</v>
      </c>
      <c r="B12" s="41">
        <f t="shared" ref="B12:B17" si="2">J11</f>
        <v>378.214</v>
      </c>
      <c r="C12" s="6">
        <v>4469.9660000000003</v>
      </c>
      <c r="D12" s="6">
        <f>(53341.5*1.10231)/1000</f>
        <v>58.798868864999996</v>
      </c>
      <c r="E12" s="6">
        <f t="shared" si="1"/>
        <v>4906.9788688650005</v>
      </c>
      <c r="F12" s="6"/>
      <c r="G12" s="6">
        <f t="shared" ref="G12:G19" si="3">I12-H12</f>
        <v>3367.700833154001</v>
      </c>
      <c r="H12" s="6">
        <f>(1079708.1*1.10231)/1000</f>
        <v>1190.173035711</v>
      </c>
      <c r="I12" s="5">
        <f t="shared" ref="I12:I22" si="4">E12-J12</f>
        <v>4557.873868865001</v>
      </c>
      <c r="J12" s="6">
        <v>349.10500000000002</v>
      </c>
      <c r="K12" s="87"/>
      <c r="L12" s="89"/>
    </row>
    <row r="13" spans="1:12" ht="14.45">
      <c r="A13" s="15" t="s">
        <v>42</v>
      </c>
      <c r="B13" s="41">
        <f t="shared" si="2"/>
        <v>349.10500000000002</v>
      </c>
      <c r="C13" s="6">
        <v>4437.4089999999997</v>
      </c>
      <c r="D13" s="6">
        <f>(32194.3*1.10231)/1000</f>
        <v>35.488098832999995</v>
      </c>
      <c r="E13" s="6">
        <f t="shared" si="1"/>
        <v>4822.0020988329989</v>
      </c>
      <c r="F13" s="6"/>
      <c r="G13" s="6">
        <f t="shared" si="3"/>
        <v>3173.9462998459985</v>
      </c>
      <c r="H13" s="6">
        <f>(1081527.7*1.10231)/1000</f>
        <v>1192.1787989869997</v>
      </c>
      <c r="I13" s="5">
        <f t="shared" si="4"/>
        <v>4366.1250988329984</v>
      </c>
      <c r="J13" s="6">
        <v>455.87700000000001</v>
      </c>
      <c r="K13" s="87"/>
      <c r="L13" s="89"/>
    </row>
    <row r="14" spans="1:12" ht="14.45">
      <c r="A14" s="15" t="s">
        <v>43</v>
      </c>
      <c r="B14" s="41">
        <f t="shared" si="2"/>
        <v>455.87700000000001</v>
      </c>
      <c r="C14" s="6">
        <v>4540.9090000000006</v>
      </c>
      <c r="D14" s="6">
        <f>(87357.8*1.10231)/1000</f>
        <v>96.295376517999983</v>
      </c>
      <c r="E14" s="6">
        <f t="shared" si="1"/>
        <v>5093.081376518001</v>
      </c>
      <c r="F14" s="6"/>
      <c r="G14" s="6">
        <f t="shared" si="3"/>
        <v>3101.8863894670012</v>
      </c>
      <c r="H14" s="6">
        <f>(1404622.1*1.10231)/1000</f>
        <v>1548.3289870509998</v>
      </c>
      <c r="I14" s="5">
        <f t="shared" si="4"/>
        <v>4650.215376518001</v>
      </c>
      <c r="J14" s="6">
        <v>442.86599999999999</v>
      </c>
      <c r="K14" s="87"/>
      <c r="L14" s="89"/>
    </row>
    <row r="15" spans="1:12" ht="14.45">
      <c r="A15" s="15" t="s">
        <v>44</v>
      </c>
      <c r="B15" s="41">
        <f t="shared" si="2"/>
        <v>442.86599999999999</v>
      </c>
      <c r="C15" s="6">
        <v>4197.5839999999998</v>
      </c>
      <c r="D15" s="6">
        <f>(40187.2*1.10231)/1000</f>
        <v>44.298752431999993</v>
      </c>
      <c r="E15" s="6">
        <f t="shared" si="1"/>
        <v>4684.7487524319995</v>
      </c>
      <c r="F15" s="6"/>
      <c r="G15" s="6">
        <f t="shared" si="3"/>
        <v>3189.261751647</v>
      </c>
      <c r="H15" s="6">
        <f>(925173.5*1.10231)/1000</f>
        <v>1019.828000785</v>
      </c>
      <c r="I15" s="5">
        <f t="shared" si="4"/>
        <v>4209.0897524319998</v>
      </c>
      <c r="J15" s="6">
        <v>475.65899999999999</v>
      </c>
      <c r="K15" s="87"/>
      <c r="L15" s="89"/>
    </row>
    <row r="16" spans="1:12" ht="14.45">
      <c r="A16" s="15" t="s">
        <v>46</v>
      </c>
      <c r="B16" s="41">
        <f t="shared" si="2"/>
        <v>475.65899999999999</v>
      </c>
      <c r="C16" s="6">
        <v>4698.1610000000001</v>
      </c>
      <c r="D16" s="6">
        <f>(43410.1*1.10231)/1000</f>
        <v>47.851387330999991</v>
      </c>
      <c r="E16" s="6">
        <f t="shared" si="1"/>
        <v>5221.671387331</v>
      </c>
      <c r="F16" s="6"/>
      <c r="G16" s="6">
        <f t="shared" si="3"/>
        <v>3369.7769356149997</v>
      </c>
      <c r="H16" s="6">
        <f>(1336143.6*1.10231)/1000</f>
        <v>1472.8444517160001</v>
      </c>
      <c r="I16" s="5">
        <f t="shared" si="4"/>
        <v>4842.6213873309998</v>
      </c>
      <c r="J16" s="6">
        <v>379.04999999999995</v>
      </c>
      <c r="K16" s="87"/>
      <c r="L16" s="89"/>
    </row>
    <row r="17" spans="1:12" ht="14.45">
      <c r="A17" s="15" t="s">
        <v>47</v>
      </c>
      <c r="B17" s="41">
        <f t="shared" si="2"/>
        <v>379.04999999999995</v>
      </c>
      <c r="C17" s="6">
        <v>4433.6350000000002</v>
      </c>
      <c r="D17" s="6">
        <f>(25951.8*1.10231)/1000</f>
        <v>28.606928657999998</v>
      </c>
      <c r="E17" s="6">
        <f t="shared" si="1"/>
        <v>4841.291928658</v>
      </c>
      <c r="F17" s="6"/>
      <c r="G17" s="6">
        <f t="shared" si="3"/>
        <v>3019.334526696</v>
      </c>
      <c r="H17" s="6">
        <f>(1128650.2*1.10231)/1000</f>
        <v>1244.1224019619999</v>
      </c>
      <c r="I17" s="5">
        <f t="shared" si="4"/>
        <v>4263.4569286579999</v>
      </c>
      <c r="J17" s="6">
        <v>577.83499999999992</v>
      </c>
      <c r="K17" s="87"/>
      <c r="L17" s="89"/>
    </row>
    <row r="18" spans="1:12" ht="14.45">
      <c r="A18" s="15" t="s">
        <v>48</v>
      </c>
      <c r="B18" s="41">
        <f>J17</f>
        <v>577.83499999999992</v>
      </c>
      <c r="C18" s="6">
        <v>4461.268</v>
      </c>
      <c r="D18" s="6">
        <f>(50047.9*1.10231)/1000</f>
        <v>55.168300648999995</v>
      </c>
      <c r="E18" s="6">
        <f t="shared" si="1"/>
        <v>5094.2713006490003</v>
      </c>
      <c r="F18" s="6"/>
      <c r="G18" s="6">
        <f t="shared" si="3"/>
        <v>3474.6210888970008</v>
      </c>
      <c r="H18" s="6">
        <f>(1080559.2*1.10231)/1000</f>
        <v>1191.1112117519997</v>
      </c>
      <c r="I18" s="5">
        <f t="shared" si="4"/>
        <v>4665.7323006490005</v>
      </c>
      <c r="J18" s="6">
        <v>428.53899999999999</v>
      </c>
      <c r="K18" s="87"/>
      <c r="L18" s="89"/>
    </row>
    <row r="19" spans="1:12" ht="14.45">
      <c r="A19" s="15" t="s">
        <v>50</v>
      </c>
      <c r="B19" s="41">
        <f>J18</f>
        <v>428.53899999999999</v>
      </c>
      <c r="C19" s="6">
        <v>4152.3280000000004</v>
      </c>
      <c r="D19" s="6">
        <f>(47135.7*1.10231)/1000</f>
        <v>51.958153466999988</v>
      </c>
      <c r="E19" s="6">
        <f t="shared" si="1"/>
        <v>4632.8251534669998</v>
      </c>
      <c r="F19" s="6"/>
      <c r="G19" s="6">
        <f t="shared" si="3"/>
        <v>2878.4011494959996</v>
      </c>
      <c r="H19" s="6">
        <f>(1259954.1*1.10231)/1000</f>
        <v>1388.860003971</v>
      </c>
      <c r="I19" s="5">
        <f>E19-J19</f>
        <v>4267.2611534669995</v>
      </c>
      <c r="J19" s="6">
        <v>365.56400000000002</v>
      </c>
      <c r="K19" s="87"/>
    </row>
    <row r="20" spans="1:12" ht="14.45">
      <c r="A20" s="15" t="s">
        <v>51</v>
      </c>
      <c r="B20" s="41">
        <f>J19</f>
        <v>365.56400000000002</v>
      </c>
      <c r="C20" s="6">
        <v>4362.93</v>
      </c>
      <c r="D20" s="6">
        <f>(44990.2*1.10231)/1000</f>
        <v>49.593147361999989</v>
      </c>
      <c r="E20" s="6">
        <f t="shared" si="1"/>
        <v>4778.0871473620009</v>
      </c>
      <c r="F20" s="6"/>
      <c r="G20" s="6">
        <f>I20-H20</f>
        <v>3114.3274682730016</v>
      </c>
      <c r="H20" s="6">
        <f>(1083371.9*1.10231)/1000</f>
        <v>1194.2116790889997</v>
      </c>
      <c r="I20" s="5">
        <f t="shared" si="4"/>
        <v>4308.5391473620011</v>
      </c>
      <c r="J20" s="6">
        <v>469.548</v>
      </c>
      <c r="K20" s="87"/>
    </row>
    <row r="21" spans="1:12" ht="14.45">
      <c r="A21" s="15" t="s">
        <v>52</v>
      </c>
      <c r="B21" s="41">
        <f>J20</f>
        <v>469.548</v>
      </c>
      <c r="C21" s="6">
        <v>4029.8919999999998</v>
      </c>
      <c r="D21" s="6">
        <f>(49385.1*1.10231)/1000</f>
        <v>54.437689580999994</v>
      </c>
      <c r="E21" s="6">
        <f t="shared" si="1"/>
        <v>4553.8776895809997</v>
      </c>
      <c r="F21" s="6"/>
      <c r="G21" s="6">
        <f t="shared" ref="G21:G22" si="5">I21-H21</f>
        <v>3059.2082030979991</v>
      </c>
      <c r="H21" s="6">
        <f>(1068509.3*1.10231)/1000</f>
        <v>1177.828486483</v>
      </c>
      <c r="I21" s="5">
        <f t="shared" si="4"/>
        <v>4237.0366895809993</v>
      </c>
      <c r="J21" s="6">
        <v>316.84100000000001</v>
      </c>
      <c r="K21" s="87"/>
    </row>
    <row r="22" spans="1:12" ht="14.45">
      <c r="A22" s="15" t="s">
        <v>38</v>
      </c>
      <c r="B22" s="41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1"/>
        <v>4474.1806135830002</v>
      </c>
      <c r="F22" s="6"/>
      <c r="G22" s="6">
        <f t="shared" si="5"/>
        <v>3013.3502875580007</v>
      </c>
      <c r="H22" s="6">
        <f>(988777.5*1.10231)/1000</f>
        <v>1089.9393260249999</v>
      </c>
      <c r="I22" s="5">
        <f t="shared" si="4"/>
        <v>4103.2896135830006</v>
      </c>
      <c r="J22" s="6">
        <v>370.89100000000002</v>
      </c>
      <c r="K22" s="90"/>
    </row>
    <row r="23" spans="1:12" ht="14.45">
      <c r="A23" s="15" t="s">
        <v>28</v>
      </c>
      <c r="B23" s="41"/>
      <c r="C23" s="6">
        <f>SUM(C11:C22)</f>
        <v>52493.097999999998</v>
      </c>
      <c r="D23" s="6">
        <f>(573430.4*1.10231)/1000</f>
        <v>632.09806422399993</v>
      </c>
      <c r="E23" s="6">
        <f>B11+C23+D23</f>
        <v>53436.123064224004</v>
      </c>
      <c r="F23" s="6"/>
      <c r="G23" s="6">
        <f>SUM(G11:G22)</f>
        <v>38401.741384276</v>
      </c>
      <c r="H23" s="6">
        <f>(13302510.8*1.10231131)/1000</f>
        <v>14663.508106237146</v>
      </c>
      <c r="I23" s="5">
        <f>SUM(I11:I22)</f>
        <v>53065.232174455006</v>
      </c>
      <c r="J23" s="6"/>
      <c r="K23" s="87"/>
    </row>
    <row r="24" spans="1:12" ht="14.45">
      <c r="A24" s="15"/>
      <c r="B24" s="41"/>
      <c r="C24" s="6"/>
      <c r="D24" s="6"/>
      <c r="E24" s="6"/>
      <c r="F24" s="6"/>
      <c r="G24" s="6"/>
      <c r="H24" s="6"/>
      <c r="I24" s="6"/>
      <c r="J24" s="6"/>
      <c r="K24" s="87"/>
    </row>
    <row r="25" spans="1:12" ht="14.45">
      <c r="A25" s="31" t="s">
        <v>54</v>
      </c>
      <c r="B25" s="41"/>
      <c r="C25" s="6"/>
      <c r="D25" s="6"/>
      <c r="E25" s="6"/>
      <c r="F25" s="6"/>
      <c r="G25" s="6"/>
      <c r="H25" s="6"/>
      <c r="I25" s="6"/>
      <c r="J25" s="6"/>
      <c r="K25" s="87"/>
    </row>
    <row r="26" spans="1:12" ht="14.45">
      <c r="A26" s="15" t="s">
        <v>39</v>
      </c>
      <c r="B26" s="113">
        <f>J22</f>
        <v>370.89100000000002</v>
      </c>
      <c r="C26" s="114">
        <v>4738.4830000000002</v>
      </c>
      <c r="D26" s="6">
        <f>(43328.6*1.10231)/1000</f>
        <v>47.761549065999994</v>
      </c>
      <c r="E26" s="6">
        <f>SUM(B26:D26)</f>
        <v>5157.1355490659998</v>
      </c>
      <c r="F26" s="6"/>
      <c r="G26" s="6">
        <f>I26-H26</f>
        <v>3508.2654674079995</v>
      </c>
      <c r="H26" s="6">
        <f>(1192251.8*1.10231)/1000</f>
        <v>1314.231081658</v>
      </c>
      <c r="I26" s="103">
        <f>E26-J26</f>
        <v>4822.4965490659997</v>
      </c>
      <c r="J26" s="114">
        <v>334.63900000000001</v>
      </c>
      <c r="K26" s="87"/>
    </row>
    <row r="27" spans="1:12" ht="14.45">
      <c r="A27" s="15" t="s">
        <v>40</v>
      </c>
      <c r="B27" s="41">
        <f>J26</f>
        <v>334.63900000000001</v>
      </c>
      <c r="C27" s="6">
        <v>4706.2079999999996</v>
      </c>
      <c r="D27" s="6">
        <f>(48386*1.10231)/1000</f>
        <v>53.336371659999998</v>
      </c>
      <c r="E27" s="6">
        <f>SUM(B27:D27)</f>
        <v>5094.1833716599995</v>
      </c>
      <c r="F27" s="6"/>
      <c r="G27" s="6">
        <f>I27-H27</f>
        <v>3323.0084968819997</v>
      </c>
      <c r="H27" s="6">
        <f>(1330603.8*1.10231)/1000</f>
        <v>1466.7378747779999</v>
      </c>
      <c r="I27" s="6">
        <f>E27-J27</f>
        <v>4789.7463716599996</v>
      </c>
      <c r="J27" s="6">
        <v>304.43700000000001</v>
      </c>
      <c r="K27" s="87"/>
    </row>
    <row r="28" spans="1:12" ht="14.45">
      <c r="A28" s="15" t="s">
        <v>42</v>
      </c>
      <c r="B28" s="41">
        <f>J27</f>
        <v>304.43700000000001</v>
      </c>
      <c r="C28" s="6">
        <v>4503.8559999999998</v>
      </c>
      <c r="D28" s="107">
        <f>(53080.8*1.10231)/1000</f>
        <v>58.511496647999998</v>
      </c>
      <c r="E28" s="107">
        <f>SUM(B28:D28)</f>
        <v>4866.8044966479993</v>
      </c>
      <c r="F28" s="107"/>
      <c r="G28" s="107">
        <f>I28-H28</f>
        <v>2769.3022748589992</v>
      </c>
      <c r="H28" s="107">
        <f>(1448541.9*1.10231)/1000</f>
        <v>1596.7422217889998</v>
      </c>
      <c r="I28" s="107">
        <f>E28-J28</f>
        <v>4366.044496647999</v>
      </c>
      <c r="J28" s="6">
        <v>500.76</v>
      </c>
      <c r="K28" s="87"/>
    </row>
    <row r="29" spans="1:12" ht="16.149999999999999">
      <c r="A29" s="82" t="s">
        <v>68</v>
      </c>
      <c r="B29" s="72"/>
      <c r="C29" s="72"/>
      <c r="D29" s="72"/>
      <c r="E29" s="72"/>
      <c r="F29" s="72"/>
      <c r="G29" s="72"/>
      <c r="H29" s="72"/>
      <c r="I29" s="72"/>
      <c r="J29" s="72"/>
    </row>
    <row r="30" spans="1:12" ht="14.45">
      <c r="A30" s="15" t="s">
        <v>69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2" ht="13.9">
      <c r="A31" s="20" t="s">
        <v>57</v>
      </c>
      <c r="B31" s="37">
        <f>Contents!A16</f>
        <v>45334</v>
      </c>
      <c r="C31" s="34"/>
      <c r="D31" s="29"/>
      <c r="E31" s="29"/>
      <c r="F31" s="29"/>
      <c r="G31" s="29"/>
      <c r="H31" s="29"/>
      <c r="I31" s="29"/>
      <c r="J31" s="29"/>
    </row>
    <row r="32" spans="1:12">
      <c r="B32" s="43"/>
      <c r="C32" s="44"/>
      <c r="D32" s="43"/>
      <c r="E32" s="84"/>
      <c r="F32" s="43"/>
      <c r="G32" s="43"/>
      <c r="H32" s="45"/>
      <c r="I32" s="84"/>
      <c r="J32" s="43"/>
    </row>
    <row r="33" spans="2:10">
      <c r="B33" s="43"/>
      <c r="C33" s="43"/>
      <c r="D33" s="43"/>
      <c r="E33" s="43"/>
      <c r="F33" s="43"/>
      <c r="G33" s="43"/>
      <c r="H33" s="43"/>
      <c r="I33" s="43"/>
      <c r="J33" s="43"/>
    </row>
  </sheetData>
  <mergeCells count="3">
    <mergeCell ref="G2:I2"/>
    <mergeCell ref="B5:J5"/>
    <mergeCell ref="B2:E2"/>
  </mergeCells>
  <phoneticPr fontId="39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3"/>
  <sheetViews>
    <sheetView showGridLines="0" zoomScaleNormal="100" workbookViewId="0">
      <pane xSplit="1" ySplit="1" topLeftCell="B2" activePane="bottomRight" state="frozen"/>
      <selection pane="bottomRight" activeCell="G4" sqref="G4"/>
      <selection pane="bottomLeft" activeCell="B1" sqref="B1"/>
      <selection pane="topRight" activeCell="B1" sqref="B1"/>
    </sheetView>
  </sheetViews>
  <sheetFormatPr defaultColWidth="9.140625" defaultRowHeight="13.15"/>
  <cols>
    <col min="1" max="1" width="15.42578125" customWidth="1"/>
    <col min="2" max="2" width="12.28515625" bestFit="1" customWidth="1"/>
    <col min="3" max="3" width="12.140625" bestFit="1" customWidth="1"/>
    <col min="4" max="4" width="11" bestFit="1" customWidth="1"/>
    <col min="5" max="5" width="12.28515625" customWidth="1"/>
    <col min="6" max="6" width="3.7109375" customWidth="1"/>
    <col min="7" max="7" width="11.5703125" bestFit="1" customWidth="1"/>
    <col min="8" max="8" width="12.28515625" customWidth="1"/>
    <col min="9" max="9" width="12.7109375" customWidth="1"/>
    <col min="10" max="10" width="9.7109375" bestFit="1" customWidth="1"/>
    <col min="11" max="11" width="11.5703125" bestFit="1" customWidth="1"/>
    <col min="12" max="12" width="12.5703125" bestFit="1" customWidth="1"/>
    <col min="14" max="14" width="11.140625" customWidth="1"/>
  </cols>
  <sheetData>
    <row r="1" spans="1:20" ht="13.9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9">
      <c r="A2" s="15"/>
      <c r="B2" s="171" t="s">
        <v>58</v>
      </c>
      <c r="C2" s="171"/>
      <c r="D2" s="171"/>
      <c r="E2" s="171"/>
      <c r="F2" s="15"/>
      <c r="G2" s="171" t="s">
        <v>59</v>
      </c>
      <c r="H2" s="171"/>
      <c r="I2" s="171"/>
      <c r="J2" s="168"/>
      <c r="K2" s="168"/>
      <c r="L2" s="15"/>
    </row>
    <row r="3" spans="1:20" ht="13.9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68" t="s">
        <v>64</v>
      </c>
      <c r="H3" s="168"/>
      <c r="I3" s="168"/>
      <c r="J3" s="17" t="s">
        <v>72</v>
      </c>
      <c r="K3" s="17" t="s">
        <v>63</v>
      </c>
      <c r="L3" s="17" t="s">
        <v>60</v>
      </c>
    </row>
    <row r="4" spans="1:20" ht="16.149999999999999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5">
      <c r="A5" s="15"/>
      <c r="B5" s="173" t="s">
        <v>75</v>
      </c>
      <c r="C5" s="173"/>
      <c r="D5" s="174"/>
      <c r="E5" s="173"/>
      <c r="F5" s="173"/>
      <c r="G5" s="173"/>
      <c r="H5" s="173"/>
      <c r="I5" s="173"/>
      <c r="J5" s="173"/>
      <c r="K5" s="173"/>
      <c r="L5" s="173"/>
    </row>
    <row r="6" spans="1:20" ht="16.149999999999999">
      <c r="A6" s="15" t="s">
        <v>76</v>
      </c>
      <c r="B6" s="40">
        <v>2131.2330000000002</v>
      </c>
      <c r="C6" s="40">
        <v>26155.172999999999</v>
      </c>
      <c r="D6" s="111">
        <f>(137422.8*2204.622)/1000000</f>
        <v>302.9653281816</v>
      </c>
      <c r="E6" s="40">
        <f>SUM(B6:D6)</f>
        <v>28589.371328181598</v>
      </c>
      <c r="F6" s="40"/>
      <c r="G6" s="40">
        <f>E6-L6-J6</f>
        <v>24827.303827433996</v>
      </c>
      <c r="H6" s="40">
        <v>10378.75</v>
      </c>
      <c r="I6" s="28">
        <f>G6-H6</f>
        <v>14448.553827433996</v>
      </c>
      <c r="J6" s="28">
        <f>(803275.8*2204.622)/1000000</f>
        <v>1770.9195007476001</v>
      </c>
      <c r="K6" s="40">
        <f>G6+J6</f>
        <v>26598.223328181597</v>
      </c>
      <c r="L6" s="40">
        <v>1991.1479999999999</v>
      </c>
    </row>
    <row r="7" spans="1:20" ht="16.149999999999999">
      <c r="A7" s="15" t="s">
        <v>77</v>
      </c>
      <c r="B7" s="40">
        <f>L6</f>
        <v>1991.1479999999999</v>
      </c>
      <c r="C7" s="40">
        <f>C23</f>
        <v>26227.309000000001</v>
      </c>
      <c r="D7" s="40">
        <f>D23</f>
        <v>375.69933535679996</v>
      </c>
      <c r="E7" s="40">
        <f>E23</f>
        <v>28594.156335356802</v>
      </c>
      <c r="F7" s="40"/>
      <c r="G7" s="40">
        <f>K7-J7</f>
        <v>26613.846401643801</v>
      </c>
      <c r="H7" s="40">
        <f>H23</f>
        <v>12490.714000000002</v>
      </c>
      <c r="I7" s="28">
        <f>G7-H7</f>
        <v>14123.132401643799</v>
      </c>
      <c r="J7" s="40">
        <f>J23</f>
        <v>378.07393371299997</v>
      </c>
      <c r="K7" s="40">
        <f>E7-L7</f>
        <v>26991.920335356801</v>
      </c>
      <c r="L7" s="40">
        <f>L22</f>
        <v>1602.2360000000001</v>
      </c>
      <c r="M7" s="110"/>
      <c r="N7" s="110"/>
      <c r="O7" s="110"/>
      <c r="P7" s="110"/>
      <c r="Q7" s="110"/>
      <c r="R7" s="110"/>
      <c r="S7" s="110"/>
      <c r="T7" s="110"/>
    </row>
    <row r="8" spans="1:20" ht="16.149999999999999">
      <c r="A8" s="15" t="s">
        <v>36</v>
      </c>
      <c r="B8" s="40">
        <f>L7</f>
        <v>1602.2360000000001</v>
      </c>
      <c r="C8" s="40">
        <v>27025</v>
      </c>
      <c r="D8" s="40">
        <v>450</v>
      </c>
      <c r="E8" s="40">
        <f>SUM(B8:D8)</f>
        <v>29077.236000000001</v>
      </c>
      <c r="F8" s="40"/>
      <c r="G8" s="40">
        <f>SUM(H8:I8)</f>
        <v>27200</v>
      </c>
      <c r="H8" s="40">
        <v>13000</v>
      </c>
      <c r="I8" s="28">
        <v>14200</v>
      </c>
      <c r="J8" s="40">
        <v>300</v>
      </c>
      <c r="K8" s="40">
        <f>G8+J8</f>
        <v>27500</v>
      </c>
      <c r="L8" s="40">
        <f>E8-K8</f>
        <v>1577.2360000000008</v>
      </c>
    </row>
    <row r="9" spans="1:20" ht="13.9">
      <c r="A9" s="15"/>
      <c r="B9" s="40"/>
      <c r="C9" s="40"/>
      <c r="D9" s="40"/>
      <c r="E9" s="40"/>
      <c r="F9" s="40"/>
      <c r="G9" s="40"/>
      <c r="H9" s="40"/>
      <c r="I9" s="81"/>
      <c r="J9" s="40"/>
      <c r="K9" s="40"/>
      <c r="L9" s="40"/>
    </row>
    <row r="10" spans="1:20" ht="13.9">
      <c r="A10" s="31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9">
      <c r="A11" s="15" t="s">
        <v>39</v>
      </c>
      <c r="B11" s="5">
        <f>L6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 t="shared" ref="G11:G18" si="1">K11-J11</f>
        <v>2241.8177746275996</v>
      </c>
      <c r="H11" s="112">
        <v>906.40899999999999</v>
      </c>
      <c r="I11" s="6">
        <f t="shared" ref="I11:I17" si="2">G11-H11</f>
        <v>1335.4087746275995</v>
      </c>
      <c r="J11" s="6">
        <f>(10675.6*2204.622)/1000000</f>
        <v>23.5356626232</v>
      </c>
      <c r="K11" s="6">
        <f t="shared" ref="K11:K17" si="3">E11-L11</f>
        <v>2265.3534372507997</v>
      </c>
      <c r="L11" s="5">
        <v>2093.623</v>
      </c>
      <c r="N11" s="89"/>
    </row>
    <row r="12" spans="1:20" ht="13.9">
      <c r="A12" s="15" t="s">
        <v>40</v>
      </c>
      <c r="B12" s="5">
        <f t="shared" ref="B12:B18" si="4">L11</f>
        <v>2093.623</v>
      </c>
      <c r="C12" s="6">
        <v>2199.962</v>
      </c>
      <c r="D12" s="6">
        <f>(11744.6*2204.622)/1000000</f>
        <v>25.8924035412</v>
      </c>
      <c r="E12" s="6">
        <f t="shared" si="0"/>
        <v>4319.4774035412001</v>
      </c>
      <c r="F12" s="5"/>
      <c r="G12" s="5">
        <f t="shared" si="1"/>
        <v>2183.7493667224003</v>
      </c>
      <c r="H12" s="112">
        <v>943.34199999999998</v>
      </c>
      <c r="I12" s="6">
        <f t="shared" si="2"/>
        <v>1240.4073667224002</v>
      </c>
      <c r="J12" s="6">
        <f>(10635.4*2204.622)/1000000</f>
        <v>23.447036818799997</v>
      </c>
      <c r="K12" s="6">
        <f t="shared" si="3"/>
        <v>2207.1964035412002</v>
      </c>
      <c r="L12" s="5">
        <v>2112.2809999999999</v>
      </c>
      <c r="N12" s="89"/>
    </row>
    <row r="13" spans="1:20" ht="13.9">
      <c r="A13" s="15" t="s">
        <v>42</v>
      </c>
      <c r="B13" s="5">
        <f t="shared" si="4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1"/>
        <v>1989.2481907986005</v>
      </c>
      <c r="H13" s="112">
        <v>885.65899999999999</v>
      </c>
      <c r="I13" s="6">
        <f t="shared" si="2"/>
        <v>1103.5891907986006</v>
      </c>
      <c r="J13" s="6">
        <f>(15806.1*2204.622)/1000000</f>
        <v>34.846475794199996</v>
      </c>
      <c r="K13" s="6">
        <f t="shared" si="3"/>
        <v>2024.0946665928004</v>
      </c>
      <c r="L13" s="5">
        <v>2306.1469999999999</v>
      </c>
      <c r="N13" s="89"/>
    </row>
    <row r="14" spans="1:20" ht="13.9">
      <c r="A14" s="15" t="s">
        <v>43</v>
      </c>
      <c r="B14" s="5">
        <f t="shared" si="4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1"/>
        <v>2211.8930392041998</v>
      </c>
      <c r="H14" s="112">
        <v>940.87400000000002</v>
      </c>
      <c r="I14" s="6">
        <f t="shared" si="2"/>
        <v>1271.0190392041998</v>
      </c>
      <c r="J14" s="6">
        <f>(6989.1*2204.622)/1000000</f>
        <v>15.408323620199999</v>
      </c>
      <c r="K14" s="6">
        <f t="shared" si="3"/>
        <v>2227.3013628243998</v>
      </c>
      <c r="L14" s="5">
        <v>2356.4009999999998</v>
      </c>
      <c r="N14" s="89"/>
    </row>
    <row r="15" spans="1:20" ht="13.9">
      <c r="A15" s="15" t="s">
        <v>44</v>
      </c>
      <c r="B15" s="5">
        <f t="shared" si="4"/>
        <v>2356.4009999999998</v>
      </c>
      <c r="C15" s="6">
        <v>2091.2179999999998</v>
      </c>
      <c r="D15" s="6">
        <f>(15213.2*2204.622)/1000000</f>
        <v>33.539355410399999</v>
      </c>
      <c r="E15" s="6">
        <f t="shared" si="0"/>
        <v>4481.1583554104</v>
      </c>
      <c r="F15" s="5"/>
      <c r="G15" s="5">
        <f t="shared" si="1"/>
        <v>2091.4034745958002</v>
      </c>
      <c r="H15" s="112">
        <v>909.98699999999997</v>
      </c>
      <c r="I15" s="6">
        <f t="shared" si="2"/>
        <v>1181.4164745958001</v>
      </c>
      <c r="J15" s="6">
        <f>(11774.3*2204.622)/1000000</f>
        <v>25.957880814599999</v>
      </c>
      <c r="K15" s="6">
        <f t="shared" si="3"/>
        <v>2117.3613554103999</v>
      </c>
      <c r="L15" s="5">
        <v>2363.797</v>
      </c>
      <c r="N15" s="89"/>
    </row>
    <row r="16" spans="1:20" ht="13.9">
      <c r="A16" s="15" t="s">
        <v>46</v>
      </c>
      <c r="B16" s="5">
        <f t="shared" si="4"/>
        <v>2363.797</v>
      </c>
      <c r="C16" s="6">
        <v>2339.5810000000001</v>
      </c>
      <c r="D16" s="6">
        <f>(15180.8*2204.622)/1000000</f>
        <v>33.467925657599999</v>
      </c>
      <c r="E16" s="6">
        <f t="shared" si="0"/>
        <v>4736.8459256576007</v>
      </c>
      <c r="F16" s="5"/>
      <c r="G16" s="5">
        <f t="shared" si="1"/>
        <v>2336.5298038548008</v>
      </c>
      <c r="H16" s="112">
        <v>952.70299999999997</v>
      </c>
      <c r="I16" s="6">
        <f t="shared" si="2"/>
        <v>1383.8268038548008</v>
      </c>
      <c r="J16" s="6">
        <f>(5807.4*2204.622)/1000000</f>
        <v>12.803121802799998</v>
      </c>
      <c r="K16" s="6">
        <f t="shared" si="3"/>
        <v>2349.3329256576008</v>
      </c>
      <c r="L16" s="5">
        <v>2387.5129999999999</v>
      </c>
      <c r="N16" s="89"/>
    </row>
    <row r="17" spans="1:14" ht="13.9">
      <c r="A17" s="15" t="s">
        <v>47</v>
      </c>
      <c r="B17" s="5">
        <f t="shared" si="4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1"/>
        <v>2058.2364235171999</v>
      </c>
      <c r="H17" s="112">
        <v>926.59799999999996</v>
      </c>
      <c r="I17" s="6">
        <f t="shared" si="2"/>
        <v>1131.6384235172</v>
      </c>
      <c r="J17" s="6">
        <f>(27498.1*2204.622)/1000000</f>
        <v>60.62291621819999</v>
      </c>
      <c r="K17" s="6">
        <f t="shared" si="3"/>
        <v>2118.8593397353998</v>
      </c>
      <c r="L17" s="5">
        <v>2539.6790000000001</v>
      </c>
      <c r="N17" s="89"/>
    </row>
    <row r="18" spans="1:14" ht="13.9">
      <c r="A18" s="15" t="s">
        <v>48</v>
      </c>
      <c r="B18" s="5">
        <f t="shared" si="4"/>
        <v>2539.6790000000001</v>
      </c>
      <c r="C18" s="6">
        <v>2228.3719999999998</v>
      </c>
      <c r="D18" s="6">
        <f>(24574.7*2204.622)/1000000</f>
        <v>54.177924263399994</v>
      </c>
      <c r="E18" s="6">
        <f t="shared" si="0"/>
        <v>4822.2289242633997</v>
      </c>
      <c r="F18" s="5"/>
      <c r="G18" s="5">
        <f t="shared" si="1"/>
        <v>2385.7924694315993</v>
      </c>
      <c r="H18" s="112">
        <v>1140.8710000000001</v>
      </c>
      <c r="I18" s="6">
        <f t="shared" ref="I18:I23" si="5">G18-H18</f>
        <v>1244.9214694315992</v>
      </c>
      <c r="J18" s="6">
        <f>(22776.9*2204.622)/1000000</f>
        <v>50.214454831799998</v>
      </c>
      <c r="K18" s="6">
        <f>E18-L18</f>
        <v>2436.0069242633995</v>
      </c>
      <c r="L18" s="5">
        <v>2386.2220000000002</v>
      </c>
      <c r="N18" s="89"/>
    </row>
    <row r="19" spans="1:14" ht="13.9">
      <c r="A19" s="15" t="s">
        <v>50</v>
      </c>
      <c r="B19" s="5">
        <f>L18</f>
        <v>2386.2220000000002</v>
      </c>
      <c r="C19" s="6">
        <v>2074.857</v>
      </c>
      <c r="D19" s="6">
        <f>(7900.8*2204.622)/1000000</f>
        <v>17.418277497600002</v>
      </c>
      <c r="E19" s="6">
        <f>SUM(B19:D19)</f>
        <v>4478.4972774975995</v>
      </c>
      <c r="F19" s="5"/>
      <c r="G19" s="5">
        <f>K19-J19</f>
        <v>2235.5639103903995</v>
      </c>
      <c r="H19" s="112">
        <v>1206.92</v>
      </c>
      <c r="I19" s="6">
        <f t="shared" si="5"/>
        <v>1028.6439103903995</v>
      </c>
      <c r="J19" s="6">
        <f>(18097.6*2204.622)/1000000</f>
        <v>39.898367107199995</v>
      </c>
      <c r="K19" s="6">
        <f>E19-L19</f>
        <v>2275.4622774975996</v>
      </c>
      <c r="L19" s="5">
        <v>2203.0349999999999</v>
      </c>
    </row>
    <row r="20" spans="1:14" ht="13.9">
      <c r="A20" s="15" t="s">
        <v>51</v>
      </c>
      <c r="B20" s="5">
        <f>L19</f>
        <v>2203.0349999999999</v>
      </c>
      <c r="C20" s="6">
        <v>2180.0360000000001</v>
      </c>
      <c r="D20" s="6">
        <f>(12459.1*2204.622)/1000000</f>
        <v>27.4676059602</v>
      </c>
      <c r="E20" s="6">
        <f>SUM(B20:D20)</f>
        <v>4410.5386059601997</v>
      </c>
      <c r="F20" s="5"/>
      <c r="G20" s="5">
        <f>K20-J20</f>
        <v>2237.1172955073994</v>
      </c>
      <c r="H20" s="112">
        <v>1272.7660000000001</v>
      </c>
      <c r="I20" s="103">
        <f t="shared" si="5"/>
        <v>964.3512955073993</v>
      </c>
      <c r="J20" s="6">
        <f>(16882.4*2204.622)/1000000</f>
        <v>37.219310452799995</v>
      </c>
      <c r="K20" s="6">
        <f>E20-L20</f>
        <v>2274.3366059601994</v>
      </c>
      <c r="L20" s="5">
        <v>2136.2020000000002</v>
      </c>
    </row>
    <row r="21" spans="1:14" ht="13.9">
      <c r="A21" s="15" t="s">
        <v>52</v>
      </c>
      <c r="B21" s="5">
        <f>L20</f>
        <v>2136.2020000000002</v>
      </c>
      <c r="C21" s="105">
        <v>2014.153</v>
      </c>
      <c r="D21" s="6">
        <f>(21101.4*2204.622)/1000000</f>
        <v>46.520610670800004</v>
      </c>
      <c r="E21" s="6">
        <f>SUM(B21:D21)</f>
        <v>4196.8756106708006</v>
      </c>
      <c r="F21" s="5"/>
      <c r="G21" s="5">
        <f>K21-J21</f>
        <v>2398.3625488780008</v>
      </c>
      <c r="H21" s="112">
        <v>1197.1020000000001</v>
      </c>
      <c r="I21" s="107">
        <f t="shared" si="5"/>
        <v>1201.2605488780007</v>
      </c>
      <c r="J21" s="6">
        <f>(11852.4*2204.622)/1000000</f>
        <v>26.130061792799999</v>
      </c>
      <c r="K21" s="6">
        <f>E21-L21</f>
        <v>2424.4926106708008</v>
      </c>
      <c r="L21" s="5">
        <v>1772.383</v>
      </c>
    </row>
    <row r="22" spans="1:14" ht="13.9">
      <c r="A22" s="15" t="s">
        <v>38</v>
      </c>
      <c r="B22" s="5">
        <f>L21</f>
        <v>1772.383</v>
      </c>
      <c r="C22" s="105">
        <v>2077.0740000000001</v>
      </c>
      <c r="D22" s="6">
        <f>(11295.1*2204.622)/1000000</f>
        <v>24.9014259522</v>
      </c>
      <c r="E22" s="6">
        <f>SUM(B22:D22)</f>
        <v>3874.3584259522004</v>
      </c>
      <c r="F22" s="5"/>
      <c r="G22" s="5">
        <f>K22-J22</f>
        <v>2244.1323245780004</v>
      </c>
      <c r="H22" s="112">
        <v>1207.4829999999999</v>
      </c>
      <c r="I22" s="107">
        <f t="shared" si="5"/>
        <v>1036.6493245780005</v>
      </c>
      <c r="J22" s="6">
        <f>(12696.1*2204.622)/1000000</f>
        <v>27.990101374199998</v>
      </c>
      <c r="K22" s="6">
        <f>E22-L22</f>
        <v>2272.1224259522005</v>
      </c>
      <c r="L22" s="5">
        <v>1602.2360000000001</v>
      </c>
    </row>
    <row r="23" spans="1:14" ht="13.9">
      <c r="A23" s="15" t="s">
        <v>28</v>
      </c>
      <c r="B23" s="5"/>
      <c r="C23" s="105">
        <f>SUM(C11:C22)</f>
        <v>26227.309000000001</v>
      </c>
      <c r="D23" s="6">
        <f>(170414.4*2204.622)/1000000</f>
        <v>375.69933535679996</v>
      </c>
      <c r="E23" s="6">
        <f>B11+C23+D23</f>
        <v>28594.156335356802</v>
      </c>
      <c r="F23" s="5"/>
      <c r="G23" s="5">
        <f>SUM(G11:G22)</f>
        <v>26613.846622106001</v>
      </c>
      <c r="H23" s="112">
        <f>SUM(H11:H22)</f>
        <v>12490.714000000002</v>
      </c>
      <c r="I23" s="107">
        <f t="shared" si="5"/>
        <v>14123.132622105999</v>
      </c>
      <c r="J23" s="6">
        <f>(171491.5*2204.622)/1000000</f>
        <v>378.07393371299997</v>
      </c>
      <c r="K23" s="6">
        <f>SUM(K11:K22)</f>
        <v>26991.920335356801</v>
      </c>
      <c r="L23" s="5"/>
    </row>
    <row r="24" spans="1:14" ht="13.9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9">
      <c r="A25" s="31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9">
      <c r="A26" s="15" t="s">
        <v>39</v>
      </c>
      <c r="B26" s="5">
        <f>L22</f>
        <v>1602.2360000000001</v>
      </c>
      <c r="C26" s="6">
        <v>2375.654</v>
      </c>
      <c r="D26" s="6">
        <f>(20587.1*2204.622)/1000000</f>
        <v>45.386773576199992</v>
      </c>
      <c r="E26" s="6">
        <f t="shared" ref="E26:E27" si="6">SUM(B26:D26)</f>
        <v>4023.2767735762004</v>
      </c>
      <c r="F26" s="5"/>
      <c r="G26" s="5">
        <f>K26-J26</f>
        <v>2503.6785816766005</v>
      </c>
      <c r="H26" s="146">
        <v>1061.944</v>
      </c>
      <c r="I26" s="107">
        <f t="shared" ref="I26" si="7">G26-H26</f>
        <v>1441.7345816766006</v>
      </c>
      <c r="J26" s="6">
        <f>(5891.8*2204.622)/1000000</f>
        <v>12.9891918996</v>
      </c>
      <c r="K26" s="6">
        <f>E26-L26</f>
        <v>2516.6677735762005</v>
      </c>
      <c r="L26" s="115">
        <v>1506.6089999999999</v>
      </c>
    </row>
    <row r="27" spans="1:14" ht="13.9">
      <c r="A27" s="15" t="s">
        <v>40</v>
      </c>
      <c r="B27" s="5">
        <f>L26</f>
        <v>1506.6089999999999</v>
      </c>
      <c r="C27" s="6">
        <v>2324.6680000000001</v>
      </c>
      <c r="D27" s="6">
        <f>(16757.1*2204.622)/1000000</f>
        <v>36.943071316199998</v>
      </c>
      <c r="E27" s="6">
        <f t="shared" si="6"/>
        <v>3868.2200713162001</v>
      </c>
      <c r="F27" s="6"/>
      <c r="G27" s="6">
        <f>K27-J27</f>
        <v>2255.317405579</v>
      </c>
      <c r="H27" s="161">
        <v>1062.1690000000001</v>
      </c>
      <c r="I27" s="107">
        <f>G27-H27</f>
        <v>1193.1484055789999</v>
      </c>
      <c r="J27" s="6">
        <f>(6262.6*2204.622)/1000000</f>
        <v>13.806665737199999</v>
      </c>
      <c r="K27" s="6">
        <f>E27-L27</f>
        <v>2269.1240713162001</v>
      </c>
      <c r="L27" s="6">
        <v>1599.096</v>
      </c>
    </row>
    <row r="28" spans="1:14" ht="13.9">
      <c r="A28" s="15" t="s">
        <v>42</v>
      </c>
      <c r="B28" s="5">
        <f>L27</f>
        <v>1599.096</v>
      </c>
      <c r="C28" s="6">
        <v>2376.2370000000001</v>
      </c>
      <c r="D28" s="6">
        <f>(21904*2204.622)/1000000</f>
        <v>48.290040287999993</v>
      </c>
      <c r="E28" s="6">
        <f>SUM(B28:D28)</f>
        <v>4023.6230402880001</v>
      </c>
      <c r="F28" s="6"/>
      <c r="G28" s="107">
        <f>K28-J28</f>
        <v>2187.1307621506003</v>
      </c>
      <c r="H28" s="6" t="s">
        <v>78</v>
      </c>
      <c r="I28" s="6" t="s">
        <v>78</v>
      </c>
      <c r="J28" s="6">
        <f>(5741.7*2204.622)/1000000</f>
        <v>12.6582781374</v>
      </c>
      <c r="K28" s="6">
        <f>E28-L28</f>
        <v>2199.7890402880003</v>
      </c>
      <c r="L28" s="6">
        <v>1823.8340000000001</v>
      </c>
    </row>
    <row r="29" spans="1:14" ht="16.149999999999999">
      <c r="A29" s="82" t="s">
        <v>79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4" ht="14.45">
      <c r="A30" s="15" t="s">
        <v>69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4" ht="13.9">
      <c r="A31" s="20" t="s">
        <v>57</v>
      </c>
      <c r="B31" s="37">
        <f>Contents!A16</f>
        <v>45334</v>
      </c>
      <c r="K31" s="35"/>
    </row>
    <row r="32" spans="1:14">
      <c r="E32" s="35"/>
    </row>
    <row r="33" spans="8:8">
      <c r="H33" s="94"/>
    </row>
  </sheetData>
  <mergeCells count="3">
    <mergeCell ref="B5:L5"/>
    <mergeCell ref="G2:I2"/>
    <mergeCell ref="B2:E2"/>
  </mergeCells>
  <phoneticPr fontId="39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Normal="100" workbookViewId="0">
      <selection activeCell="U28" sqref="U28"/>
    </sheetView>
  </sheetViews>
  <sheetFormatPr defaultColWidth="9.140625" defaultRowHeight="13.15"/>
  <cols>
    <col min="1" max="1" width="15.28515625" customWidth="1"/>
    <col min="2" max="2" width="13.140625" customWidth="1"/>
    <col min="3" max="3" width="12.140625" customWidth="1"/>
    <col min="4" max="4" width="16.5703125" customWidth="1"/>
    <col min="5" max="5" width="15.28515625" customWidth="1"/>
    <col min="6" max="6" width="11.42578125" customWidth="1"/>
    <col min="7" max="7" width="11.7109375" customWidth="1"/>
    <col min="8" max="8" width="14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4" width="9.7109375" bestFit="1" customWidth="1"/>
    <col min="15" max="15" width="8.28515625" bestFit="1" customWidth="1"/>
    <col min="19" max="19" width="17.42578125" bestFit="1" customWidth="1"/>
    <col min="21" max="21" width="28.28515625" bestFit="1" customWidth="1"/>
  </cols>
  <sheetData>
    <row r="1" spans="1:15" ht="13.9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9">
      <c r="A2" s="15"/>
      <c r="B2" s="171" t="s">
        <v>58</v>
      </c>
      <c r="C2" s="171"/>
      <c r="D2" s="171"/>
      <c r="E2" s="171"/>
      <c r="F2" s="72"/>
      <c r="G2" s="171" t="s">
        <v>59</v>
      </c>
      <c r="H2" s="171"/>
      <c r="I2" s="171"/>
      <c r="J2" s="171"/>
      <c r="K2" s="72"/>
      <c r="L2" s="15"/>
      <c r="M2" s="15"/>
      <c r="N2" s="15"/>
      <c r="O2" s="15"/>
    </row>
    <row r="3" spans="1:15" ht="13.9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9">
      <c r="A4" s="21" t="s">
        <v>80</v>
      </c>
      <c r="B4" s="23" t="s">
        <v>81</v>
      </c>
      <c r="C4" s="58" t="s">
        <v>26</v>
      </c>
      <c r="D4" s="25" t="s">
        <v>71</v>
      </c>
      <c r="E4" s="23" t="s">
        <v>82</v>
      </c>
      <c r="F4" s="24"/>
      <c r="G4" s="23" t="s">
        <v>83</v>
      </c>
      <c r="H4" s="23" t="s">
        <v>30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5">
      <c r="A5" s="15"/>
      <c r="B5" s="175" t="s">
        <v>86</v>
      </c>
      <c r="C5" s="175"/>
      <c r="D5" s="175"/>
      <c r="E5" s="175"/>
      <c r="F5" s="175"/>
      <c r="G5" s="175"/>
      <c r="H5" s="175"/>
      <c r="I5" s="175"/>
      <c r="J5" s="175"/>
      <c r="K5" s="175"/>
      <c r="L5" s="15"/>
      <c r="M5" s="15"/>
      <c r="N5" s="15"/>
      <c r="O5" s="15"/>
    </row>
    <row r="6" spans="1:15" ht="13.9">
      <c r="A6" s="15" t="s">
        <v>34</v>
      </c>
      <c r="B6" s="74">
        <v>395.43068871102241</v>
      </c>
      <c r="C6" s="74">
        <v>5323</v>
      </c>
      <c r="D6" s="131">
        <v>24.765738432900992</v>
      </c>
      <c r="E6" s="74">
        <f>B6+C6+D6</f>
        <v>5743.1964271439238</v>
      </c>
      <c r="F6" s="75"/>
      <c r="G6" s="74">
        <v>1556.9839999999999</v>
      </c>
      <c r="H6" s="132">
        <v>292.99103926406997</v>
      </c>
      <c r="I6" s="74">
        <f>J6-G6-H6</f>
        <v>3497.8003878798536</v>
      </c>
      <c r="J6" s="74">
        <f>E6-K6</f>
        <v>5347.7754271439235</v>
      </c>
      <c r="K6" s="74">
        <v>395.42099999999999</v>
      </c>
      <c r="L6" s="133"/>
      <c r="M6" s="15"/>
      <c r="N6" s="133"/>
      <c r="O6" s="15"/>
    </row>
    <row r="7" spans="1:15" ht="16.149999999999999">
      <c r="A7" s="15" t="s">
        <v>35</v>
      </c>
      <c r="B7" s="74">
        <f>K6</f>
        <v>395.42099999999999</v>
      </c>
      <c r="C7" s="74">
        <v>4415</v>
      </c>
      <c r="D7" s="131">
        <v>101.14</v>
      </c>
      <c r="E7" s="74">
        <f>B7+C7+D7</f>
        <v>4911.5610000000006</v>
      </c>
      <c r="F7" s="75"/>
      <c r="G7" s="74">
        <v>1389.82</v>
      </c>
      <c r="H7" s="132">
        <v>185.60618629762095</v>
      </c>
      <c r="I7" s="74">
        <f>J7-G7-H7</f>
        <v>2950.9998137023799</v>
      </c>
      <c r="J7" s="74">
        <f>E7-K7</f>
        <v>4526.4260000000004</v>
      </c>
      <c r="K7" s="134">
        <v>385.13499999999999</v>
      </c>
      <c r="L7" s="133"/>
      <c r="M7" s="15"/>
      <c r="N7" s="133"/>
      <c r="O7" s="15"/>
    </row>
    <row r="8" spans="1:15" ht="16.149999999999999">
      <c r="A8" s="14" t="s">
        <v>36</v>
      </c>
      <c r="B8" s="135">
        <f>K7</f>
        <v>385.13499999999999</v>
      </c>
      <c r="C8" s="135">
        <v>3788</v>
      </c>
      <c r="D8" s="136">
        <v>50</v>
      </c>
      <c r="E8" s="135">
        <f>B8+C8+D8</f>
        <v>4223.1350000000002</v>
      </c>
      <c r="F8" s="137"/>
      <c r="G8" s="135">
        <v>1350</v>
      </c>
      <c r="H8" s="138">
        <v>325</v>
      </c>
      <c r="I8" s="135">
        <v>2205</v>
      </c>
      <c r="J8" s="135">
        <f>SUM(G8:I8)</f>
        <v>3880</v>
      </c>
      <c r="K8" s="135">
        <f>E8-J8</f>
        <v>343.13500000000022</v>
      </c>
      <c r="L8" s="15"/>
      <c r="M8" s="15"/>
      <c r="N8" s="15"/>
      <c r="O8" s="15"/>
    </row>
    <row r="9" spans="1:15" ht="16.149999999999999">
      <c r="A9" s="42" t="s">
        <v>87</v>
      </c>
      <c r="B9" s="15"/>
      <c r="C9" s="73"/>
      <c r="D9" s="73"/>
      <c r="E9" s="73"/>
      <c r="F9" s="73"/>
      <c r="G9" s="76"/>
      <c r="H9" s="73"/>
      <c r="I9" s="73"/>
      <c r="J9" s="73"/>
      <c r="K9" s="15"/>
      <c r="L9" s="15"/>
      <c r="M9" s="15"/>
      <c r="N9" s="15"/>
      <c r="O9" s="15"/>
    </row>
    <row r="10" spans="1:15" ht="14.45">
      <c r="A10" s="15" t="s">
        <v>88</v>
      </c>
      <c r="B10" s="29"/>
      <c r="C10" s="34"/>
      <c r="D10" s="15"/>
      <c r="E10" s="29"/>
      <c r="F10" s="29"/>
      <c r="G10" s="29"/>
      <c r="H10" s="29"/>
      <c r="I10" s="29"/>
      <c r="J10" s="29"/>
      <c r="K10" s="15"/>
      <c r="L10" s="15"/>
      <c r="M10" s="15"/>
      <c r="N10" s="15"/>
      <c r="O10" s="15"/>
    </row>
    <row r="11" spans="1:15" ht="14.45">
      <c r="A11" s="15" t="s">
        <v>89</v>
      </c>
      <c r="B11" s="29"/>
      <c r="C11" s="34"/>
      <c r="D11" s="15"/>
      <c r="E11" s="29"/>
      <c r="F11" s="29"/>
      <c r="G11" s="29"/>
      <c r="H11" s="29"/>
      <c r="I11" s="29"/>
      <c r="J11" s="29"/>
      <c r="K11" s="15"/>
      <c r="L11" s="15"/>
      <c r="M11" s="15"/>
      <c r="N11" s="15"/>
      <c r="O11" s="15"/>
    </row>
    <row r="12" spans="1:15" ht="13.9">
      <c r="A12" s="15"/>
      <c r="B12" s="29"/>
      <c r="C12" s="34"/>
      <c r="D12" s="15"/>
      <c r="E12" s="29"/>
      <c r="F12" s="29"/>
      <c r="G12" s="29"/>
      <c r="H12" s="29"/>
      <c r="I12" s="29"/>
      <c r="J12" s="29"/>
      <c r="K12" s="15"/>
      <c r="L12" s="15"/>
      <c r="M12" s="15"/>
      <c r="N12" s="15"/>
      <c r="O12" s="15"/>
    </row>
    <row r="13" spans="1:15" ht="13.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9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9">
      <c r="A15" s="15"/>
      <c r="B15" s="171" t="s">
        <v>58</v>
      </c>
      <c r="C15" s="171"/>
      <c r="D15" s="171"/>
      <c r="E15" s="171"/>
      <c r="F15" s="15"/>
      <c r="G15" s="171" t="s">
        <v>59</v>
      </c>
      <c r="H15" s="171"/>
      <c r="I15" s="171"/>
      <c r="J15" s="15"/>
      <c r="K15" s="15"/>
      <c r="L15" s="15"/>
      <c r="M15" s="15"/>
      <c r="N15" s="15"/>
      <c r="O15" s="15"/>
    </row>
    <row r="16" spans="1:15" ht="13.9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9">
      <c r="A17" s="21" t="s">
        <v>61</v>
      </c>
      <c r="B17" s="23" t="s">
        <v>62</v>
      </c>
      <c r="C17" s="58" t="s">
        <v>26</v>
      </c>
      <c r="D17" s="25" t="s">
        <v>71</v>
      </c>
      <c r="E17" s="23" t="s">
        <v>85</v>
      </c>
      <c r="F17" s="24"/>
      <c r="G17" s="74" t="s">
        <v>90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5">
      <c r="A18" s="15"/>
      <c r="B18" s="175" t="s">
        <v>91</v>
      </c>
      <c r="C18" s="175"/>
      <c r="D18" s="175"/>
      <c r="E18" s="175"/>
      <c r="F18" s="175"/>
      <c r="G18" s="175"/>
      <c r="H18" s="175"/>
      <c r="I18" s="175"/>
      <c r="J18" s="175"/>
      <c r="K18" s="15"/>
      <c r="L18" s="15"/>
      <c r="M18" s="15"/>
      <c r="N18" s="15"/>
      <c r="O18" s="15"/>
    </row>
    <row r="19" spans="1:15" ht="13.9">
      <c r="A19" s="15" t="s">
        <v>34</v>
      </c>
      <c r="B19" s="74">
        <v>39.305999999999997</v>
      </c>
      <c r="C19" s="132">
        <v>695</v>
      </c>
      <c r="D19" s="139">
        <v>0.10141264051999997</v>
      </c>
      <c r="E19" s="132">
        <f>B19+C19+D19</f>
        <v>734.40741264052008</v>
      </c>
      <c r="F19" s="75"/>
      <c r="G19" s="132">
        <f>E19-J19-H19</f>
        <v>655.27531148258311</v>
      </c>
      <c r="H19" s="132">
        <v>56.816101157936991</v>
      </c>
      <c r="I19" s="132">
        <f>SUM(G19:H19)</f>
        <v>712.09141264052005</v>
      </c>
      <c r="J19" s="74">
        <v>22.315999999999999</v>
      </c>
      <c r="K19" s="15"/>
      <c r="L19" s="15"/>
      <c r="M19" s="15"/>
      <c r="N19" s="15"/>
      <c r="O19" s="15"/>
    </row>
    <row r="20" spans="1:15" ht="16.149999999999999">
      <c r="A20" s="15" t="s">
        <v>35</v>
      </c>
      <c r="B20" s="74">
        <f>J19</f>
        <v>22.315999999999999</v>
      </c>
      <c r="C20" s="132">
        <v>590</v>
      </c>
      <c r="D20" s="131">
        <v>0</v>
      </c>
      <c r="E20" s="132">
        <f>B20+C20+D20</f>
        <v>612.31600000000003</v>
      </c>
      <c r="F20" s="75"/>
      <c r="G20" s="132">
        <f>E20-J20-H20</f>
        <v>526.02636987119706</v>
      </c>
      <c r="H20" s="132">
        <v>53.033630128802983</v>
      </c>
      <c r="I20" s="132">
        <f>SUM(G20:H20)</f>
        <v>579.06000000000006</v>
      </c>
      <c r="J20" s="74">
        <v>33.256</v>
      </c>
      <c r="K20" s="15"/>
      <c r="L20" s="15"/>
      <c r="M20" s="15"/>
      <c r="N20" s="15"/>
      <c r="O20" s="15"/>
    </row>
    <row r="21" spans="1:15" ht="16.149999999999999">
      <c r="A21" s="14" t="s">
        <v>36</v>
      </c>
      <c r="B21" s="135">
        <f>J20</f>
        <v>33.256</v>
      </c>
      <c r="C21" s="138">
        <v>595</v>
      </c>
      <c r="D21" s="136">
        <v>0</v>
      </c>
      <c r="E21" s="138">
        <f>B21+C21+D21</f>
        <v>628.25599999999997</v>
      </c>
      <c r="F21" s="137"/>
      <c r="G21" s="138">
        <v>533</v>
      </c>
      <c r="H21" s="138">
        <v>60</v>
      </c>
      <c r="I21" s="138">
        <f>SUM(G21:H21)</f>
        <v>593</v>
      </c>
      <c r="J21" s="135">
        <f>E21-I21</f>
        <v>35.255999999999972</v>
      </c>
      <c r="K21" s="15"/>
      <c r="L21" s="15"/>
      <c r="M21" s="15"/>
      <c r="N21" s="15"/>
      <c r="O21" s="15"/>
    </row>
    <row r="22" spans="1:15" ht="16.149999999999999">
      <c r="A22" s="42" t="s">
        <v>87</v>
      </c>
      <c r="B22" s="15"/>
      <c r="C22" s="73"/>
      <c r="D22" s="73"/>
      <c r="E22" s="73"/>
      <c r="F22" s="73"/>
      <c r="G22" s="73"/>
      <c r="H22" s="73"/>
      <c r="I22" s="15"/>
      <c r="J22" s="15"/>
      <c r="K22" s="15"/>
      <c r="L22" s="15"/>
      <c r="M22" s="15"/>
      <c r="N22" s="15"/>
      <c r="O22" s="15"/>
    </row>
    <row r="23" spans="1:15" ht="14.45">
      <c r="A23" s="15" t="s">
        <v>92</v>
      </c>
      <c r="B23" s="75"/>
      <c r="C23" s="75"/>
      <c r="D23" s="75"/>
      <c r="E23" s="75"/>
      <c r="F23" s="75"/>
      <c r="G23" s="75"/>
      <c r="H23" s="75"/>
      <c r="I23" s="15"/>
      <c r="J23" s="15"/>
      <c r="K23" s="15"/>
      <c r="L23" s="15"/>
      <c r="M23" s="15"/>
      <c r="N23" s="15"/>
      <c r="O23" s="15"/>
    </row>
    <row r="24" spans="1:15" ht="13.9">
      <c r="A24" s="15"/>
      <c r="B24" s="29"/>
      <c r="C24" s="29"/>
      <c r="D24" s="29"/>
      <c r="E24" s="29"/>
      <c r="F24" s="29"/>
      <c r="G24" s="29"/>
      <c r="H24" s="29"/>
      <c r="I24" s="15"/>
      <c r="J24" s="15"/>
      <c r="K24" s="15"/>
      <c r="L24" s="15"/>
      <c r="M24" s="15"/>
      <c r="N24" s="15"/>
      <c r="O24" s="15"/>
    </row>
    <row r="25" spans="1:15" ht="13.9">
      <c r="A25" s="15"/>
      <c r="B25" s="29"/>
      <c r="C25" s="34"/>
      <c r="D25" s="29"/>
      <c r="E25" s="29"/>
      <c r="F25" s="29"/>
      <c r="G25" s="29"/>
      <c r="H25" s="29"/>
      <c r="I25" s="15"/>
      <c r="J25" s="15"/>
      <c r="K25" s="15"/>
      <c r="L25" s="15"/>
      <c r="M25" s="15"/>
      <c r="N25" s="15"/>
      <c r="O25" s="15"/>
    </row>
    <row r="26" spans="1:15" ht="13.9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9">
      <c r="A27" s="15"/>
      <c r="B27" s="171" t="s">
        <v>58</v>
      </c>
      <c r="C27" s="171"/>
      <c r="D27" s="171"/>
      <c r="E27" s="171"/>
      <c r="F27" s="15"/>
      <c r="G27" s="171" t="s">
        <v>59</v>
      </c>
      <c r="H27" s="171"/>
      <c r="I27" s="171"/>
      <c r="J27" s="15"/>
      <c r="K27" s="15"/>
      <c r="L27" s="15"/>
      <c r="M27" s="15"/>
      <c r="N27" s="15"/>
      <c r="O27" s="15"/>
    </row>
    <row r="28" spans="1:15" ht="13.9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9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85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5">
      <c r="A30" s="15"/>
      <c r="B30" s="175" t="s">
        <v>75</v>
      </c>
      <c r="C30" s="175"/>
      <c r="D30" s="175"/>
      <c r="E30" s="175"/>
      <c r="F30" s="175"/>
      <c r="G30" s="175"/>
      <c r="H30" s="175"/>
      <c r="I30" s="175"/>
      <c r="J30" s="175"/>
      <c r="K30" s="15"/>
      <c r="L30" s="15"/>
      <c r="M30" s="15"/>
      <c r="N30" s="15"/>
      <c r="O30" s="15"/>
    </row>
    <row r="31" spans="1:15" ht="13.9">
      <c r="A31" s="15" t="s">
        <v>34</v>
      </c>
      <c r="B31" s="131">
        <v>48.207999999999998</v>
      </c>
      <c r="C31" s="132">
        <v>430</v>
      </c>
      <c r="D31" s="131">
        <v>24.878063955389997</v>
      </c>
      <c r="E31" s="140">
        <f>B31+C31+D31</f>
        <v>503.08606395538999</v>
      </c>
      <c r="F31" s="75"/>
      <c r="G31" s="132">
        <f>I31-H31</f>
        <v>325.68860562582</v>
      </c>
      <c r="H31" s="132">
        <v>127.69945832956999</v>
      </c>
      <c r="I31" s="132">
        <f>E31-J31</f>
        <v>453.38806395539001</v>
      </c>
      <c r="J31" s="132">
        <v>49.698</v>
      </c>
      <c r="K31" s="15"/>
      <c r="L31" s="15"/>
      <c r="M31" s="15"/>
      <c r="N31" s="15"/>
      <c r="O31" s="15"/>
    </row>
    <row r="32" spans="1:15" ht="16.149999999999999">
      <c r="A32" s="15" t="s">
        <v>35</v>
      </c>
      <c r="B32" s="131">
        <f>J31</f>
        <v>49.698</v>
      </c>
      <c r="C32" s="132">
        <v>365.27800000000002</v>
      </c>
      <c r="D32" s="131">
        <v>15.945374023673999</v>
      </c>
      <c r="E32" s="140">
        <f>B32+C32+D32</f>
        <v>430.92137402367399</v>
      </c>
      <c r="F32" s="75"/>
      <c r="G32" s="132">
        <v>310</v>
      </c>
      <c r="H32" s="132">
        <v>71.126637277750007</v>
      </c>
      <c r="I32" s="132">
        <f>SUM(G32:H32)</f>
        <v>381.12663727774998</v>
      </c>
      <c r="J32" s="132">
        <f>E32-I32</f>
        <v>49.794736745924013</v>
      </c>
      <c r="K32" s="15"/>
      <c r="L32" s="15"/>
      <c r="M32" s="15"/>
      <c r="N32" s="15"/>
      <c r="O32" s="15"/>
    </row>
    <row r="33" spans="1:17" ht="16.149999999999999">
      <c r="A33" s="14" t="s">
        <v>36</v>
      </c>
      <c r="B33" s="136">
        <f>J32</f>
        <v>49.794736745924013</v>
      </c>
      <c r="C33" s="138">
        <v>365</v>
      </c>
      <c r="D33" s="136">
        <v>20</v>
      </c>
      <c r="E33" s="141">
        <f>B33+C33+D33</f>
        <v>434.79473674592401</v>
      </c>
      <c r="F33" s="137"/>
      <c r="G33" s="138">
        <v>315</v>
      </c>
      <c r="H33" s="138">
        <v>70</v>
      </c>
      <c r="I33" s="138">
        <f>SUM(G33:H33)</f>
        <v>385</v>
      </c>
      <c r="J33" s="138">
        <f>E33-I33</f>
        <v>49.794736745924013</v>
      </c>
      <c r="K33" s="15"/>
      <c r="L33" s="15"/>
      <c r="M33" s="15"/>
      <c r="N33" s="15"/>
      <c r="O33" s="15"/>
    </row>
    <row r="34" spans="1:17" ht="16.149999999999999">
      <c r="A34" s="42" t="s">
        <v>87</v>
      </c>
      <c r="B34" s="15"/>
      <c r="C34" s="73"/>
      <c r="D34" s="73"/>
      <c r="E34" s="73"/>
      <c r="F34" s="73"/>
      <c r="G34" s="73"/>
      <c r="H34" s="73"/>
      <c r="I34" s="15"/>
      <c r="J34" s="15"/>
      <c r="K34" s="15"/>
      <c r="L34" s="15"/>
      <c r="M34" s="15"/>
      <c r="N34" s="15"/>
      <c r="O34" s="15"/>
    </row>
    <row r="35" spans="1:17" ht="14.45">
      <c r="A35" s="15" t="s">
        <v>92</v>
      </c>
      <c r="B35" s="29"/>
      <c r="C35" s="34"/>
      <c r="D35" s="29"/>
      <c r="E35" s="29"/>
      <c r="F35" s="29"/>
      <c r="G35" s="29"/>
      <c r="H35" s="29"/>
      <c r="I35" s="15"/>
      <c r="J35" s="15"/>
      <c r="K35" s="15"/>
      <c r="L35" s="15"/>
      <c r="M35" s="15"/>
      <c r="N35" s="15"/>
      <c r="O35" s="15"/>
    </row>
    <row r="36" spans="1:17" ht="13.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3.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3.9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3.9">
      <c r="A39" s="15"/>
      <c r="B39" s="171" t="s">
        <v>13</v>
      </c>
      <c r="C39" s="171"/>
      <c r="D39" s="17" t="s">
        <v>14</v>
      </c>
      <c r="E39" s="171" t="s">
        <v>15</v>
      </c>
      <c r="F39" s="171"/>
      <c r="G39" s="171"/>
      <c r="H39" s="171"/>
      <c r="I39" s="15"/>
      <c r="J39" s="171" t="s">
        <v>59</v>
      </c>
      <c r="K39" s="171"/>
      <c r="L39" s="171"/>
      <c r="M39" s="171"/>
      <c r="N39" s="171"/>
      <c r="O39" s="72"/>
    </row>
    <row r="40" spans="1:17" ht="13.9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5" t="s">
        <v>90</v>
      </c>
      <c r="K40" s="17"/>
      <c r="L40" s="17" t="s">
        <v>22</v>
      </c>
      <c r="M40" s="17"/>
      <c r="N40" s="17"/>
      <c r="O40" s="17" t="s">
        <v>60</v>
      </c>
    </row>
    <row r="41" spans="1:17" ht="13.9">
      <c r="A41" s="21" t="s">
        <v>80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7" ht="14.45">
      <c r="A42" s="15"/>
      <c r="B42" s="176" t="s">
        <v>94</v>
      </c>
      <c r="C42" s="177"/>
      <c r="D42" s="77" t="s">
        <v>95</v>
      </c>
      <c r="E42" s="178" t="s">
        <v>96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7"/>
    </row>
    <row r="43" spans="1:17" ht="13.9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3.9">
      <c r="A44" s="15" t="s">
        <v>34</v>
      </c>
      <c r="B44" s="74">
        <v>1578.3</v>
      </c>
      <c r="C44" s="74">
        <v>1538</v>
      </c>
      <c r="D44" s="74">
        <f>F44*1000/C44</f>
        <v>4134.7139141742518</v>
      </c>
      <c r="E44" s="74">
        <v>1968.162</v>
      </c>
      <c r="F44" s="74">
        <v>6359.19</v>
      </c>
      <c r="G44" s="132">
        <v>107.03</v>
      </c>
      <c r="H44" s="74">
        <f>SUM(E44:G44)</f>
        <v>8434.3819999999996</v>
      </c>
      <c r="I44" s="74"/>
      <c r="J44" s="74">
        <v>3313</v>
      </c>
      <c r="K44" s="74">
        <v>842.43200000000002</v>
      </c>
      <c r="L44" s="132">
        <f t="shared" ref="L44" si="0">N44-J44-K44-M44</f>
        <v>734.55299999999988</v>
      </c>
      <c r="M44" s="132">
        <v>1184.1400000000001</v>
      </c>
      <c r="N44" s="74">
        <f>H44-O44</f>
        <v>6074.125</v>
      </c>
      <c r="O44" s="74">
        <v>2360.2570000000001</v>
      </c>
      <c r="P44" s="142"/>
      <c r="Q44" s="142"/>
    </row>
    <row r="45" spans="1:17" ht="16.149999999999999">
      <c r="A45" s="15" t="s">
        <v>35</v>
      </c>
      <c r="B45" s="74">
        <v>1448.5</v>
      </c>
      <c r="C45" s="74">
        <v>1381.4</v>
      </c>
      <c r="D45" s="74">
        <f>F45*1000/C45</f>
        <v>4011.7069639496162</v>
      </c>
      <c r="E45" s="74">
        <f>O44</f>
        <v>2360.2570000000001</v>
      </c>
      <c r="F45" s="74">
        <v>5541.7719999999999</v>
      </c>
      <c r="G45" s="132">
        <v>102.91</v>
      </c>
      <c r="H45" s="74">
        <f>SUM(E45:G45)</f>
        <v>8004.9390000000003</v>
      </c>
      <c r="I45" s="74"/>
      <c r="J45" s="74">
        <v>3201.4</v>
      </c>
      <c r="K45" s="74">
        <v>794.7</v>
      </c>
      <c r="L45" s="132">
        <f>N45-J45-K45-M45</f>
        <v>780.54099999999971</v>
      </c>
      <c r="M45" s="132">
        <v>1195.93</v>
      </c>
      <c r="N45" s="74">
        <f>H45-O45</f>
        <v>5972.5709999999999</v>
      </c>
      <c r="O45" s="74">
        <v>2032.3679999999999</v>
      </c>
      <c r="P45" s="142"/>
      <c r="Q45" s="142"/>
    </row>
    <row r="46" spans="1:17" ht="16.149999999999999">
      <c r="A46" s="14" t="s">
        <v>36</v>
      </c>
      <c r="B46" s="135">
        <v>1645</v>
      </c>
      <c r="C46" s="135">
        <v>1574</v>
      </c>
      <c r="D46" s="135">
        <f>F46*1000/C46</f>
        <v>3742.0711562897077</v>
      </c>
      <c r="E46" s="135">
        <f>O45</f>
        <v>2032.3679999999999</v>
      </c>
      <c r="F46" s="135">
        <v>5890.02</v>
      </c>
      <c r="G46" s="138">
        <v>105</v>
      </c>
      <c r="H46" s="135">
        <f>SUM(E46:G46)</f>
        <v>8027.3880000000008</v>
      </c>
      <c r="I46" s="135"/>
      <c r="J46" s="135">
        <v>3245.9572304312001</v>
      </c>
      <c r="K46" s="135">
        <v>700</v>
      </c>
      <c r="L46" s="138">
        <v>728.75</v>
      </c>
      <c r="M46" s="138">
        <v>1400</v>
      </c>
      <c r="N46" s="135">
        <f>SUM(J46:M46)</f>
        <v>6074.7072304312005</v>
      </c>
      <c r="O46" s="135">
        <f>H46-N46</f>
        <v>1952.6807695688003</v>
      </c>
      <c r="P46" s="142"/>
      <c r="Q46" s="142"/>
    </row>
    <row r="47" spans="1:17" ht="16.149999999999999">
      <c r="A47" s="42" t="s">
        <v>87</v>
      </c>
      <c r="B47" s="15"/>
      <c r="C47" s="73"/>
      <c r="D47" s="73"/>
      <c r="E47" s="73"/>
      <c r="F47" s="73"/>
      <c r="G47" s="73"/>
      <c r="H47" s="73"/>
      <c r="I47" s="15"/>
      <c r="J47" s="15"/>
      <c r="K47" s="15"/>
      <c r="L47" s="15"/>
      <c r="M47" s="15"/>
      <c r="N47" s="15"/>
      <c r="O47" s="15"/>
    </row>
    <row r="48" spans="1:17" ht="14.45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5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9">
      <c r="A50" s="20" t="s">
        <v>57</v>
      </c>
      <c r="B50" s="78">
        <f>Contents!A16</f>
        <v>45334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5" customHeight="1">
      <c r="A51" s="79"/>
      <c r="B51" s="80"/>
      <c r="C51" s="80"/>
      <c r="D51" s="80"/>
      <c r="E51" s="80"/>
      <c r="F51" s="80"/>
      <c r="G51" s="80"/>
      <c r="H51" s="80"/>
      <c r="I51" s="80"/>
      <c r="J51" s="93"/>
      <c r="K51" s="80"/>
      <c r="L51" s="80"/>
      <c r="M51" s="80"/>
      <c r="N51" s="80"/>
      <c r="O51" s="80"/>
    </row>
    <row r="52" spans="1:15" ht="15.6">
      <c r="G52" s="63"/>
      <c r="H52" s="63"/>
    </row>
    <row r="53" spans="1:15" ht="15.6">
      <c r="G53" s="63"/>
      <c r="H53" s="63"/>
    </row>
    <row r="54" spans="1:15" ht="15.6">
      <c r="G54" s="63"/>
      <c r="H54" s="63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39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2"/>
  <sheetViews>
    <sheetView showGridLines="0" zoomScale="70" zoomScaleNormal="70" workbookViewId="0">
      <pane xSplit="1" ySplit="4" topLeftCell="B21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9.140625" defaultRowHeight="13.15"/>
  <cols>
    <col min="1" max="1" width="11.7109375" customWidth="1"/>
    <col min="2" max="2" width="18.85546875" bestFit="1" customWidth="1"/>
    <col min="3" max="3" width="22.140625" bestFit="1" customWidth="1"/>
    <col min="4" max="4" width="24.5703125" customWidth="1"/>
    <col min="5" max="5" width="25.28515625" customWidth="1"/>
    <col min="6" max="6" width="16.7109375" bestFit="1" customWidth="1"/>
    <col min="7" max="7" width="18.85546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6"/>
      <c r="D3" s="46"/>
      <c r="E3" s="46"/>
      <c r="F3" s="46"/>
      <c r="G3" s="46"/>
    </row>
    <row r="4" spans="1:10" ht="14.45">
      <c r="A4" s="47"/>
      <c r="B4" s="48" t="s">
        <v>106</v>
      </c>
      <c r="C4" s="48" t="s">
        <v>107</v>
      </c>
      <c r="D4" s="48" t="s">
        <v>108</v>
      </c>
      <c r="E4" s="48" t="s">
        <v>108</v>
      </c>
      <c r="F4" s="48" t="s">
        <v>109</v>
      </c>
      <c r="G4" s="48" t="s">
        <v>106</v>
      </c>
    </row>
    <row r="5" spans="1:10" ht="13.9">
      <c r="A5" s="15"/>
      <c r="B5" s="15"/>
      <c r="C5" s="15"/>
      <c r="D5" s="17"/>
      <c r="E5" s="15"/>
      <c r="F5" s="15"/>
      <c r="G5" s="15"/>
    </row>
    <row r="6" spans="1:10" ht="13.9">
      <c r="A6" s="15" t="s">
        <v>110</v>
      </c>
      <c r="B6" s="49">
        <v>11.3</v>
      </c>
      <c r="C6" s="49">
        <v>161</v>
      </c>
      <c r="D6" s="49">
        <v>23.3</v>
      </c>
      <c r="E6" s="49">
        <v>19.3</v>
      </c>
      <c r="F6" s="49">
        <v>22.5</v>
      </c>
      <c r="G6" s="49">
        <v>12.2</v>
      </c>
      <c r="J6" s="64"/>
    </row>
    <row r="7" spans="1:10" ht="13.9">
      <c r="A7" s="15" t="s">
        <v>111</v>
      </c>
      <c r="B7" s="49">
        <v>12.5</v>
      </c>
      <c r="C7" s="49">
        <v>260</v>
      </c>
      <c r="D7" s="49">
        <v>29.1</v>
      </c>
      <c r="E7" s="49">
        <v>24</v>
      </c>
      <c r="F7" s="49">
        <v>31.8</v>
      </c>
      <c r="G7" s="49">
        <v>13.9</v>
      </c>
      <c r="J7" s="64"/>
    </row>
    <row r="8" spans="1:10" ht="13.9">
      <c r="A8" s="15" t="s">
        <v>112</v>
      </c>
      <c r="B8" s="49">
        <v>14.4</v>
      </c>
      <c r="C8" s="49">
        <v>252</v>
      </c>
      <c r="D8" s="49">
        <v>25.4</v>
      </c>
      <c r="E8" s="49">
        <v>26.5</v>
      </c>
      <c r="F8" s="49">
        <v>30.1</v>
      </c>
      <c r="G8" s="49">
        <v>13.8</v>
      </c>
      <c r="J8" s="64"/>
    </row>
    <row r="9" spans="1:10" ht="13.9">
      <c r="A9" s="15" t="s">
        <v>113</v>
      </c>
      <c r="B9" s="49">
        <v>13</v>
      </c>
      <c r="C9" s="49">
        <v>246</v>
      </c>
      <c r="D9" s="49">
        <v>21.4</v>
      </c>
      <c r="E9" s="49">
        <v>20.6</v>
      </c>
      <c r="F9" s="49">
        <v>24.9</v>
      </c>
      <c r="G9" s="49">
        <v>13.8</v>
      </c>
      <c r="J9" s="64"/>
    </row>
    <row r="10" spans="1:10" ht="13.9">
      <c r="A10" s="15" t="s">
        <v>114</v>
      </c>
      <c r="B10" s="49">
        <v>10.1</v>
      </c>
      <c r="C10" s="49">
        <v>194</v>
      </c>
      <c r="D10" s="49">
        <v>21.7</v>
      </c>
      <c r="E10" s="49">
        <v>16.899999999999999</v>
      </c>
      <c r="F10" s="49">
        <v>22</v>
      </c>
      <c r="G10" s="49">
        <v>11.8</v>
      </c>
      <c r="J10" s="64"/>
    </row>
    <row r="11" spans="1:10" ht="13.9">
      <c r="A11" s="15" t="s">
        <v>115</v>
      </c>
      <c r="B11" s="49">
        <v>8.9499999999999993</v>
      </c>
      <c r="C11" s="49">
        <v>227</v>
      </c>
      <c r="D11" s="49">
        <v>19.600000000000001</v>
      </c>
      <c r="E11" s="49">
        <v>15.6</v>
      </c>
      <c r="F11" s="49">
        <v>19.3</v>
      </c>
      <c r="G11" s="49">
        <v>8.9499999999999993</v>
      </c>
      <c r="J11" s="64"/>
    </row>
    <row r="12" spans="1:10" ht="13.9">
      <c r="A12" s="15" t="s">
        <v>116</v>
      </c>
      <c r="B12" s="49">
        <v>9.4700000000000006</v>
      </c>
      <c r="C12" s="49">
        <v>195</v>
      </c>
      <c r="D12" s="49">
        <v>17.399999999999999</v>
      </c>
      <c r="E12" s="49">
        <v>16.600000000000001</v>
      </c>
      <c r="F12" s="49">
        <v>19.7</v>
      </c>
      <c r="G12" s="49">
        <v>8</v>
      </c>
      <c r="J12" s="64"/>
    </row>
    <row r="13" spans="1:10" ht="13.9">
      <c r="A13" s="15" t="s">
        <v>117</v>
      </c>
      <c r="B13" s="49">
        <v>9.33</v>
      </c>
      <c r="C13" s="49">
        <v>142</v>
      </c>
      <c r="D13" s="49">
        <v>17.2</v>
      </c>
      <c r="E13" s="49">
        <v>17.5</v>
      </c>
      <c r="F13" s="49">
        <v>22.9</v>
      </c>
      <c r="G13" s="49">
        <v>9.5299999999999994</v>
      </c>
      <c r="J13" s="64"/>
    </row>
    <row r="14" spans="1:10" ht="13.9">
      <c r="A14" s="15" t="s">
        <v>118</v>
      </c>
      <c r="B14" s="49">
        <v>8.48</v>
      </c>
      <c r="C14" s="49">
        <v>155</v>
      </c>
      <c r="D14" s="49">
        <v>17.399999999999999</v>
      </c>
      <c r="E14" s="49">
        <v>15.8</v>
      </c>
      <c r="F14" s="49">
        <v>21.5</v>
      </c>
      <c r="G14" s="49">
        <v>9.89</v>
      </c>
      <c r="J14" s="64"/>
    </row>
    <row r="15" spans="1:10" ht="13.9">
      <c r="A15" s="15" t="s">
        <v>119</v>
      </c>
      <c r="B15" s="49">
        <v>8.57</v>
      </c>
      <c r="C15" s="49">
        <v>161</v>
      </c>
      <c r="D15" s="49">
        <v>19.5</v>
      </c>
      <c r="E15" s="49">
        <v>14.8</v>
      </c>
      <c r="F15" s="49">
        <v>20.5</v>
      </c>
      <c r="G15" s="49">
        <v>9.15</v>
      </c>
      <c r="J15" s="64"/>
    </row>
    <row r="16" spans="1:10" ht="13.9">
      <c r="A16" s="15" t="s">
        <v>120</v>
      </c>
      <c r="B16" s="49">
        <v>10.8</v>
      </c>
      <c r="C16" s="49">
        <v>194</v>
      </c>
      <c r="D16" s="49">
        <v>21.3</v>
      </c>
      <c r="E16" s="49">
        <v>18.400000000000002</v>
      </c>
      <c r="F16" s="49">
        <v>21</v>
      </c>
      <c r="G16" s="49">
        <v>11.1</v>
      </c>
      <c r="J16" s="64"/>
    </row>
    <row r="17" spans="1:10" ht="13.9">
      <c r="A17" s="15" t="s">
        <v>34</v>
      </c>
      <c r="B17" s="49">
        <v>13.3</v>
      </c>
      <c r="C17" s="49">
        <v>243</v>
      </c>
      <c r="D17" s="95">
        <v>32.9</v>
      </c>
      <c r="E17" s="49">
        <v>32.9</v>
      </c>
      <c r="F17" s="49">
        <v>24.3</v>
      </c>
      <c r="G17" s="49">
        <v>25.9</v>
      </c>
      <c r="J17" s="64"/>
    </row>
    <row r="18" spans="1:10" ht="16.149999999999999">
      <c r="A18" s="15" t="s">
        <v>121</v>
      </c>
      <c r="B18" s="49">
        <v>14.2</v>
      </c>
      <c r="C18" s="95">
        <v>306</v>
      </c>
      <c r="D18" s="49">
        <v>27.8</v>
      </c>
      <c r="E18" s="49">
        <v>29.8</v>
      </c>
      <c r="F18" s="49">
        <v>26.8</v>
      </c>
      <c r="G18" s="95">
        <v>17.5</v>
      </c>
      <c r="H18" s="106"/>
      <c r="J18" s="64"/>
    </row>
    <row r="19" spans="1:10" ht="16.149999999999999">
      <c r="A19" s="15" t="s">
        <v>122</v>
      </c>
      <c r="B19" s="49">
        <v>12.65</v>
      </c>
      <c r="C19" s="49">
        <v>225</v>
      </c>
      <c r="D19" s="49">
        <v>19.8</v>
      </c>
      <c r="E19" s="49">
        <v>25</v>
      </c>
      <c r="F19" s="49">
        <v>27.5</v>
      </c>
      <c r="G19" s="95">
        <v>12.8</v>
      </c>
      <c r="H19" s="106"/>
      <c r="J19" s="64"/>
    </row>
    <row r="20" spans="1:10" ht="13.9">
      <c r="A20" s="15"/>
      <c r="B20" s="50"/>
      <c r="C20" s="51"/>
      <c r="D20" s="52"/>
      <c r="E20" s="52"/>
      <c r="F20" s="51"/>
      <c r="G20" s="53"/>
      <c r="H20" s="43"/>
      <c r="J20" s="64"/>
    </row>
    <row r="21" spans="1:10" ht="13.9">
      <c r="A21" s="54" t="s">
        <v>37</v>
      </c>
      <c r="B21" s="49"/>
      <c r="C21" s="49"/>
      <c r="D21" s="49"/>
      <c r="E21" s="49"/>
      <c r="F21" s="49"/>
      <c r="G21" s="49"/>
    </row>
    <row r="22" spans="1:10" ht="13.9">
      <c r="A22" s="15" t="s">
        <v>38</v>
      </c>
      <c r="B22" s="95">
        <v>14.2</v>
      </c>
      <c r="C22" s="49">
        <v>316</v>
      </c>
      <c r="D22" s="49">
        <v>32.9</v>
      </c>
      <c r="E22" s="49">
        <v>28.1</v>
      </c>
      <c r="F22" s="49">
        <v>25.6</v>
      </c>
      <c r="G22" s="49">
        <v>18.899999999999999</v>
      </c>
    </row>
    <row r="23" spans="1:10" ht="13.9">
      <c r="A23" s="15" t="s">
        <v>39</v>
      </c>
      <c r="B23" s="49">
        <v>13.5</v>
      </c>
      <c r="C23" s="49">
        <v>340</v>
      </c>
      <c r="D23" s="49">
        <v>29.3</v>
      </c>
      <c r="E23" s="49">
        <v>28.1</v>
      </c>
      <c r="F23" s="49">
        <v>26.400000000000002</v>
      </c>
      <c r="G23" s="49">
        <v>18.600000000000001</v>
      </c>
    </row>
    <row r="24" spans="1:10" ht="13.9">
      <c r="A24" s="15" t="s">
        <v>40</v>
      </c>
      <c r="B24" s="49">
        <v>14</v>
      </c>
      <c r="C24" s="49">
        <v>281</v>
      </c>
      <c r="D24" s="49">
        <v>28.4</v>
      </c>
      <c r="E24" s="49">
        <v>29.2</v>
      </c>
      <c r="F24" s="49">
        <v>28.799999999999997</v>
      </c>
      <c r="G24" s="49">
        <v>19.5</v>
      </c>
    </row>
    <row r="25" spans="1:10" ht="13.9">
      <c r="A25" s="15" t="s">
        <v>42</v>
      </c>
      <c r="B25" s="49">
        <v>14.4</v>
      </c>
      <c r="C25" s="49">
        <v>315</v>
      </c>
      <c r="D25" s="49">
        <v>29.5</v>
      </c>
      <c r="E25" s="49">
        <v>29.2</v>
      </c>
      <c r="F25" s="49">
        <v>24.5</v>
      </c>
      <c r="G25" s="49">
        <v>18.3</v>
      </c>
    </row>
    <row r="26" spans="1:10" ht="13.9">
      <c r="A26" s="15" t="s">
        <v>43</v>
      </c>
      <c r="B26" s="49">
        <v>14.5</v>
      </c>
      <c r="C26" s="49">
        <v>273</v>
      </c>
      <c r="D26" s="49">
        <v>29</v>
      </c>
      <c r="E26" s="49">
        <v>30.1</v>
      </c>
      <c r="F26" s="49">
        <v>27.700000000000003</v>
      </c>
      <c r="G26" s="49">
        <v>17.7</v>
      </c>
    </row>
    <row r="27" spans="1:10" ht="13.9">
      <c r="A27" s="15" t="s">
        <v>44</v>
      </c>
      <c r="B27" s="49">
        <v>15.1</v>
      </c>
      <c r="C27" s="49">
        <v>223</v>
      </c>
      <c r="D27" s="49">
        <v>29.9</v>
      </c>
      <c r="E27" s="49">
        <v>31.7</v>
      </c>
      <c r="F27" s="49">
        <v>27</v>
      </c>
      <c r="G27" s="49">
        <v>15.4</v>
      </c>
    </row>
    <row r="28" spans="1:10" ht="13.9">
      <c r="A28" s="15" t="s">
        <v>46</v>
      </c>
      <c r="B28" s="49">
        <v>14.9</v>
      </c>
      <c r="C28" s="49" t="s">
        <v>78</v>
      </c>
      <c r="D28" s="49">
        <v>27.5</v>
      </c>
      <c r="E28" s="49">
        <v>29.8</v>
      </c>
      <c r="F28" s="49">
        <v>26.700000000000003</v>
      </c>
      <c r="G28" s="49">
        <v>14.8</v>
      </c>
    </row>
    <row r="29" spans="1:10" ht="13.9">
      <c r="A29" s="15" t="s">
        <v>47</v>
      </c>
      <c r="B29" s="49">
        <v>14.9</v>
      </c>
      <c r="C29" s="49" t="s">
        <v>78</v>
      </c>
      <c r="D29" s="49">
        <v>26.9</v>
      </c>
      <c r="E29" s="49">
        <v>26.8</v>
      </c>
      <c r="F29" s="49">
        <v>27.200000000000003</v>
      </c>
      <c r="G29" s="49">
        <v>12.1</v>
      </c>
    </row>
    <row r="30" spans="1:10" ht="13.9">
      <c r="A30" s="15" t="s">
        <v>48</v>
      </c>
      <c r="B30" s="49">
        <v>14.4</v>
      </c>
      <c r="C30" s="49" t="s">
        <v>78</v>
      </c>
      <c r="D30" s="49">
        <v>24.9</v>
      </c>
      <c r="E30" s="49">
        <v>25.2</v>
      </c>
      <c r="F30" s="49">
        <v>27.700000000000003</v>
      </c>
      <c r="G30" s="49">
        <v>12.5</v>
      </c>
    </row>
    <row r="31" spans="1:10" ht="13.9">
      <c r="A31" s="15" t="s">
        <v>50</v>
      </c>
      <c r="B31" s="49">
        <v>14.2</v>
      </c>
      <c r="C31" s="49" t="s">
        <v>78</v>
      </c>
      <c r="D31" s="49">
        <v>23.6</v>
      </c>
      <c r="E31" s="49">
        <v>27.3</v>
      </c>
      <c r="F31" s="49">
        <v>27.900000000000002</v>
      </c>
      <c r="G31" s="49">
        <v>13.1</v>
      </c>
    </row>
    <row r="32" spans="1:10" ht="13.9">
      <c r="A32" s="15" t="s">
        <v>51</v>
      </c>
      <c r="B32" s="49">
        <v>14.7</v>
      </c>
      <c r="C32" s="49" t="s">
        <v>78</v>
      </c>
      <c r="D32" s="49">
        <v>25</v>
      </c>
      <c r="E32" s="49">
        <v>27.2</v>
      </c>
      <c r="F32" s="49">
        <v>27.700000000000003</v>
      </c>
      <c r="G32" s="49">
        <v>11</v>
      </c>
    </row>
    <row r="33" spans="1:7" ht="13.9">
      <c r="A33" s="15" t="s">
        <v>52</v>
      </c>
      <c r="B33" s="49">
        <v>14.1</v>
      </c>
      <c r="C33" s="49">
        <v>219</v>
      </c>
      <c r="D33" s="49">
        <v>23.6</v>
      </c>
      <c r="E33" s="49">
        <v>28.1</v>
      </c>
      <c r="F33" s="49">
        <v>27.1</v>
      </c>
      <c r="G33" s="49">
        <v>11.2</v>
      </c>
    </row>
    <row r="34" spans="1:7" ht="13.9">
      <c r="A34" s="15"/>
      <c r="B34" s="49"/>
      <c r="C34" s="49"/>
      <c r="D34" s="49"/>
      <c r="E34" s="49"/>
      <c r="F34" s="49"/>
      <c r="G34" s="49"/>
    </row>
    <row r="35" spans="1:7" ht="13.9">
      <c r="A35" s="54" t="s">
        <v>54</v>
      </c>
      <c r="B35" s="49"/>
      <c r="C35" s="49"/>
      <c r="D35" s="49"/>
      <c r="E35" s="49"/>
      <c r="F35" s="49"/>
      <c r="G35" s="49"/>
    </row>
    <row r="36" spans="1:7" ht="13.9">
      <c r="A36" s="15" t="s">
        <v>38</v>
      </c>
      <c r="B36" s="49">
        <v>13.2</v>
      </c>
      <c r="C36" s="49">
        <v>242</v>
      </c>
      <c r="D36" s="49">
        <v>24</v>
      </c>
      <c r="E36" s="49">
        <v>25.1</v>
      </c>
      <c r="F36" s="49">
        <v>26.7</v>
      </c>
      <c r="G36" s="49">
        <v>12</v>
      </c>
    </row>
    <row r="37" spans="1:7" ht="13.9">
      <c r="A37" s="15" t="s">
        <v>39</v>
      </c>
      <c r="B37" s="49">
        <v>12.7</v>
      </c>
      <c r="C37" s="49">
        <v>233</v>
      </c>
      <c r="D37" s="49">
        <v>20.100000000000001</v>
      </c>
      <c r="E37" s="49">
        <v>23.6</v>
      </c>
      <c r="F37" s="49">
        <v>26.7</v>
      </c>
      <c r="G37" s="49">
        <v>13</v>
      </c>
    </row>
    <row r="38" spans="1:7" ht="13.9">
      <c r="A38" s="15" t="s">
        <v>40</v>
      </c>
      <c r="B38" s="49">
        <v>13</v>
      </c>
      <c r="C38" s="49">
        <v>226</v>
      </c>
      <c r="D38" s="49">
        <v>22.6</v>
      </c>
      <c r="E38" s="49">
        <v>25.5</v>
      </c>
      <c r="F38" s="49">
        <v>29.5</v>
      </c>
      <c r="G38" s="49">
        <v>12.2</v>
      </c>
    </row>
    <row r="39" spans="1:7" ht="13.9">
      <c r="A39" s="15" t="s">
        <v>42</v>
      </c>
      <c r="B39" s="49">
        <v>13.1</v>
      </c>
      <c r="C39" s="49">
        <v>209</v>
      </c>
      <c r="D39" s="49">
        <v>24.2</v>
      </c>
      <c r="E39" s="49">
        <v>24.2</v>
      </c>
      <c r="F39" s="49">
        <v>24.3</v>
      </c>
      <c r="G39" s="49">
        <v>13.4</v>
      </c>
    </row>
    <row r="40" spans="1:7" ht="16.149999999999999">
      <c r="A40" s="72" t="s">
        <v>123</v>
      </c>
      <c r="B40" s="72"/>
      <c r="C40" s="72"/>
      <c r="D40" s="72"/>
      <c r="E40" s="72"/>
      <c r="F40" s="72"/>
      <c r="G40" s="72"/>
    </row>
    <row r="41" spans="1:7" ht="14.45">
      <c r="A41" s="15" t="s">
        <v>124</v>
      </c>
      <c r="B41" s="15"/>
      <c r="C41" s="15"/>
      <c r="D41" s="15"/>
      <c r="E41" s="15"/>
      <c r="F41" s="15"/>
      <c r="G41" s="15"/>
    </row>
    <row r="42" spans="1:7" ht="13.9">
      <c r="A42" s="20" t="s">
        <v>57</v>
      </c>
      <c r="B42" s="37">
        <f>Contents!A16</f>
        <v>45334</v>
      </c>
      <c r="C42" s="15"/>
      <c r="D42" s="15"/>
      <c r="E42" s="15"/>
      <c r="F42" s="15"/>
      <c r="G42" s="15"/>
    </row>
  </sheetData>
  <phoneticPr fontId="39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3"/>
  <sheetViews>
    <sheetView showGridLines="0" zoomScale="70" zoomScaleNormal="70" workbookViewId="0">
      <pane xSplit="1" ySplit="4" topLeftCell="B5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9.140625" defaultRowHeight="13.15"/>
  <cols>
    <col min="1" max="2" width="11.7109375" customWidth="1"/>
    <col min="3" max="3" width="11.5703125" customWidth="1"/>
    <col min="4" max="4" width="13.7109375" customWidth="1"/>
    <col min="5" max="5" width="11.7109375" customWidth="1"/>
    <col min="6" max="6" width="11.5703125" bestFit="1" customWidth="1"/>
    <col min="7" max="7" width="10.7109375" customWidth="1"/>
    <col min="8" max="8" width="12" customWidth="1"/>
    <col min="9" max="9" width="13.42578125" customWidth="1"/>
  </cols>
  <sheetData>
    <row r="1" spans="1:13" ht="13.9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5" t="s">
        <v>98</v>
      </c>
      <c r="B2" s="17" t="s">
        <v>125</v>
      </c>
      <c r="C2" s="17" t="s">
        <v>126</v>
      </c>
      <c r="D2" s="17" t="s">
        <v>127</v>
      </c>
      <c r="E2" s="56" t="s">
        <v>128</v>
      </c>
      <c r="F2" s="56" t="s">
        <v>129</v>
      </c>
      <c r="G2" s="17" t="s">
        <v>130</v>
      </c>
      <c r="H2" s="17" t="s">
        <v>131</v>
      </c>
      <c r="I2" s="57" t="s">
        <v>132</v>
      </c>
    </row>
    <row r="3" spans="1:13" ht="15.6" customHeight="1">
      <c r="A3" s="58" t="s">
        <v>105</v>
      </c>
      <c r="B3" s="23" t="s">
        <v>133</v>
      </c>
      <c r="C3" s="23" t="s">
        <v>134</v>
      </c>
      <c r="D3" s="23" t="s">
        <v>135</v>
      </c>
      <c r="E3" s="23" t="s">
        <v>135</v>
      </c>
      <c r="F3" s="23" t="s">
        <v>136</v>
      </c>
      <c r="G3" s="23" t="s">
        <v>137</v>
      </c>
      <c r="H3" s="23"/>
      <c r="I3" s="23" t="s">
        <v>138</v>
      </c>
    </row>
    <row r="4" spans="1:13" ht="14.45">
      <c r="A4" s="59" t="s">
        <v>139</v>
      </c>
      <c r="C4" s="60"/>
      <c r="D4" s="60"/>
      <c r="E4" s="60"/>
      <c r="F4" s="60"/>
      <c r="G4" s="60"/>
      <c r="H4" s="60"/>
      <c r="I4" s="60"/>
    </row>
    <row r="5" spans="1:13" ht="13.9">
      <c r="A5" s="15"/>
      <c r="B5" s="15"/>
      <c r="C5" s="15"/>
      <c r="D5" s="15"/>
      <c r="E5" s="15"/>
      <c r="F5" s="15"/>
      <c r="G5" s="15"/>
      <c r="H5" s="15"/>
      <c r="I5" s="15"/>
    </row>
    <row r="6" spans="1:13" ht="13.9">
      <c r="A6" s="15" t="s">
        <v>110</v>
      </c>
      <c r="B6" s="49">
        <v>53.2</v>
      </c>
      <c r="C6" s="49">
        <v>54.5</v>
      </c>
      <c r="D6" s="49">
        <v>86.12</v>
      </c>
      <c r="E6" s="49">
        <v>58.68</v>
      </c>
      <c r="F6" s="49">
        <v>77.239999999999995</v>
      </c>
      <c r="G6" s="49">
        <v>60.76</v>
      </c>
      <c r="H6" s="49">
        <v>51.52</v>
      </c>
      <c r="I6" s="49">
        <v>51.34</v>
      </c>
      <c r="K6" s="64"/>
      <c r="L6" s="64"/>
      <c r="M6" s="64"/>
    </row>
    <row r="7" spans="1:13" ht="13.9">
      <c r="A7" s="15" t="s">
        <v>111</v>
      </c>
      <c r="B7" s="49">
        <v>51.9</v>
      </c>
      <c r="C7" s="49">
        <v>53.22</v>
      </c>
      <c r="D7" s="49">
        <v>83.2</v>
      </c>
      <c r="E7" s="49">
        <v>57.19</v>
      </c>
      <c r="F7" s="49">
        <v>100.15</v>
      </c>
      <c r="G7" s="49">
        <v>56.09</v>
      </c>
      <c r="H7" s="49">
        <v>48.11</v>
      </c>
      <c r="I7" s="49">
        <v>50.33</v>
      </c>
      <c r="K7" s="64"/>
      <c r="L7" s="64"/>
      <c r="M7" s="64"/>
    </row>
    <row r="8" spans="1:13" ht="13.9">
      <c r="A8" s="15" t="s">
        <v>112</v>
      </c>
      <c r="B8" s="49">
        <v>47.13</v>
      </c>
      <c r="C8" s="49">
        <v>48.6</v>
      </c>
      <c r="D8" s="49">
        <v>65.87</v>
      </c>
      <c r="E8" s="49">
        <v>56.17</v>
      </c>
      <c r="F8" s="49">
        <v>91.83</v>
      </c>
      <c r="G8" s="49">
        <v>46.66</v>
      </c>
      <c r="H8" s="49">
        <v>51.8</v>
      </c>
      <c r="I8" s="49">
        <v>43.24</v>
      </c>
      <c r="K8" s="64"/>
      <c r="L8" s="64"/>
      <c r="M8" s="64"/>
    </row>
    <row r="9" spans="1:13" ht="13.9">
      <c r="A9" s="15" t="s">
        <v>113</v>
      </c>
      <c r="B9" s="49">
        <v>38.229999999999997</v>
      </c>
      <c r="C9" s="49">
        <v>60.66</v>
      </c>
      <c r="D9" s="49">
        <v>59.12</v>
      </c>
      <c r="E9" s="49">
        <v>43.7</v>
      </c>
      <c r="F9" s="49">
        <v>68.23</v>
      </c>
      <c r="G9" s="49">
        <v>39.43</v>
      </c>
      <c r="H9" s="49">
        <v>43.93</v>
      </c>
      <c r="I9" s="49">
        <v>39.76</v>
      </c>
      <c r="K9" s="64"/>
      <c r="L9" s="64"/>
      <c r="M9" s="64"/>
    </row>
    <row r="10" spans="1:13" ht="13.9">
      <c r="A10" s="15" t="s">
        <v>114</v>
      </c>
      <c r="B10" s="49">
        <v>31.6</v>
      </c>
      <c r="C10" s="49">
        <v>45.74</v>
      </c>
      <c r="D10" s="49">
        <v>66.72</v>
      </c>
      <c r="E10" s="49">
        <v>37.81</v>
      </c>
      <c r="F10" s="49">
        <v>57.96</v>
      </c>
      <c r="G10" s="49">
        <v>37.479999999999997</v>
      </c>
      <c r="H10" s="49">
        <v>33.43</v>
      </c>
      <c r="I10" s="49">
        <v>31.36</v>
      </c>
      <c r="K10" s="64"/>
      <c r="L10" s="64"/>
      <c r="M10" s="64"/>
    </row>
    <row r="11" spans="1:13" ht="13.9">
      <c r="A11" s="15" t="s">
        <v>115</v>
      </c>
      <c r="B11" s="49">
        <v>29.86</v>
      </c>
      <c r="C11" s="49">
        <v>45.87</v>
      </c>
      <c r="D11" s="49">
        <v>57.81</v>
      </c>
      <c r="E11" s="49">
        <v>35.270000000000003</v>
      </c>
      <c r="F11" s="49">
        <v>58.26</v>
      </c>
      <c r="G11" s="49">
        <v>39.25</v>
      </c>
      <c r="H11" s="49">
        <v>32.229999999999997</v>
      </c>
      <c r="I11" s="49">
        <v>30.07</v>
      </c>
      <c r="K11" s="64"/>
      <c r="L11" s="64"/>
      <c r="M11" s="64"/>
    </row>
    <row r="12" spans="1:13" ht="13.9">
      <c r="A12" s="15" t="s">
        <v>116</v>
      </c>
      <c r="B12" s="49">
        <v>32.549999999999997</v>
      </c>
      <c r="C12" s="49">
        <v>40.92</v>
      </c>
      <c r="D12" s="49">
        <v>53.54</v>
      </c>
      <c r="E12" s="49">
        <v>38.729999999999997</v>
      </c>
      <c r="F12" s="49">
        <v>66.73</v>
      </c>
      <c r="G12" s="49">
        <v>37.43</v>
      </c>
      <c r="H12" s="49">
        <v>33.07</v>
      </c>
      <c r="I12" s="49">
        <v>34.75</v>
      </c>
      <c r="K12" s="64"/>
      <c r="L12" s="64"/>
      <c r="M12" s="64"/>
    </row>
    <row r="13" spans="1:13" ht="13.9">
      <c r="A13" s="15" t="s">
        <v>117</v>
      </c>
      <c r="B13" s="49">
        <v>30.04</v>
      </c>
      <c r="C13" s="49">
        <v>31.87</v>
      </c>
      <c r="D13" s="49">
        <v>54.57</v>
      </c>
      <c r="E13" s="49">
        <v>38.270000000000003</v>
      </c>
      <c r="F13" s="49">
        <v>66.72</v>
      </c>
      <c r="G13" s="49">
        <v>30.35</v>
      </c>
      <c r="H13" s="49">
        <v>34.159999999999997</v>
      </c>
      <c r="I13" s="49">
        <v>31.21</v>
      </c>
      <c r="K13" s="64"/>
      <c r="L13" s="64"/>
      <c r="M13" s="64"/>
    </row>
    <row r="14" spans="1:13" ht="13.9">
      <c r="A14" s="15" t="s">
        <v>118</v>
      </c>
      <c r="B14" s="49">
        <v>28.26</v>
      </c>
      <c r="C14" s="49">
        <v>35.14</v>
      </c>
      <c r="D14" s="49">
        <v>53.28</v>
      </c>
      <c r="E14" s="49">
        <v>36.090000000000003</v>
      </c>
      <c r="F14" s="49">
        <v>64.72</v>
      </c>
      <c r="G14" s="49">
        <v>26.93</v>
      </c>
      <c r="H14" s="49">
        <v>31.65</v>
      </c>
      <c r="I14" s="49">
        <v>33.11</v>
      </c>
      <c r="K14" s="64"/>
      <c r="L14" s="64"/>
      <c r="M14" s="64"/>
    </row>
    <row r="15" spans="1:13" ht="13.9">
      <c r="A15" s="15" t="s">
        <v>119</v>
      </c>
      <c r="B15" s="49">
        <v>29.65</v>
      </c>
      <c r="C15" s="49">
        <v>40.18</v>
      </c>
      <c r="D15" s="49">
        <v>65.03</v>
      </c>
      <c r="E15" s="49">
        <v>37.869999999999997</v>
      </c>
      <c r="F15" s="49">
        <v>62</v>
      </c>
      <c r="G15" s="49">
        <v>39.47</v>
      </c>
      <c r="H15" s="49">
        <v>35.75</v>
      </c>
      <c r="I15" s="49">
        <v>38.369999999999997</v>
      </c>
      <c r="K15" s="64"/>
      <c r="L15" s="64"/>
      <c r="M15" s="64"/>
    </row>
    <row r="16" spans="1:13" ht="13.9">
      <c r="A16" s="15" t="s">
        <v>120</v>
      </c>
      <c r="B16" s="49">
        <v>56.87</v>
      </c>
      <c r="C16" s="49">
        <v>80.94</v>
      </c>
      <c r="D16" s="49">
        <v>79</v>
      </c>
      <c r="E16" s="49">
        <v>70.459999999999994</v>
      </c>
      <c r="F16" s="49">
        <v>101.4</v>
      </c>
      <c r="G16" s="49">
        <v>53.88</v>
      </c>
      <c r="H16" s="49">
        <v>55.89</v>
      </c>
      <c r="I16" s="49">
        <v>54.98</v>
      </c>
      <c r="K16" s="64"/>
      <c r="L16" s="64"/>
      <c r="M16" s="64"/>
    </row>
    <row r="17" spans="1:13" ht="13.9">
      <c r="A17" s="15" t="s">
        <v>34</v>
      </c>
      <c r="B17" s="49">
        <v>72.98</v>
      </c>
      <c r="C17" s="49">
        <v>107.15</v>
      </c>
      <c r="D17" s="49">
        <v>111.39</v>
      </c>
      <c r="E17" s="49">
        <v>90.52</v>
      </c>
      <c r="F17" s="49">
        <v>107.22</v>
      </c>
      <c r="G17" s="49">
        <v>64.28</v>
      </c>
      <c r="H17" s="49">
        <v>82</v>
      </c>
      <c r="I17" s="49">
        <v>81.84</v>
      </c>
      <c r="K17" s="64"/>
      <c r="L17" s="64"/>
      <c r="M17" s="64"/>
    </row>
    <row r="18" spans="1:13" ht="16.149999999999999">
      <c r="A18" s="15" t="s">
        <v>140</v>
      </c>
      <c r="B18" s="49">
        <v>65.260000000000005</v>
      </c>
      <c r="C18" s="49">
        <v>102.53</v>
      </c>
      <c r="D18" s="49">
        <v>80.11</v>
      </c>
      <c r="E18" s="49">
        <v>73.14</v>
      </c>
      <c r="F18" s="49">
        <v>93.52</v>
      </c>
      <c r="G18" s="49">
        <v>61.62</v>
      </c>
      <c r="H18" s="49">
        <v>84.25</v>
      </c>
      <c r="I18" s="49">
        <v>76.95</v>
      </c>
      <c r="K18" s="64"/>
      <c r="L18" s="64"/>
      <c r="M18" s="64"/>
    </row>
    <row r="19" spans="1:13" ht="16.149999999999999">
      <c r="A19" s="15" t="s">
        <v>141</v>
      </c>
      <c r="B19" s="49">
        <v>51</v>
      </c>
      <c r="C19" s="49">
        <v>83</v>
      </c>
      <c r="D19" s="49">
        <v>61</v>
      </c>
      <c r="E19" s="49">
        <v>56</v>
      </c>
      <c r="F19" s="49">
        <v>86</v>
      </c>
      <c r="G19" s="95">
        <v>49</v>
      </c>
      <c r="H19" s="95">
        <v>68</v>
      </c>
      <c r="I19" s="95">
        <v>55</v>
      </c>
      <c r="K19" s="64"/>
      <c r="L19" s="64"/>
      <c r="M19" s="64"/>
    </row>
    <row r="20" spans="1:13" ht="13.9">
      <c r="A20" s="15"/>
      <c r="B20" s="109"/>
      <c r="C20" s="109"/>
      <c r="D20" s="109"/>
      <c r="E20" s="109"/>
      <c r="F20" s="109"/>
      <c r="G20" s="109"/>
      <c r="H20" s="109"/>
      <c r="I20" s="109"/>
    </row>
    <row r="21" spans="1:13" ht="13.9">
      <c r="A21" s="31" t="s">
        <v>37</v>
      </c>
      <c r="B21" s="49"/>
      <c r="C21" s="49"/>
      <c r="D21" s="49"/>
      <c r="E21" s="49"/>
      <c r="F21" s="49"/>
      <c r="G21" s="49"/>
      <c r="H21" s="49"/>
      <c r="I21" s="49"/>
    </row>
    <row r="22" spans="1:13" ht="13.9">
      <c r="A22" s="15" t="s">
        <v>39</v>
      </c>
      <c r="B22" s="49">
        <v>72.67</v>
      </c>
      <c r="C22" s="49">
        <v>110.1875</v>
      </c>
      <c r="D22" s="49">
        <v>93.75</v>
      </c>
      <c r="E22" s="49">
        <v>80.125</v>
      </c>
      <c r="F22" s="49">
        <v>107.75</v>
      </c>
      <c r="G22" s="49">
        <v>65.412499999999994</v>
      </c>
      <c r="H22" s="49">
        <v>88</v>
      </c>
      <c r="I22" s="49">
        <v>88.5</v>
      </c>
      <c r="K22" s="64"/>
      <c r="M22" s="64"/>
    </row>
    <row r="23" spans="1:13" ht="13.9">
      <c r="A23" s="15" t="s">
        <v>40</v>
      </c>
      <c r="B23" s="49">
        <v>79.180000000000007</v>
      </c>
      <c r="C23" s="49">
        <v>116.6875</v>
      </c>
      <c r="D23" s="49">
        <v>106</v>
      </c>
      <c r="E23" s="49">
        <v>84.375</v>
      </c>
      <c r="F23" s="49">
        <v>111</v>
      </c>
      <c r="G23" s="49">
        <v>69.67</v>
      </c>
      <c r="H23" s="49" t="s">
        <v>78</v>
      </c>
      <c r="I23" s="49">
        <v>88.5</v>
      </c>
      <c r="K23" s="64"/>
      <c r="M23" s="64"/>
    </row>
    <row r="24" spans="1:13" ht="13.9">
      <c r="A24" s="15" t="s">
        <v>42</v>
      </c>
      <c r="B24" s="49">
        <v>68.14</v>
      </c>
      <c r="C24" s="49">
        <v>105.1</v>
      </c>
      <c r="D24" s="49">
        <v>92.3</v>
      </c>
      <c r="E24" s="49">
        <v>74.05</v>
      </c>
      <c r="F24" s="49">
        <v>101</v>
      </c>
      <c r="G24" s="49">
        <v>60</v>
      </c>
      <c r="H24" s="49" t="s">
        <v>78</v>
      </c>
      <c r="I24" s="49">
        <v>84</v>
      </c>
      <c r="K24" s="64"/>
      <c r="M24" s="64"/>
    </row>
    <row r="25" spans="1:13" ht="13.9">
      <c r="A25" s="15" t="s">
        <v>43</v>
      </c>
      <c r="B25" s="49">
        <v>66</v>
      </c>
      <c r="C25" s="49">
        <v>102.1875</v>
      </c>
      <c r="D25" s="49">
        <v>85.75</v>
      </c>
      <c r="E25" s="49">
        <v>71.1875</v>
      </c>
      <c r="F25" s="49">
        <v>95.375</v>
      </c>
      <c r="G25" s="49">
        <v>61</v>
      </c>
      <c r="H25" s="49">
        <v>87</v>
      </c>
      <c r="I25" s="49">
        <v>76.125</v>
      </c>
      <c r="K25" s="64"/>
      <c r="M25" s="64"/>
    </row>
    <row r="26" spans="1:13" ht="13.9">
      <c r="A26" s="15" t="s">
        <v>44</v>
      </c>
      <c r="B26" s="49">
        <v>63.242500000000007</v>
      </c>
      <c r="C26" s="49">
        <v>100</v>
      </c>
      <c r="D26" s="49">
        <v>81.25</v>
      </c>
      <c r="E26" s="49">
        <v>68.25</v>
      </c>
      <c r="F26" s="49">
        <v>88</v>
      </c>
      <c r="G26" s="49" t="s">
        <v>78</v>
      </c>
      <c r="H26" s="49" t="s">
        <v>78</v>
      </c>
      <c r="I26" s="49">
        <v>63.95</v>
      </c>
      <c r="K26" s="64"/>
      <c r="M26" s="64"/>
    </row>
    <row r="27" spans="1:13" ht="13.9">
      <c r="A27" s="15" t="s">
        <v>46</v>
      </c>
      <c r="B27" s="49">
        <v>58.83</v>
      </c>
      <c r="C27" s="49">
        <v>96.55</v>
      </c>
      <c r="D27" s="49">
        <v>76.599999999999994</v>
      </c>
      <c r="E27" s="49">
        <v>64.599999999999994</v>
      </c>
      <c r="F27" s="49">
        <v>84.4</v>
      </c>
      <c r="G27" s="49" t="s">
        <v>78</v>
      </c>
      <c r="H27" s="49" t="s">
        <v>78</v>
      </c>
      <c r="I27" s="49">
        <v>66.25</v>
      </c>
      <c r="K27" s="64"/>
      <c r="M27" s="64"/>
    </row>
    <row r="28" spans="1:13" ht="13.9">
      <c r="A28" s="15" t="s">
        <v>47</v>
      </c>
      <c r="B28" s="49">
        <v>55.474999999999994</v>
      </c>
      <c r="C28" s="49">
        <v>92.5625</v>
      </c>
      <c r="D28" s="49">
        <v>73</v>
      </c>
      <c r="E28" s="49">
        <v>62.625</v>
      </c>
      <c r="F28" s="49">
        <v>81.75</v>
      </c>
      <c r="G28" s="49" t="s">
        <v>78</v>
      </c>
      <c r="H28" s="49">
        <v>82</v>
      </c>
      <c r="I28" s="49" t="s">
        <v>78</v>
      </c>
      <c r="K28" s="64"/>
      <c r="M28" s="64"/>
    </row>
    <row r="29" spans="1:13" ht="13.9">
      <c r="A29" s="15" t="s">
        <v>48</v>
      </c>
      <c r="B29" s="49">
        <v>52.484999999999999</v>
      </c>
      <c r="C29" s="49">
        <v>91.75</v>
      </c>
      <c r="D29" s="49">
        <v>68.625</v>
      </c>
      <c r="E29" s="49">
        <v>62.125</v>
      </c>
      <c r="F29" s="49">
        <v>85.5</v>
      </c>
      <c r="G29" s="49">
        <v>52</v>
      </c>
      <c r="H29" s="49" t="s">
        <v>78</v>
      </c>
      <c r="I29" s="49" t="s">
        <v>78</v>
      </c>
      <c r="K29" s="64"/>
      <c r="M29" s="64"/>
    </row>
    <row r="30" spans="1:13" ht="13.9">
      <c r="A30" s="15" t="s">
        <v>50</v>
      </c>
      <c r="B30" s="49">
        <v>60.007999999999996</v>
      </c>
      <c r="C30" s="49">
        <v>97.85</v>
      </c>
      <c r="D30" s="49">
        <v>67</v>
      </c>
      <c r="E30" s="49">
        <v>71.849999999999994</v>
      </c>
      <c r="F30" s="49">
        <v>89.6</v>
      </c>
      <c r="G30" s="49" t="s">
        <v>78</v>
      </c>
      <c r="H30" s="49">
        <v>80</v>
      </c>
      <c r="I30" s="49">
        <v>74.59</v>
      </c>
      <c r="K30" s="64"/>
      <c r="M30" s="64"/>
    </row>
    <row r="31" spans="1:13" ht="13.9">
      <c r="A31" s="15" t="s">
        <v>51</v>
      </c>
      <c r="B31" s="49">
        <v>70.887499999999989</v>
      </c>
      <c r="C31" s="49">
        <v>107.75</v>
      </c>
      <c r="D31" s="49">
        <v>73.25</v>
      </c>
      <c r="E31" s="49">
        <v>83</v>
      </c>
      <c r="F31" s="49">
        <v>94.25</v>
      </c>
      <c r="G31" s="49" t="s">
        <v>78</v>
      </c>
      <c r="H31" s="49" t="s">
        <v>78</v>
      </c>
      <c r="I31" s="49">
        <v>74.625</v>
      </c>
      <c r="K31" s="64"/>
      <c r="M31" s="64"/>
    </row>
    <row r="32" spans="1:13" ht="13.9">
      <c r="A32" s="15" t="s">
        <v>52</v>
      </c>
      <c r="B32" s="49">
        <v>70.966999999999999</v>
      </c>
      <c r="C32" s="49">
        <v>108.19</v>
      </c>
      <c r="D32" s="49">
        <v>72.69</v>
      </c>
      <c r="E32" s="49">
        <v>81.69</v>
      </c>
      <c r="F32" s="49">
        <v>95.25</v>
      </c>
      <c r="G32" s="49" t="s">
        <v>78</v>
      </c>
      <c r="H32" s="49" t="s">
        <v>78</v>
      </c>
      <c r="I32" s="49">
        <v>76.7</v>
      </c>
      <c r="K32" s="64"/>
      <c r="M32" s="64"/>
    </row>
    <row r="33" spans="1:13" ht="13.9">
      <c r="A33" s="15" t="s">
        <v>38</v>
      </c>
      <c r="B33" s="49">
        <v>65.227999999999994</v>
      </c>
      <c r="C33" s="49">
        <v>101.5</v>
      </c>
      <c r="D33" s="49">
        <v>71.099999999999994</v>
      </c>
      <c r="E33" s="49">
        <v>73.75</v>
      </c>
      <c r="F33" s="49">
        <v>88.4</v>
      </c>
      <c r="G33" s="49" t="s">
        <v>78</v>
      </c>
      <c r="H33" s="49" t="s">
        <v>78</v>
      </c>
      <c r="I33" s="49">
        <v>76.25</v>
      </c>
      <c r="K33" s="64"/>
      <c r="M33" s="64"/>
    </row>
    <row r="34" spans="1:13" ht="13.9">
      <c r="A34" s="15"/>
      <c r="B34" s="49"/>
      <c r="C34" s="49"/>
      <c r="D34" s="49"/>
      <c r="E34" s="49"/>
      <c r="F34" s="49"/>
      <c r="G34" s="49"/>
      <c r="H34" s="49"/>
      <c r="I34" s="49"/>
      <c r="K34" s="64"/>
      <c r="M34" s="64"/>
    </row>
    <row r="35" spans="1:13" ht="13.9">
      <c r="A35" s="31" t="s">
        <v>54</v>
      </c>
      <c r="B35" s="49"/>
      <c r="C35" s="49"/>
      <c r="D35" s="49"/>
      <c r="E35" s="49"/>
      <c r="F35" s="49"/>
      <c r="G35" s="49"/>
      <c r="H35" s="49"/>
      <c r="I35" s="49"/>
      <c r="K35" s="64"/>
      <c r="M35" s="64"/>
    </row>
    <row r="36" spans="1:13" ht="13.9">
      <c r="A36" s="15" t="s">
        <v>39</v>
      </c>
      <c r="B36" s="49">
        <v>56.599999999999994</v>
      </c>
      <c r="C36" s="49">
        <v>92</v>
      </c>
      <c r="D36" s="49">
        <v>64.75</v>
      </c>
      <c r="E36" s="49">
        <v>65.1875</v>
      </c>
      <c r="F36" s="49">
        <v>83.25</v>
      </c>
      <c r="G36" s="49" t="s">
        <v>78</v>
      </c>
      <c r="H36" s="95">
        <v>90</v>
      </c>
      <c r="I36" s="49">
        <v>65.17</v>
      </c>
      <c r="K36" s="64"/>
      <c r="M36" s="64"/>
    </row>
    <row r="37" spans="1:13" ht="13.9">
      <c r="A37" s="15" t="s">
        <v>40</v>
      </c>
      <c r="B37" s="49">
        <v>53.39</v>
      </c>
      <c r="C37" s="49">
        <v>86.38</v>
      </c>
      <c r="D37" s="49">
        <v>62.25</v>
      </c>
      <c r="E37" s="49">
        <v>61.63</v>
      </c>
      <c r="F37" s="49">
        <v>81.5</v>
      </c>
      <c r="G37" s="49" t="s">
        <v>78</v>
      </c>
      <c r="H37" s="95" t="s">
        <v>78</v>
      </c>
      <c r="I37" s="49">
        <v>57.024999999999999</v>
      </c>
      <c r="K37" s="64"/>
      <c r="M37" s="64"/>
    </row>
    <row r="38" spans="1:13" ht="13.9">
      <c r="A38" s="15" t="s">
        <v>42</v>
      </c>
      <c r="B38" s="49">
        <v>52.33</v>
      </c>
      <c r="C38" s="49">
        <v>83.1</v>
      </c>
      <c r="D38" s="49">
        <v>58.6</v>
      </c>
      <c r="E38" s="49">
        <v>59.45</v>
      </c>
      <c r="F38" s="49">
        <v>77.8</v>
      </c>
      <c r="G38" s="49" t="s">
        <v>78</v>
      </c>
      <c r="H38" s="95">
        <v>65</v>
      </c>
      <c r="I38" s="49">
        <v>50.67</v>
      </c>
      <c r="K38" s="64"/>
      <c r="M38" s="64"/>
    </row>
    <row r="39" spans="1:13" ht="13.9">
      <c r="A39" s="15" t="s">
        <v>43</v>
      </c>
      <c r="B39" s="49">
        <v>49.1</v>
      </c>
      <c r="C39" s="49">
        <v>79.5</v>
      </c>
      <c r="D39" s="49">
        <v>58.13</v>
      </c>
      <c r="E39" s="49">
        <v>57.25</v>
      </c>
      <c r="F39" s="49">
        <v>76.5</v>
      </c>
      <c r="G39" s="49" t="s">
        <v>78</v>
      </c>
      <c r="H39" s="95" t="s">
        <v>78</v>
      </c>
      <c r="I39" s="49" t="s">
        <v>78</v>
      </c>
      <c r="K39" s="64"/>
      <c r="M39" s="64"/>
    </row>
    <row r="40" spans="1:13" ht="16.149999999999999">
      <c r="A40" s="82" t="s">
        <v>142</v>
      </c>
      <c r="B40" s="143"/>
      <c r="C40" s="143"/>
      <c r="D40" s="143"/>
      <c r="E40" s="143"/>
      <c r="F40" s="143"/>
      <c r="G40" s="143"/>
      <c r="H40" s="143"/>
      <c r="I40" s="144"/>
    </row>
    <row r="41" spans="1:13" ht="16.149999999999999">
      <c r="A41" s="15" t="s">
        <v>143</v>
      </c>
      <c r="B41" s="62"/>
      <c r="C41" s="62"/>
      <c r="D41" s="62"/>
      <c r="E41" s="62"/>
      <c r="F41" s="62"/>
      <c r="G41" s="62"/>
      <c r="H41" s="62"/>
      <c r="I41" s="62"/>
    </row>
    <row r="42" spans="1:13" ht="14.45">
      <c r="A42" s="15" t="s">
        <v>144</v>
      </c>
      <c r="B42" s="15"/>
      <c r="C42" s="15"/>
      <c r="D42" s="15"/>
      <c r="E42" s="15"/>
      <c r="F42" s="62"/>
      <c r="G42" s="15"/>
      <c r="H42" s="15"/>
      <c r="I42" s="15"/>
    </row>
    <row r="43" spans="1:13" ht="13.9">
      <c r="A43" s="20" t="s">
        <v>57</v>
      </c>
      <c r="B43" s="37">
        <f>Contents!A16</f>
        <v>45334</v>
      </c>
      <c r="C43" s="15"/>
      <c r="D43" s="15"/>
      <c r="E43" s="15"/>
      <c r="F43" s="15"/>
      <c r="G43" s="15"/>
      <c r="H43" s="15"/>
      <c r="I43" s="15"/>
    </row>
    <row r="44" spans="1:13" ht="15.6">
      <c r="C44" s="63"/>
      <c r="G44" s="63"/>
      <c r="H44" s="63"/>
      <c r="I44" s="63"/>
    </row>
    <row r="45" spans="1:13" ht="15.6">
      <c r="B45" s="64"/>
      <c r="C45" s="64"/>
      <c r="D45" s="64"/>
      <c r="E45" s="64"/>
      <c r="F45" s="64"/>
      <c r="G45" s="64"/>
      <c r="H45" s="63"/>
      <c r="I45" s="63"/>
    </row>
    <row r="46" spans="1:13" ht="15.6">
      <c r="B46" s="88"/>
      <c r="C46" s="88"/>
      <c r="D46" s="88"/>
      <c r="E46" s="88"/>
      <c r="F46" s="88"/>
      <c r="G46" s="88"/>
      <c r="H46" s="63"/>
      <c r="I46" s="63"/>
    </row>
    <row r="47" spans="1:13" ht="15.6">
      <c r="C47" s="63"/>
      <c r="G47" s="63"/>
      <c r="H47" s="63"/>
      <c r="I47" s="63"/>
    </row>
    <row r="48" spans="1:13" ht="15.6">
      <c r="C48" s="63"/>
      <c r="G48" s="63"/>
      <c r="H48" s="63"/>
      <c r="I48" s="63"/>
    </row>
    <row r="49" spans="3:9" ht="15.6">
      <c r="C49" s="63"/>
      <c r="G49" s="63"/>
      <c r="H49" s="63"/>
      <c r="I49" s="63"/>
    </row>
    <row r="50" spans="3:9" ht="15.6">
      <c r="C50" s="63"/>
      <c r="G50" s="63"/>
      <c r="H50" s="63"/>
      <c r="I50" s="63"/>
    </row>
    <row r="51" spans="3:9" ht="15.6">
      <c r="C51" s="63"/>
      <c r="G51" s="63"/>
      <c r="H51" s="63"/>
      <c r="I51" s="63"/>
    </row>
    <row r="52" spans="3:9" ht="15.6">
      <c r="C52" s="63"/>
      <c r="G52" s="63"/>
      <c r="H52" s="63"/>
      <c r="I52" s="63"/>
    </row>
    <row r="53" spans="3:9" ht="15.6">
      <c r="C53" s="63"/>
      <c r="G53" s="63"/>
      <c r="H53" s="63"/>
      <c r="I53" s="63"/>
    </row>
    <row r="54" spans="3:9" ht="15.6">
      <c r="C54" s="63"/>
      <c r="G54" s="63"/>
      <c r="H54" s="63"/>
      <c r="I54" s="63"/>
    </row>
    <row r="55" spans="3:9" ht="15.6">
      <c r="C55" s="63"/>
      <c r="G55" s="63"/>
      <c r="H55" s="63"/>
      <c r="I55" s="63"/>
    </row>
    <row r="56" spans="3:9" ht="15.6">
      <c r="C56" s="63"/>
      <c r="G56" s="63"/>
      <c r="H56" s="63"/>
      <c r="I56" s="63"/>
    </row>
    <row r="57" spans="3:9" ht="15.6">
      <c r="C57" s="63"/>
      <c r="G57" s="63"/>
      <c r="H57" s="63"/>
      <c r="I57" s="63"/>
    </row>
    <row r="58" spans="3:9" ht="15.6">
      <c r="C58" s="63"/>
      <c r="G58" s="63"/>
      <c r="H58" s="63"/>
      <c r="I58" s="63"/>
    </row>
    <row r="59" spans="3:9" ht="15.6">
      <c r="C59" s="63"/>
      <c r="G59" s="63"/>
      <c r="H59" s="63"/>
      <c r="I59" s="63"/>
    </row>
    <row r="60" spans="3:9" ht="15.6">
      <c r="C60" s="63"/>
      <c r="H60" s="63"/>
      <c r="I60" s="63"/>
    </row>
    <row r="61" spans="3:9" ht="15.6">
      <c r="C61" s="63"/>
      <c r="H61" s="63"/>
      <c r="I61" s="63"/>
    </row>
    <row r="62" spans="3:9" ht="15.6">
      <c r="C62" s="63"/>
      <c r="F62" s="64"/>
      <c r="H62" s="63"/>
      <c r="I62" s="63"/>
    </row>
    <row r="63" spans="3:9" ht="15.6">
      <c r="F63" s="64"/>
      <c r="H63" s="63"/>
      <c r="I63" s="63"/>
    </row>
  </sheetData>
  <phoneticPr fontId="39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3"/>
  <sheetViews>
    <sheetView showGridLines="0" tabSelected="1" zoomScale="70" zoomScaleNormal="70" workbookViewId="0">
      <pane xSplit="1" ySplit="4" topLeftCell="B13" activePane="bottomRight" state="frozen"/>
      <selection pane="bottomRight" activeCell="A43" sqref="A43"/>
      <selection pane="bottomLeft" activeCell="B1" sqref="B1"/>
      <selection pane="topRight" activeCell="B1" sqref="B1"/>
    </sheetView>
  </sheetViews>
  <sheetFormatPr defaultColWidth="9.140625" defaultRowHeight="13.15"/>
  <cols>
    <col min="1" max="1" width="11.7109375" customWidth="1"/>
    <col min="2" max="7" width="13.7109375" customWidth="1"/>
    <col min="8" max="8" width="12.42578125" bestFit="1" customWidth="1"/>
    <col min="9" max="9" width="11.42578125" customWidth="1"/>
    <col min="11" max="11" width="8.85546875" customWidth="1"/>
    <col min="12" max="12" width="18" bestFit="1" customWidth="1"/>
  </cols>
  <sheetData>
    <row r="1" spans="1:28" ht="13.9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125</v>
      </c>
      <c r="C2" s="65" t="s">
        <v>126</v>
      </c>
      <c r="D2" s="65" t="s">
        <v>127</v>
      </c>
      <c r="E2" s="65" t="s">
        <v>129</v>
      </c>
      <c r="F2" s="17" t="s">
        <v>145</v>
      </c>
      <c r="G2" s="17" t="s">
        <v>146</v>
      </c>
      <c r="AB2" s="66"/>
    </row>
    <row r="3" spans="1:28" ht="15.6" customHeight="1">
      <c r="A3" s="14" t="s">
        <v>105</v>
      </c>
      <c r="B3" s="23" t="s">
        <v>147</v>
      </c>
      <c r="C3" s="23" t="s">
        <v>148</v>
      </c>
      <c r="D3" s="23" t="s">
        <v>149</v>
      </c>
      <c r="E3" s="23" t="s">
        <v>150</v>
      </c>
      <c r="F3" s="23" t="s">
        <v>151</v>
      </c>
      <c r="G3" s="23" t="s">
        <v>152</v>
      </c>
      <c r="AB3" s="66"/>
    </row>
    <row r="4" spans="1:28" ht="14.45">
      <c r="A4" s="59" t="s">
        <v>153</v>
      </c>
      <c r="C4" s="60"/>
      <c r="D4" s="60"/>
      <c r="E4" s="60"/>
      <c r="F4" s="60"/>
      <c r="G4" s="60"/>
      <c r="AB4" s="66"/>
    </row>
    <row r="5" spans="1:28" ht="13.9">
      <c r="A5" s="15"/>
      <c r="B5" s="15"/>
      <c r="C5" s="15"/>
      <c r="D5" s="15"/>
      <c r="E5" s="15"/>
      <c r="F5" s="15"/>
      <c r="G5" s="15"/>
      <c r="AB5" s="66"/>
    </row>
    <row r="6" spans="1:28" ht="13.9">
      <c r="A6" s="15" t="s">
        <v>110</v>
      </c>
      <c r="B6" s="61">
        <v>345.52</v>
      </c>
      <c r="C6" s="61">
        <v>273.83999999999997</v>
      </c>
      <c r="D6" s="61">
        <v>219.72</v>
      </c>
      <c r="E6" s="53" t="s">
        <v>78</v>
      </c>
      <c r="F6" s="61">
        <v>263.63</v>
      </c>
      <c r="G6" s="61">
        <v>240.65</v>
      </c>
      <c r="H6" s="64"/>
      <c r="I6" s="64"/>
      <c r="AB6" s="66"/>
    </row>
    <row r="7" spans="1:28" ht="13.9">
      <c r="A7" s="15" t="s">
        <v>111</v>
      </c>
      <c r="B7" s="61">
        <v>393.53</v>
      </c>
      <c r="C7" s="61">
        <v>275.13</v>
      </c>
      <c r="D7" s="61">
        <v>246.75</v>
      </c>
      <c r="E7" s="53" t="s">
        <v>78</v>
      </c>
      <c r="F7" s="61">
        <v>307.58999999999997</v>
      </c>
      <c r="G7" s="61">
        <v>265.68</v>
      </c>
      <c r="H7" s="64"/>
      <c r="I7" s="64"/>
      <c r="AB7" s="66"/>
    </row>
    <row r="8" spans="1:28" ht="13.9">
      <c r="A8" s="15" t="s">
        <v>112</v>
      </c>
      <c r="B8" s="61">
        <v>468.11</v>
      </c>
      <c r="C8" s="61">
        <v>331.52</v>
      </c>
      <c r="D8" s="61">
        <v>241.57</v>
      </c>
      <c r="E8" s="53" t="s">
        <v>78</v>
      </c>
      <c r="F8" s="61">
        <v>354.22</v>
      </c>
      <c r="G8" s="61">
        <v>329.31</v>
      </c>
      <c r="H8" s="64"/>
      <c r="I8" s="64"/>
      <c r="AB8" s="66"/>
    </row>
    <row r="9" spans="1:28" ht="13.9">
      <c r="A9" s="15" t="s">
        <v>113</v>
      </c>
      <c r="B9" s="61">
        <v>489.94</v>
      </c>
      <c r="C9" s="61">
        <v>377.71</v>
      </c>
      <c r="D9" s="61">
        <v>238.87</v>
      </c>
      <c r="E9" s="53" t="s">
        <v>78</v>
      </c>
      <c r="F9" s="61">
        <v>359.7</v>
      </c>
      <c r="G9" s="61">
        <v>337.23</v>
      </c>
      <c r="H9" s="64"/>
      <c r="I9" s="64"/>
      <c r="AB9" s="66"/>
    </row>
    <row r="10" spans="1:28" ht="13.9">
      <c r="A10" s="15" t="s">
        <v>114</v>
      </c>
      <c r="B10" s="61">
        <v>368.49</v>
      </c>
      <c r="C10" s="61">
        <v>304.27</v>
      </c>
      <c r="D10" s="61">
        <v>209.97</v>
      </c>
      <c r="E10" s="53" t="s">
        <v>78</v>
      </c>
      <c r="F10" s="61">
        <v>301.2</v>
      </c>
      <c r="G10" s="61">
        <v>256.58</v>
      </c>
      <c r="H10" s="64"/>
      <c r="I10" s="64"/>
      <c r="AB10" s="66"/>
    </row>
    <row r="11" spans="1:28" ht="13.9">
      <c r="A11" s="15" t="s">
        <v>115</v>
      </c>
      <c r="B11" s="61">
        <v>324.56</v>
      </c>
      <c r="C11" s="61">
        <v>261.19</v>
      </c>
      <c r="D11" s="61">
        <v>153.16999999999999</v>
      </c>
      <c r="E11" s="53" t="s">
        <v>78</v>
      </c>
      <c r="F11" s="61">
        <v>262.2</v>
      </c>
      <c r="G11" s="61">
        <v>260.23</v>
      </c>
      <c r="H11" s="64"/>
      <c r="I11" s="64"/>
      <c r="AB11" s="66"/>
    </row>
    <row r="12" spans="1:28" ht="13.9">
      <c r="A12" s="15" t="s">
        <v>116</v>
      </c>
      <c r="B12" s="61">
        <v>316.88</v>
      </c>
      <c r="C12" s="61">
        <v>208.61</v>
      </c>
      <c r="D12" s="61">
        <v>145.1</v>
      </c>
      <c r="E12" s="53" t="s">
        <v>78</v>
      </c>
      <c r="F12" s="61">
        <v>267.94</v>
      </c>
      <c r="G12" s="61">
        <v>282.49</v>
      </c>
      <c r="H12" s="64"/>
      <c r="I12" s="64"/>
      <c r="AB12" s="66"/>
    </row>
    <row r="13" spans="1:28" ht="13.9">
      <c r="A13" s="15" t="s">
        <v>117</v>
      </c>
      <c r="B13" s="61">
        <v>345.02</v>
      </c>
      <c r="C13" s="61">
        <v>260.88</v>
      </c>
      <c r="D13" s="61">
        <v>173.53</v>
      </c>
      <c r="E13" s="53" t="s">
        <v>78</v>
      </c>
      <c r="F13" s="61">
        <v>291.14999999999998</v>
      </c>
      <c r="G13" s="61">
        <v>239.15</v>
      </c>
      <c r="H13" s="64"/>
      <c r="I13" s="64"/>
    </row>
    <row r="14" spans="1:28" ht="13.9">
      <c r="A14" s="15" t="s">
        <v>118</v>
      </c>
      <c r="B14" s="61">
        <v>308.27999999999997</v>
      </c>
      <c r="C14" s="61">
        <v>228.64</v>
      </c>
      <c r="D14" s="61">
        <v>164.16</v>
      </c>
      <c r="E14" s="53" t="s">
        <v>78</v>
      </c>
      <c r="F14" s="61">
        <v>272.38</v>
      </c>
      <c r="G14" s="61">
        <v>225.77</v>
      </c>
      <c r="H14" s="64"/>
      <c r="I14" s="64"/>
    </row>
    <row r="15" spans="1:28" ht="13.9">
      <c r="A15" s="15" t="s">
        <v>119</v>
      </c>
      <c r="B15" s="61">
        <v>299.5</v>
      </c>
      <c r="C15" s="61">
        <v>247.04</v>
      </c>
      <c r="D15" s="61">
        <v>187.7</v>
      </c>
      <c r="E15" s="53" t="s">
        <v>78</v>
      </c>
      <c r="F15" s="61">
        <v>273.99</v>
      </c>
      <c r="G15" s="61">
        <v>245.88</v>
      </c>
      <c r="H15" s="64"/>
      <c r="I15" s="64"/>
    </row>
    <row r="16" spans="1:28" ht="13.9">
      <c r="A16" s="15" t="s">
        <v>120</v>
      </c>
      <c r="B16" s="61">
        <v>392.31</v>
      </c>
      <c r="C16" s="61">
        <v>375.51</v>
      </c>
      <c r="D16" s="92">
        <v>246.22</v>
      </c>
      <c r="E16" s="53" t="s">
        <v>78</v>
      </c>
      <c r="F16" s="61">
        <v>351.87</v>
      </c>
      <c r="G16" s="61">
        <v>288.12</v>
      </c>
      <c r="H16" s="64"/>
      <c r="I16" s="64"/>
    </row>
    <row r="17" spans="1:13" ht="13.9">
      <c r="A17" s="15" t="s">
        <v>34</v>
      </c>
      <c r="B17" s="61">
        <v>439.81</v>
      </c>
      <c r="C17" s="61">
        <v>355.33</v>
      </c>
      <c r="D17" s="61">
        <v>279.98</v>
      </c>
      <c r="E17" s="53" t="s">
        <v>78</v>
      </c>
      <c r="F17" s="61">
        <v>439.1</v>
      </c>
      <c r="G17" s="61">
        <v>332.21</v>
      </c>
      <c r="H17" s="64"/>
      <c r="I17" s="64"/>
    </row>
    <row r="18" spans="1:13" ht="16.149999999999999">
      <c r="A18" s="15" t="s">
        <v>140</v>
      </c>
      <c r="B18" s="61">
        <v>451.91</v>
      </c>
      <c r="C18" s="61">
        <v>379.13</v>
      </c>
      <c r="D18" s="61">
        <v>244.34</v>
      </c>
      <c r="E18" s="53" t="s">
        <v>78</v>
      </c>
      <c r="F18" s="61">
        <v>431.34</v>
      </c>
      <c r="G18" s="92">
        <v>359.06</v>
      </c>
      <c r="H18" s="64"/>
      <c r="I18" s="64"/>
    </row>
    <row r="19" spans="1:13" ht="16.149999999999999">
      <c r="A19" s="15" t="s">
        <v>141</v>
      </c>
      <c r="B19" s="61">
        <v>380</v>
      </c>
      <c r="C19" s="61">
        <v>340</v>
      </c>
      <c r="D19" s="61">
        <v>225</v>
      </c>
      <c r="E19" s="53" t="s">
        <v>78</v>
      </c>
      <c r="F19" s="61">
        <v>360</v>
      </c>
      <c r="G19" s="92">
        <v>280</v>
      </c>
      <c r="H19" s="64"/>
      <c r="I19" s="64"/>
    </row>
    <row r="20" spans="1:13" ht="13.9">
      <c r="A20" s="15"/>
      <c r="B20" s="61"/>
      <c r="C20" s="61"/>
      <c r="D20" s="61"/>
      <c r="E20" s="53"/>
      <c r="F20" s="61"/>
      <c r="G20" s="61"/>
      <c r="I20" s="67"/>
      <c r="J20" s="68"/>
      <c r="K20" s="68"/>
      <c r="L20" s="68"/>
      <c r="M20" s="68"/>
    </row>
    <row r="21" spans="1:13" ht="13.9">
      <c r="A21" s="31" t="s">
        <v>37</v>
      </c>
      <c r="B21" s="92"/>
      <c r="C21" s="61"/>
      <c r="D21" s="61"/>
      <c r="E21" s="53"/>
      <c r="F21" s="61"/>
      <c r="G21" s="61"/>
      <c r="H21" s="49"/>
    </row>
    <row r="22" spans="1:13" ht="13.9">
      <c r="A22" s="15" t="s">
        <v>39</v>
      </c>
      <c r="B22" s="92">
        <v>468.67499999999995</v>
      </c>
      <c r="C22" s="61">
        <v>451.875</v>
      </c>
      <c r="D22" s="61" t="s">
        <v>78</v>
      </c>
      <c r="E22" s="53" t="s">
        <v>78</v>
      </c>
      <c r="F22" s="61">
        <v>409.17499999999995</v>
      </c>
      <c r="G22" s="61" t="s">
        <v>78</v>
      </c>
      <c r="H22" s="49"/>
      <c r="I22" s="64"/>
    </row>
    <row r="23" spans="1:13" ht="13.9">
      <c r="A23" s="15" t="s">
        <v>40</v>
      </c>
      <c r="B23" s="92">
        <v>436.74999999999994</v>
      </c>
      <c r="C23" s="61">
        <v>405</v>
      </c>
      <c r="D23" s="61" t="s">
        <v>78</v>
      </c>
      <c r="E23" s="53" t="s">
        <v>78</v>
      </c>
      <c r="F23" s="61">
        <v>402.99999999999994</v>
      </c>
      <c r="G23" s="61">
        <v>357.5</v>
      </c>
      <c r="H23" s="49"/>
      <c r="I23" s="64"/>
    </row>
    <row r="24" spans="1:13" ht="13.9">
      <c r="A24" s="15" t="s">
        <v>42</v>
      </c>
      <c r="B24" s="92">
        <v>462.85</v>
      </c>
      <c r="C24" s="61">
        <v>390.625</v>
      </c>
      <c r="D24" s="61">
        <v>200</v>
      </c>
      <c r="E24" s="53" t="s">
        <v>78</v>
      </c>
      <c r="F24" s="61">
        <v>437.09999999999997</v>
      </c>
      <c r="G24" s="61">
        <v>368.5</v>
      </c>
      <c r="H24" s="49"/>
      <c r="I24" s="64"/>
    </row>
    <row r="25" spans="1:13" ht="13.9">
      <c r="A25" s="15" t="s">
        <v>43</v>
      </c>
      <c r="B25" s="92">
        <v>482.40000000000003</v>
      </c>
      <c r="C25" s="61">
        <v>386.25</v>
      </c>
      <c r="D25" s="61">
        <v>355</v>
      </c>
      <c r="E25" s="53" t="s">
        <v>78</v>
      </c>
      <c r="F25" s="61">
        <v>474.02500000000003</v>
      </c>
      <c r="G25" s="61">
        <v>397.5</v>
      </c>
      <c r="H25" s="49"/>
      <c r="I25" s="64"/>
    </row>
    <row r="26" spans="1:13" ht="13.9">
      <c r="A26" s="15" t="s">
        <v>44</v>
      </c>
      <c r="B26" s="92">
        <v>500.52499999999998</v>
      </c>
      <c r="C26" s="61">
        <v>392.5</v>
      </c>
      <c r="D26" s="61">
        <v>336.25</v>
      </c>
      <c r="E26" s="53" t="s">
        <v>78</v>
      </c>
      <c r="F26" s="61">
        <v>501.02499999999998</v>
      </c>
      <c r="G26" s="61">
        <v>412.5</v>
      </c>
      <c r="H26" s="49"/>
      <c r="I26" s="64"/>
    </row>
    <row r="27" spans="1:13" ht="13.9">
      <c r="A27" s="15" t="s">
        <v>46</v>
      </c>
      <c r="B27" s="92">
        <v>484.4</v>
      </c>
      <c r="C27" s="61">
        <v>386.25</v>
      </c>
      <c r="D27" s="61">
        <v>308</v>
      </c>
      <c r="E27" s="53" t="s">
        <v>78</v>
      </c>
      <c r="F27" s="61">
        <v>466.6</v>
      </c>
      <c r="G27" s="61">
        <v>380.4</v>
      </c>
      <c r="H27" s="49"/>
      <c r="I27" s="64"/>
    </row>
    <row r="28" spans="1:13" ht="13.9">
      <c r="A28" s="15" t="s">
        <v>47</v>
      </c>
      <c r="B28" s="92">
        <v>457.25</v>
      </c>
      <c r="C28" s="61">
        <v>364.375</v>
      </c>
      <c r="D28" s="61">
        <v>252.5</v>
      </c>
      <c r="E28" s="53" t="s">
        <v>78</v>
      </c>
      <c r="F28" s="61">
        <v>434.75</v>
      </c>
      <c r="G28" s="61">
        <v>352.5</v>
      </c>
      <c r="H28" s="49"/>
      <c r="I28" s="64"/>
    </row>
    <row r="29" spans="1:13" ht="13.9">
      <c r="A29" s="15" t="s">
        <v>48</v>
      </c>
      <c r="B29" s="92">
        <v>423.57499999999999</v>
      </c>
      <c r="C29" s="61">
        <v>370.625</v>
      </c>
      <c r="D29" s="61">
        <v>237.5</v>
      </c>
      <c r="E29" s="53" t="s">
        <v>78</v>
      </c>
      <c r="F29" s="61">
        <v>407.02500000000003</v>
      </c>
      <c r="G29" s="61">
        <v>352.5</v>
      </c>
      <c r="H29" s="49"/>
      <c r="I29" s="64"/>
    </row>
    <row r="30" spans="1:13" ht="13.9">
      <c r="A30" s="15" t="s">
        <v>50</v>
      </c>
      <c r="B30" s="92">
        <v>413.46000000000004</v>
      </c>
      <c r="C30" s="61">
        <v>362.5</v>
      </c>
      <c r="D30" s="61">
        <v>208.00200000000001</v>
      </c>
      <c r="E30" s="53" t="s">
        <v>78</v>
      </c>
      <c r="F30" s="61">
        <v>405.06000000000006</v>
      </c>
      <c r="G30" s="61">
        <v>354</v>
      </c>
      <c r="H30" s="49"/>
      <c r="I30" s="64"/>
    </row>
    <row r="31" spans="1:13" ht="13.9">
      <c r="A31" s="15" t="s">
        <v>51</v>
      </c>
      <c r="B31" s="92">
        <v>443.15</v>
      </c>
      <c r="C31" s="61">
        <v>347.5</v>
      </c>
      <c r="D31" s="61">
        <v>159.16749999999999</v>
      </c>
      <c r="E31" s="53" t="s">
        <v>78</v>
      </c>
      <c r="F31" s="61">
        <v>432.1</v>
      </c>
      <c r="G31" s="61">
        <v>335</v>
      </c>
      <c r="H31" s="49"/>
      <c r="I31" s="64"/>
    </row>
    <row r="32" spans="1:13" ht="13.9">
      <c r="A32" s="15" t="s">
        <v>52</v>
      </c>
      <c r="B32" s="92">
        <v>438.8</v>
      </c>
      <c r="C32" s="61">
        <v>348.33</v>
      </c>
      <c r="D32" s="61">
        <v>185</v>
      </c>
      <c r="E32" s="53" t="s">
        <v>78</v>
      </c>
      <c r="F32" s="61">
        <v>412.9</v>
      </c>
      <c r="G32" s="61">
        <v>321.25</v>
      </c>
      <c r="H32" s="49"/>
      <c r="I32" s="64"/>
    </row>
    <row r="33" spans="1:10" ht="13.9">
      <c r="A33" s="15" t="s">
        <v>38</v>
      </c>
      <c r="B33" s="92">
        <v>411.07</v>
      </c>
      <c r="C33" s="61">
        <v>343.75</v>
      </c>
      <c r="D33" s="61">
        <v>202</v>
      </c>
      <c r="E33" s="53" t="s">
        <v>78</v>
      </c>
      <c r="F33" s="61">
        <v>393.26</v>
      </c>
      <c r="G33" s="61">
        <v>318</v>
      </c>
      <c r="H33" s="49"/>
      <c r="I33" s="64"/>
    </row>
    <row r="34" spans="1:10" ht="13.9">
      <c r="A34" s="15"/>
      <c r="B34" s="92"/>
      <c r="C34" s="61"/>
      <c r="D34" s="61"/>
      <c r="E34" s="53"/>
      <c r="F34" s="61"/>
      <c r="G34" s="61"/>
      <c r="H34" s="49"/>
      <c r="I34" s="64"/>
    </row>
    <row r="35" spans="1:10" ht="13.9">
      <c r="A35" s="31" t="s">
        <v>54</v>
      </c>
      <c r="B35" s="92"/>
      <c r="C35" s="61"/>
      <c r="D35" s="61"/>
      <c r="E35" s="53"/>
      <c r="F35" s="61"/>
      <c r="G35" s="61"/>
      <c r="H35" s="49"/>
      <c r="I35" s="64"/>
    </row>
    <row r="36" spans="1:10" ht="13.9">
      <c r="A36" s="15" t="s">
        <v>39</v>
      </c>
      <c r="B36" s="92">
        <v>416.16</v>
      </c>
      <c r="C36" s="61">
        <v>348.75</v>
      </c>
      <c r="D36" s="61">
        <v>229.16500000000002</v>
      </c>
      <c r="E36" s="53" t="s">
        <v>78</v>
      </c>
      <c r="F36" s="61">
        <v>407.1</v>
      </c>
      <c r="G36" s="61">
        <v>325</v>
      </c>
      <c r="H36" s="49"/>
      <c r="I36" s="64"/>
    </row>
    <row r="37" spans="1:10" ht="13.9">
      <c r="A37" s="15" t="s">
        <v>40</v>
      </c>
      <c r="B37" s="92">
        <v>464.27</v>
      </c>
      <c r="C37" s="61">
        <v>350</v>
      </c>
      <c r="D37" s="61">
        <v>266.67</v>
      </c>
      <c r="E37" s="53" t="s">
        <v>78</v>
      </c>
      <c r="F37" s="61">
        <v>441.77</v>
      </c>
      <c r="G37" s="92">
        <v>348.33</v>
      </c>
      <c r="H37" s="49"/>
      <c r="I37" s="64"/>
    </row>
    <row r="38" spans="1:10" ht="13.9">
      <c r="A38" s="15" t="s">
        <v>42</v>
      </c>
      <c r="B38" s="92">
        <v>440.6</v>
      </c>
      <c r="C38" s="61">
        <v>358.75</v>
      </c>
      <c r="D38" s="61">
        <v>270</v>
      </c>
      <c r="E38" s="53" t="s">
        <v>78</v>
      </c>
      <c r="F38" s="61">
        <v>395.04999999999995</v>
      </c>
      <c r="G38" s="92">
        <v>365</v>
      </c>
      <c r="H38" s="49"/>
      <c r="I38" s="64"/>
    </row>
    <row r="39" spans="1:10" ht="13.9">
      <c r="A39" s="15" t="s">
        <v>43</v>
      </c>
      <c r="B39" s="92">
        <v>378.4</v>
      </c>
      <c r="C39" s="61">
        <v>352.5</v>
      </c>
      <c r="D39" s="61">
        <v>270</v>
      </c>
      <c r="E39" s="53" t="s">
        <v>78</v>
      </c>
      <c r="F39" s="61">
        <v>349.3</v>
      </c>
      <c r="G39" s="92">
        <v>365</v>
      </c>
      <c r="H39" s="49"/>
      <c r="I39" s="64"/>
    </row>
    <row r="40" spans="1:10" ht="16.149999999999999">
      <c r="A40" s="82" t="s">
        <v>154</v>
      </c>
      <c r="B40" s="145"/>
      <c r="C40" s="145"/>
      <c r="D40" s="145"/>
      <c r="E40" s="145"/>
      <c r="F40" s="145"/>
      <c r="G40" s="145"/>
      <c r="I40" s="67"/>
    </row>
    <row r="41" spans="1:10" ht="16.149999999999999">
      <c r="A41" s="42" t="s">
        <v>155</v>
      </c>
      <c r="B41" s="69"/>
      <c r="C41" s="69"/>
      <c r="D41" s="69"/>
      <c r="E41" s="69"/>
      <c r="F41" s="69"/>
      <c r="G41" s="69"/>
      <c r="I41" s="67"/>
      <c r="J41" s="67"/>
    </row>
    <row r="42" spans="1:10" ht="14.45">
      <c r="A42" s="15" t="s">
        <v>156</v>
      </c>
      <c r="B42" s="15"/>
      <c r="C42" s="15"/>
      <c r="D42" s="15"/>
      <c r="E42" s="15"/>
      <c r="F42" s="69"/>
      <c r="G42" s="69"/>
      <c r="I42" s="67"/>
      <c r="J42" s="67"/>
    </row>
    <row r="43" spans="1:10" ht="13.9">
      <c r="A43" s="20" t="s">
        <v>57</v>
      </c>
      <c r="B43" s="37">
        <f>Contents!A16</f>
        <v>45334</v>
      </c>
      <c r="C43" s="15"/>
      <c r="D43" s="15"/>
      <c r="E43" s="15"/>
      <c r="F43" s="69"/>
      <c r="G43" s="69"/>
      <c r="I43" s="70"/>
      <c r="J43" s="70"/>
    </row>
    <row r="44" spans="1:10" ht="13.9">
      <c r="F44" s="69"/>
      <c r="G44" s="69"/>
      <c r="I44" s="70"/>
      <c r="J44" s="70"/>
    </row>
    <row r="45" spans="1:10" ht="13.9">
      <c r="B45" s="64"/>
      <c r="F45" s="69"/>
      <c r="G45" s="69"/>
      <c r="I45" s="67"/>
      <c r="J45" s="67"/>
    </row>
    <row r="46" spans="1:10">
      <c r="B46" s="96"/>
      <c r="I46" s="67"/>
      <c r="J46" s="67"/>
    </row>
    <row r="47" spans="1:10">
      <c r="I47" s="67"/>
      <c r="J47" s="67"/>
    </row>
    <row r="48" spans="1:10">
      <c r="I48" s="67"/>
      <c r="J48" s="67"/>
    </row>
    <row r="49" spans="9:10">
      <c r="I49" s="67"/>
      <c r="J49" s="67"/>
    </row>
    <row r="50" spans="9:10">
      <c r="I50" s="67"/>
      <c r="J50" s="67"/>
    </row>
    <row r="52" spans="9:10">
      <c r="I52" s="71"/>
      <c r="J52" s="71"/>
    </row>
    <row r="53" spans="9:10">
      <c r="I53" s="71"/>
      <c r="J53" s="71"/>
    </row>
  </sheetData>
  <phoneticPr fontId="3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7E31-8C9D-4189-A310-1280261C1A05}">
  <dimension ref="A1:Q19"/>
  <sheetViews>
    <sheetView workbookViewId="0"/>
  </sheetViews>
  <sheetFormatPr defaultRowHeight="13.15"/>
  <cols>
    <col min="1" max="1" width="14.28515625" bestFit="1" customWidth="1"/>
    <col min="2" max="2" width="9.5703125" bestFit="1" customWidth="1"/>
    <col min="3" max="3" width="13.28515625" customWidth="1"/>
  </cols>
  <sheetData>
    <row r="1" spans="1:17" ht="41.45">
      <c r="A1" s="162" t="s">
        <v>157</v>
      </c>
      <c r="B1" s="162" t="s">
        <v>158</v>
      </c>
      <c r="C1" s="162" t="s">
        <v>159</v>
      </c>
      <c r="D1" s="160"/>
      <c r="E1" s="160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3.9">
      <c r="A2" s="163" t="s">
        <v>115</v>
      </c>
      <c r="B2" s="164">
        <v>196.72900000000001</v>
      </c>
      <c r="C2" s="165">
        <v>8.9499999999999993</v>
      </c>
      <c r="D2" s="119"/>
      <c r="E2" s="119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3.9">
      <c r="A3" s="163" t="s">
        <v>116</v>
      </c>
      <c r="B3" s="164">
        <v>301.59500000000003</v>
      </c>
      <c r="C3" s="165">
        <v>9.4700000000000006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3.9">
      <c r="A4" s="163" t="s">
        <v>117</v>
      </c>
      <c r="B4" s="164">
        <v>438.10500000000002</v>
      </c>
      <c r="C4" s="165">
        <v>9.33</v>
      </c>
      <c r="D4" s="11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13.9">
      <c r="A5" s="163" t="s">
        <v>118</v>
      </c>
      <c r="B5" s="164">
        <v>925.05200000000002</v>
      </c>
      <c r="C5" s="165">
        <v>8.48</v>
      </c>
      <c r="D5" s="124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13.9">
      <c r="A6" s="163" t="s">
        <v>119</v>
      </c>
      <c r="B6" s="164">
        <v>538.54100000000005</v>
      </c>
      <c r="C6" s="165">
        <v>8.57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</row>
    <row r="7" spans="1:17" ht="13.9">
      <c r="A7" s="163" t="s">
        <v>120</v>
      </c>
      <c r="B7" s="164">
        <v>256.97899999999998</v>
      </c>
      <c r="C7" s="165">
        <v>10.8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7" ht="13.9">
      <c r="A8" s="163" t="s">
        <v>34</v>
      </c>
      <c r="B8" s="164">
        <v>274.39400000000001</v>
      </c>
      <c r="C8" s="165">
        <v>13.3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7" ht="13.9">
      <c r="A9" s="163" t="s">
        <v>37</v>
      </c>
      <c r="B9" s="164">
        <v>264.18400000000003</v>
      </c>
      <c r="C9" s="165">
        <v>14.2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</row>
    <row r="10" spans="1:17" ht="13.9">
      <c r="A10" s="163" t="s">
        <v>160</v>
      </c>
      <c r="B10" s="166">
        <v>314.94605570210024</v>
      </c>
      <c r="C10" s="165">
        <v>12.65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7">
      <c r="A11" s="118"/>
      <c r="B11" s="120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</row>
    <row r="12" spans="1:17">
      <c r="A12" s="118"/>
      <c r="B12" s="120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</row>
    <row r="13" spans="1:17">
      <c r="A13" s="118"/>
      <c r="B13" s="120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7">
      <c r="A14" s="118"/>
      <c r="B14" s="120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>
      <c r="A15" s="118"/>
      <c r="B15" s="120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</row>
    <row r="16" spans="1:17">
      <c r="A16" s="118"/>
      <c r="B16" s="120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>
      <c r="A17" s="118"/>
      <c r="B17" s="120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>
      <c r="A18" s="118"/>
      <c r="B18" s="120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>
      <c r="A19" s="118"/>
      <c r="B19" s="120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BB43-873E-46D3-987E-ADBB9C51E018}">
  <dimension ref="A1:J24"/>
  <sheetViews>
    <sheetView workbookViewId="0"/>
  </sheetViews>
  <sheetFormatPr defaultColWidth="8.85546875" defaultRowHeight="13.15"/>
  <cols>
    <col min="1" max="1" width="23.28515625" style="155" customWidth="1"/>
    <col min="2" max="2" width="24.140625" style="155" bestFit="1" customWidth="1"/>
    <col min="3" max="3" width="28.140625" style="155" bestFit="1" customWidth="1"/>
    <col min="4" max="4" width="22" style="155" bestFit="1" customWidth="1"/>
    <col min="5" max="8" width="8.85546875" style="155"/>
    <col min="9" max="9" width="11.5703125" style="155" bestFit="1" customWidth="1"/>
    <col min="10" max="10" width="10.7109375" style="155" bestFit="1" customWidth="1"/>
    <col min="11" max="16384" width="8.85546875" style="155"/>
  </cols>
  <sheetData>
    <row r="1" spans="1:4" ht="13.9">
      <c r="A1" s="149" t="s">
        <v>161</v>
      </c>
      <c r="B1" s="150" t="s">
        <v>162</v>
      </c>
      <c r="C1" s="150" t="s">
        <v>163</v>
      </c>
      <c r="D1" s="150" t="s">
        <v>164</v>
      </c>
    </row>
    <row r="2" spans="1:4" ht="13.9">
      <c r="A2" s="151" t="s">
        <v>113</v>
      </c>
      <c r="B2" s="152">
        <v>1020.18</v>
      </c>
      <c r="C2" s="152">
        <v>1007.8980510962158</v>
      </c>
      <c r="D2" s="152">
        <v>2021.7649999999999</v>
      </c>
    </row>
    <row r="3" spans="1:4" ht="13.9">
      <c r="A3" s="151" t="s">
        <v>114</v>
      </c>
      <c r="B3" s="152">
        <v>807</v>
      </c>
      <c r="C3" s="152">
        <v>1262.3706736249781</v>
      </c>
      <c r="D3" s="152">
        <v>2212.3500000000004</v>
      </c>
    </row>
    <row r="4" spans="1:4" ht="13.9">
      <c r="A4" s="151" t="s">
        <v>115</v>
      </c>
      <c r="B4" s="152">
        <v>1091.2881969</v>
      </c>
      <c r="C4" s="152">
        <v>1585.3784946311198</v>
      </c>
      <c r="D4" s="152">
        <v>2925.0299999999997</v>
      </c>
    </row>
    <row r="5" spans="1:4" ht="13.9">
      <c r="A5" s="151" t="s">
        <v>116</v>
      </c>
      <c r="B5" s="152">
        <v>1119.9482909599999</v>
      </c>
      <c r="C5" s="152">
        <v>1319.8841859209479</v>
      </c>
      <c r="D5" s="152">
        <v>2651.6349999999998</v>
      </c>
    </row>
    <row r="6" spans="1:4" ht="13.9">
      <c r="A6" s="151" t="s">
        <v>117</v>
      </c>
      <c r="B6" s="152">
        <v>1047.1957445</v>
      </c>
      <c r="C6" s="152">
        <v>1323.9578540560219</v>
      </c>
      <c r="D6" s="152">
        <v>2137.75</v>
      </c>
    </row>
    <row r="7" spans="1:4" ht="13.9">
      <c r="A7" s="151" t="s">
        <v>118</v>
      </c>
      <c r="B7" s="152">
        <v>1069.2419706999999</v>
      </c>
      <c r="C7" s="152">
        <v>1233.1349010835504</v>
      </c>
      <c r="D7" s="152">
        <v>2101.0949999999998</v>
      </c>
    </row>
    <row r="8" spans="1:4" ht="13.9">
      <c r="A8" s="151" t="s">
        <v>119</v>
      </c>
      <c r="B8" s="152">
        <v>857.59819917999994</v>
      </c>
      <c r="C8" s="152">
        <v>1469.321119475424</v>
      </c>
      <c r="D8" s="152">
        <v>1949.5350000000001</v>
      </c>
    </row>
    <row r="9" spans="1:4" ht="13.9">
      <c r="A9" s="151" t="s">
        <v>120</v>
      </c>
      <c r="B9" s="152">
        <v>1111.1298004799999</v>
      </c>
      <c r="C9" s="152">
        <v>1901.1417479622226</v>
      </c>
      <c r="D9" s="152">
        <v>2977.6200000000003</v>
      </c>
    </row>
    <row r="10" spans="1:4" ht="13.9">
      <c r="A10" s="151" t="s">
        <v>34</v>
      </c>
      <c r="B10" s="152">
        <v>959.01083969999991</v>
      </c>
      <c r="C10" s="152">
        <v>1300.1056385810382</v>
      </c>
      <c r="D10" s="152">
        <v>1899.395</v>
      </c>
    </row>
    <row r="11" spans="1:4" ht="13.9">
      <c r="A11" s="151" t="s">
        <v>37</v>
      </c>
      <c r="B11" s="153">
        <v>906.09989681999991</v>
      </c>
      <c r="C11" s="153">
        <v>2020.2368075772542</v>
      </c>
      <c r="D11" s="153">
        <v>2808.5550000000003</v>
      </c>
    </row>
    <row r="12" spans="1:4" ht="13.9">
      <c r="A12" s="151" t="s">
        <v>160</v>
      </c>
      <c r="B12" s="153">
        <v>936.96461349999993</v>
      </c>
      <c r="C12" s="153">
        <v>1578.5123865</v>
      </c>
      <c r="D12" s="153">
        <v>2263.52</v>
      </c>
    </row>
    <row r="13" spans="1:4">
      <c r="B13" s="156"/>
      <c r="C13" s="156"/>
      <c r="D13" s="156"/>
    </row>
    <row r="14" spans="1:4">
      <c r="B14" s="157"/>
      <c r="C14" s="157"/>
      <c r="D14" s="158"/>
    </row>
    <row r="15" spans="1:4">
      <c r="B15" s="157"/>
      <c r="C15" s="157"/>
      <c r="D15" s="158"/>
    </row>
    <row r="16" spans="1:4">
      <c r="B16" s="157"/>
      <c r="C16" s="157"/>
      <c r="D16" s="157"/>
    </row>
    <row r="19" spans="9:10">
      <c r="I19" s="154"/>
      <c r="J19" s="159"/>
    </row>
    <row r="20" spans="9:10">
      <c r="I20" s="154"/>
      <c r="J20" s="159"/>
    </row>
    <row r="21" spans="9:10">
      <c r="I21" s="154"/>
      <c r="J21" s="159"/>
    </row>
    <row r="22" spans="9:10">
      <c r="I22" s="154"/>
      <c r="J22" s="159"/>
    </row>
    <row r="23" spans="9:10">
      <c r="I23" s="154"/>
      <c r="J23" s="159"/>
    </row>
    <row r="24" spans="9:10">
      <c r="I24" s="154"/>
    </row>
  </sheetData>
  <phoneticPr fontId="39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A77B-5040-42F7-BB5A-680BB1DEF1DE}">
  <dimension ref="A1:E20"/>
  <sheetViews>
    <sheetView zoomScale="90" zoomScaleNormal="90" workbookViewId="0"/>
  </sheetViews>
  <sheetFormatPr defaultColWidth="9.140625" defaultRowHeight="13.9"/>
  <cols>
    <col min="1" max="1" width="15.42578125" style="15" customWidth="1"/>
    <col min="2" max="2" width="25.28515625" style="15" customWidth="1"/>
    <col min="3" max="3" width="27.85546875" style="15" customWidth="1"/>
    <col min="5" max="16384" width="9.140625" style="15"/>
  </cols>
  <sheetData>
    <row r="1" spans="1:5" ht="34.5" customHeight="1" thickBot="1">
      <c r="A1" s="117" t="s">
        <v>157</v>
      </c>
      <c r="B1" s="117" t="s">
        <v>165</v>
      </c>
      <c r="C1" s="117" t="s">
        <v>166</v>
      </c>
    </row>
    <row r="2" spans="1:5">
      <c r="A2" s="79" t="s">
        <v>116</v>
      </c>
      <c r="B2" s="147">
        <v>335.87700000000001</v>
      </c>
      <c r="C2" s="167">
        <v>0.60000000000000142</v>
      </c>
      <c r="E2" s="62"/>
    </row>
    <row r="3" spans="1:5">
      <c r="A3" s="79" t="s">
        <v>117</v>
      </c>
      <c r="B3" s="147">
        <v>318.11700000000002</v>
      </c>
      <c r="C3" s="167">
        <v>1.25</v>
      </c>
      <c r="E3" s="62"/>
    </row>
    <row r="4" spans="1:5">
      <c r="A4" s="148" t="s">
        <v>118</v>
      </c>
      <c r="B4" s="147">
        <v>299.54899999999998</v>
      </c>
      <c r="C4" s="167">
        <v>0.75</v>
      </c>
      <c r="E4" s="62"/>
    </row>
    <row r="5" spans="1:5">
      <c r="A5" s="79" t="s">
        <v>119</v>
      </c>
      <c r="B5" s="147">
        <v>305.09100000000001</v>
      </c>
      <c r="C5" s="167">
        <v>1</v>
      </c>
      <c r="E5" s="62"/>
    </row>
    <row r="6" spans="1:5">
      <c r="A6" s="79" t="s">
        <v>120</v>
      </c>
      <c r="B6" s="147">
        <v>511.75799999999998</v>
      </c>
      <c r="C6" s="167">
        <v>2.6000000000000014</v>
      </c>
      <c r="E6" s="62"/>
    </row>
    <row r="7" spans="1:5">
      <c r="A7" s="79" t="s">
        <v>34</v>
      </c>
      <c r="B7" s="147">
        <v>563.49699999999996</v>
      </c>
      <c r="C7" s="167">
        <v>2</v>
      </c>
      <c r="E7" s="62"/>
    </row>
    <row r="8" spans="1:5">
      <c r="A8" s="79" t="s">
        <v>37</v>
      </c>
      <c r="B8" s="147">
        <v>482.11599999999999</v>
      </c>
      <c r="C8" s="167">
        <v>3.1000000000000014</v>
      </c>
      <c r="E8" s="62"/>
    </row>
    <row r="9" spans="1:5">
      <c r="A9" s="79" t="s">
        <v>160</v>
      </c>
      <c r="B9" s="147">
        <v>423.95600000000002</v>
      </c>
      <c r="C9" s="167">
        <v>1.2999999999999972</v>
      </c>
      <c r="E9" s="62"/>
    </row>
    <row r="11" spans="1:5">
      <c r="A11" s="79"/>
      <c r="C11" s="121"/>
    </row>
    <row r="12" spans="1:5">
      <c r="A12" s="108"/>
      <c r="B12" s="147"/>
      <c r="C12" s="108"/>
    </row>
    <row r="13" spans="1:5">
      <c r="A13" s="108"/>
      <c r="B13" s="147"/>
      <c r="C13" s="108"/>
    </row>
    <row r="14" spans="1:5">
      <c r="A14" s="108"/>
      <c r="B14" s="147"/>
      <c r="C14" s="108"/>
    </row>
    <row r="15" spans="1:5">
      <c r="A15" s="108"/>
      <c r="B15" s="147"/>
      <c r="C15" s="108"/>
    </row>
    <row r="16" spans="1:5">
      <c r="A16" s="108"/>
      <c r="B16" s="147"/>
      <c r="C16" s="108"/>
    </row>
    <row r="17" spans="1:3">
      <c r="A17" s="108"/>
      <c r="B17" s="147"/>
      <c r="C17" s="108"/>
    </row>
    <row r="18" spans="1:3">
      <c r="A18" s="108"/>
      <c r="B18" s="147"/>
      <c r="C18" s="108"/>
    </row>
    <row r="19" spans="1:3">
      <c r="A19" s="108"/>
      <c r="B19" s="147"/>
      <c r="C19" s="108"/>
    </row>
    <row r="20" spans="1:3">
      <c r="A20" s="108"/>
      <c r="C20" s="108"/>
    </row>
  </sheetData>
  <phoneticPr fontId="39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/>
</file>

<file path=customXml/itemProps2.xml><?xml version="1.0" encoding="utf-8"?>
<ds:datastoreItem xmlns:ds="http://schemas.openxmlformats.org/officeDocument/2006/customXml" ds:itemID="{74F9FD27-698A-4259-BC06-6D4A65A05AE8}"/>
</file>

<file path=customXml/itemProps3.xml><?xml version="1.0" encoding="utf-8"?>
<ds:datastoreItem xmlns:ds="http://schemas.openxmlformats.org/officeDocument/2006/customXml" ds:itemID="{C71272CC-18D3-4CD6-8D61-867EDCEBF9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USDA, Economic Research Service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Bennett, Lisa - REE-ERS</cp:lastModifiedBy>
  <cp:revision/>
  <dcterms:created xsi:type="dcterms:W3CDTF">2001-11-13T16:22:15Z</dcterms:created>
  <dcterms:modified xsi:type="dcterms:W3CDTF">2024-02-09T22:35:35Z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