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J October 2023/"/>
    </mc:Choice>
  </mc:AlternateContent>
  <xr:revisionPtr revIDLastSave="250" documentId="8_{CCBC65EF-0281-435B-B65A-E5A82AAE5D17}" xr6:coauthVersionLast="47" xr6:coauthVersionMax="47" xr10:uidLastSave="{CCE6AC1F-ADDB-40AE-8570-F205B17CC73C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49" r:id="rId9"/>
    <sheet name="Figure 2" sheetId="148" r:id="rId10"/>
    <sheet name="Figure 3" sheetId="150" r:id="rId11"/>
    <sheet name="Figure 4" sheetId="138" r:id="rId12"/>
    <sheet name="Figure 5" sheetId="151" r:id="rId13"/>
  </sheets>
  <definedNames>
    <definedName name="_xlnm.Print_Area" localSheetId="1">'Table 1'!$A$1:$N$48</definedName>
    <definedName name="_xlnm.Print_Area" localSheetId="7">'Table 10'!$A$1:$G$49</definedName>
    <definedName name="_xlnm.Print_Area" localSheetId="2">'Table 2'!$A$1:$J$38</definedName>
    <definedName name="_xlnm.Print_Area" localSheetId="3">'Table 3'!$A$1:$L$51</definedName>
    <definedName name="_xlnm.Print_Area" localSheetId="5">'Table 8'!$A$1:$G$48</definedName>
    <definedName name="_xlnm.Print_Area" localSheetId="6">'Table 9'!$A$1:$I$50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9" l="1"/>
  <c r="J7" i="3"/>
  <c r="E7" i="3"/>
  <c r="D23" i="2"/>
  <c r="H23" i="2"/>
  <c r="F7" i="1"/>
  <c r="J46" i="1"/>
  <c r="I32" i="3"/>
  <c r="N7" i="1" l="1"/>
  <c r="D7" i="1"/>
  <c r="G27" i="1"/>
  <c r="G6" i="1" s="1"/>
  <c r="G25" i="1"/>
  <c r="G24" i="1"/>
  <c r="G23" i="1"/>
  <c r="G21" i="1"/>
  <c r="G20" i="1"/>
  <c r="G19" i="1"/>
  <c r="L27" i="1"/>
  <c r="G17" i="1"/>
  <c r="L25" i="1"/>
  <c r="L24" i="1"/>
  <c r="G16" i="1"/>
  <c r="L23" i="1"/>
  <c r="L21" i="1"/>
  <c r="G15" i="1"/>
  <c r="L20" i="1"/>
  <c r="L19" i="1"/>
  <c r="G13" i="1"/>
  <c r="L17" i="1"/>
  <c r="L16" i="1"/>
  <c r="G12" i="1"/>
  <c r="L15" i="1"/>
  <c r="L13" i="1"/>
  <c r="G11" i="1"/>
  <c r="L12" i="1"/>
  <c r="L11" i="1"/>
  <c r="J25" i="1"/>
  <c r="J24" i="1"/>
  <c r="J23" i="1"/>
  <c r="J21" i="1"/>
  <c r="J20" i="1"/>
  <c r="J19" i="1"/>
  <c r="J17" i="1"/>
  <c r="J16" i="1"/>
  <c r="J15" i="1"/>
  <c r="J13" i="1"/>
  <c r="J12" i="1"/>
  <c r="J11" i="1"/>
  <c r="G46" i="1"/>
  <c r="L46" i="1"/>
  <c r="L44" i="1"/>
  <c r="L43" i="1"/>
  <c r="L42" i="1"/>
  <c r="L40" i="1"/>
  <c r="L39" i="1"/>
  <c r="L38" i="1"/>
  <c r="L36" i="1"/>
  <c r="L35" i="1"/>
  <c r="L34" i="1"/>
  <c r="L32" i="1"/>
  <c r="L31" i="1"/>
  <c r="L30" i="1"/>
  <c r="G44" i="1"/>
  <c r="G43" i="1"/>
  <c r="G40" i="1"/>
  <c r="G39" i="1"/>
  <c r="G38" i="1"/>
  <c r="G36" i="1"/>
  <c r="G35" i="1"/>
  <c r="G34" i="1"/>
  <c r="G32" i="1"/>
  <c r="G31" i="1"/>
  <c r="G30" i="1"/>
  <c r="J30" i="1"/>
  <c r="J33" i="1"/>
  <c r="J35" i="1"/>
  <c r="J34" i="1"/>
  <c r="J36" i="1"/>
  <c r="J44" i="1"/>
  <c r="J43" i="1"/>
  <c r="J42" i="1"/>
  <c r="J40" i="1"/>
  <c r="J39" i="1"/>
  <c r="J38" i="1"/>
  <c r="J32" i="1"/>
  <c r="J31" i="1"/>
  <c r="A3" i="150" l="1"/>
  <c r="A4" i="150" s="1"/>
  <c r="A5" i="150" s="1"/>
  <c r="A6" i="150" s="1"/>
  <c r="A7" i="150" s="1"/>
  <c r="A8" i="150" s="1"/>
  <c r="A9" i="150" s="1"/>
  <c r="A10" i="150" s="1"/>
  <c r="A11" i="150" s="1"/>
  <c r="A12" i="150" s="1"/>
  <c r="A13" i="150" s="1"/>
  <c r="A16" i="150"/>
  <c r="A17" i="150" s="1"/>
  <c r="A18" i="150" s="1"/>
  <c r="A19" i="150" s="1"/>
  <c r="A20" i="150" s="1"/>
  <c r="A21" i="150" s="1"/>
  <c r="A22" i="150" s="1"/>
  <c r="A23" i="150" s="1"/>
  <c r="A24" i="150" s="1"/>
  <c r="D36" i="9" l="1"/>
  <c r="J36" i="9"/>
  <c r="D36" i="2"/>
  <c r="H36" i="2"/>
  <c r="B36" i="2"/>
  <c r="N26" i="1"/>
  <c r="N6" i="1" s="1"/>
  <c r="F14" i="1"/>
  <c r="E36" i="2"/>
  <c r="I36" i="2" s="1"/>
  <c r="G36" i="2" s="1"/>
  <c r="B35" i="2"/>
  <c r="B35" i="9"/>
  <c r="E35" i="9" s="1"/>
  <c r="K35" i="9" s="1"/>
  <c r="G35" i="9" s="1"/>
  <c r="I35" i="9" s="1"/>
  <c r="B34" i="9"/>
  <c r="B36" i="9"/>
  <c r="E36" i="9" s="1"/>
  <c r="K36" i="9" s="1"/>
  <c r="H35" i="2"/>
  <c r="D35" i="2"/>
  <c r="J35" i="9"/>
  <c r="D35" i="9"/>
  <c r="N46" i="3"/>
  <c r="J23" i="9"/>
  <c r="G7" i="9"/>
  <c r="E35" i="2" l="1"/>
  <c r="I35" i="2" s="1"/>
  <c r="G35" i="2" s="1"/>
  <c r="G36" i="9"/>
  <c r="D46" i="3"/>
  <c r="J45" i="1" l="1"/>
  <c r="G19" i="5" l="1"/>
  <c r="G42" i="1"/>
  <c r="G45" i="1" s="1"/>
  <c r="D34" i="9" l="1"/>
  <c r="D34" i="2"/>
  <c r="J33" i="9"/>
  <c r="H34" i="2"/>
  <c r="J34" i="9"/>
  <c r="H33" i="2"/>
  <c r="L45" i="1"/>
  <c r="B34" i="2" l="1"/>
  <c r="E34" i="2" s="1"/>
  <c r="I34" i="2" s="1"/>
  <c r="G34" i="2" s="1"/>
  <c r="I7" i="2"/>
  <c r="K7" i="9"/>
  <c r="J8" i="3"/>
  <c r="I33" i="3"/>
  <c r="H32" i="2"/>
  <c r="H31" i="2"/>
  <c r="H30" i="2"/>
  <c r="H29" i="2"/>
  <c r="H28" i="2"/>
  <c r="H27" i="2"/>
  <c r="H26" i="2"/>
  <c r="H22" i="2"/>
  <c r="H21" i="2"/>
  <c r="H20" i="2"/>
  <c r="H19" i="2"/>
  <c r="H18" i="2"/>
  <c r="H14" i="2"/>
  <c r="H13" i="2"/>
  <c r="I8" i="2" l="1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1" i="9"/>
  <c r="G8" i="9"/>
  <c r="K8" i="9" s="1"/>
  <c r="D27" i="9" l="1"/>
  <c r="D26" i="9"/>
  <c r="D22" i="9"/>
  <c r="D21" i="9"/>
  <c r="D20" i="9"/>
  <c r="D19" i="9"/>
  <c r="D18" i="9"/>
  <c r="D17" i="9"/>
  <c r="D16" i="9"/>
  <c r="D15" i="9"/>
  <c r="D14" i="9"/>
  <c r="D13" i="9"/>
  <c r="D23" i="9"/>
  <c r="D28" i="2"/>
  <c r="D27" i="2"/>
  <c r="D26" i="2"/>
  <c r="D22" i="2"/>
  <c r="D21" i="2"/>
  <c r="D20" i="2"/>
  <c r="D19" i="2"/>
  <c r="D18" i="2"/>
  <c r="D17" i="2"/>
  <c r="D16" i="2"/>
  <c r="D15" i="2"/>
  <c r="D14" i="2"/>
  <c r="D11" i="2"/>
  <c r="H17" i="2"/>
  <c r="H16" i="2"/>
  <c r="H15" i="2"/>
  <c r="H12" i="2"/>
  <c r="H11" i="2"/>
  <c r="D8" i="1"/>
  <c r="D33" i="9" l="1"/>
  <c r="D33" i="2" l="1"/>
  <c r="N41" i="1" l="1"/>
  <c r="E45" i="1" s="1"/>
  <c r="H45" i="1" s="1"/>
  <c r="M45" i="1" s="1"/>
  <c r="K45" i="1" s="1"/>
  <c r="N37" i="1"/>
  <c r="B33" i="9" l="1"/>
  <c r="E33" i="9" s="1"/>
  <c r="B33" i="2"/>
  <c r="E33" i="2" s="1"/>
  <c r="I33" i="2" s="1"/>
  <c r="G33" i="2" s="1"/>
  <c r="K33" i="9" l="1"/>
  <c r="G33" i="9" s="1"/>
  <c r="I33" i="9" s="1"/>
  <c r="J32" i="9"/>
  <c r="D32" i="9"/>
  <c r="D32" i="2"/>
  <c r="M8" i="1" l="1"/>
  <c r="B32" i="9" l="1"/>
  <c r="E32" i="9" s="1"/>
  <c r="K32" i="9" s="1"/>
  <c r="G32" i="9" s="1"/>
  <c r="I32" i="9" s="1"/>
  <c r="B32" i="2"/>
  <c r="E32" i="2" s="1"/>
  <c r="I32" i="2" s="1"/>
  <c r="G32" i="2" s="1"/>
  <c r="D31" i="9"/>
  <c r="D31" i="2"/>
  <c r="J31" i="9" l="1"/>
  <c r="G41" i="1" l="1"/>
  <c r="L41" i="1" l="1"/>
  <c r="J41" i="1" l="1"/>
  <c r="I21" i="3" l="1"/>
  <c r="B11" i="9"/>
  <c r="B11" i="2"/>
  <c r="E14" i="1"/>
  <c r="B31" i="9" l="1"/>
  <c r="E31" i="9" s="1"/>
  <c r="K31" i="9" s="1"/>
  <c r="G31" i="9" s="1"/>
  <c r="I31" i="9" s="1"/>
  <c r="B31" i="2"/>
  <c r="E31" i="2" s="1"/>
  <c r="I31" i="2" s="1"/>
  <c r="G31" i="2" s="1"/>
  <c r="D30" i="9" l="1"/>
  <c r="D30" i="2"/>
  <c r="J30" i="9" l="1"/>
  <c r="E41" i="1" l="1"/>
  <c r="H41" i="1" s="1"/>
  <c r="M41" i="1" s="1"/>
  <c r="K41" i="1" s="1"/>
  <c r="N33" i="1"/>
  <c r="E37" i="1" s="1"/>
  <c r="B30" i="9" l="1"/>
  <c r="E30" i="9" s="1"/>
  <c r="K30" i="9" s="1"/>
  <c r="G30" i="9" s="1"/>
  <c r="I30" i="9" s="1"/>
  <c r="B30" i="2"/>
  <c r="E30" i="2" s="1"/>
  <c r="I30" i="2" s="1"/>
  <c r="G30" i="2" s="1"/>
  <c r="J29" i="9" l="1"/>
  <c r="D29" i="9"/>
  <c r="D29" i="2"/>
  <c r="B29" i="9"/>
  <c r="E29" i="9" s="1"/>
  <c r="K29" i="9" s="1"/>
  <c r="B29" i="2"/>
  <c r="E29" i="2" s="1"/>
  <c r="I29" i="2" s="1"/>
  <c r="G29" i="2" s="1"/>
  <c r="J37" i="1" l="1"/>
  <c r="G29" i="9"/>
  <c r="I29" i="9" s="1"/>
  <c r="G37" i="1"/>
  <c r="H37" i="1" s="1"/>
  <c r="M37" i="1" s="1"/>
  <c r="D28" i="9"/>
  <c r="L37" i="1"/>
  <c r="K37" i="1" l="1"/>
  <c r="B28" i="9"/>
  <c r="E28" i="9" s="1"/>
  <c r="K28" i="9" s="1"/>
  <c r="G28" i="9" s="1"/>
  <c r="I28" i="9" s="1"/>
  <c r="B28" i="2"/>
  <c r="E28" i="2" s="1"/>
  <c r="I28" i="2" s="1"/>
  <c r="G28" i="2" s="1"/>
  <c r="B27" i="9" l="1"/>
  <c r="E27" i="9" s="1"/>
  <c r="K27" i="9" s="1"/>
  <c r="G27" i="9" s="1"/>
  <c r="I27" i="9" s="1"/>
  <c r="B27" i="2"/>
  <c r="E27" i="2" s="1"/>
  <c r="I27" i="2" s="1"/>
  <c r="G27" i="2" s="1"/>
  <c r="B26" i="9" l="1"/>
  <c r="E26" i="9" s="1"/>
  <c r="K26" i="9" s="1"/>
  <c r="G26" i="9" s="1"/>
  <c r="I26" i="9" s="1"/>
  <c r="B26" i="2"/>
  <c r="E26" i="2" l="1"/>
  <c r="I26" i="2" s="1"/>
  <c r="G26" i="2" s="1"/>
  <c r="L6" i="1"/>
  <c r="G33" i="1"/>
  <c r="L33" i="1"/>
  <c r="L7" i="1" s="1"/>
  <c r="G7" i="1" l="1"/>
  <c r="E33" i="4"/>
  <c r="J7" i="1"/>
  <c r="L6" i="9" l="1"/>
  <c r="J6" i="9"/>
  <c r="D6" i="9"/>
  <c r="C23" i="9"/>
  <c r="C6" i="9" s="1"/>
  <c r="B22" i="9"/>
  <c r="E22" i="9" s="1"/>
  <c r="K22" i="9" s="1"/>
  <c r="J6" i="2"/>
  <c r="B22" i="2"/>
  <c r="E22" i="2" s="1"/>
  <c r="I22" i="2" s="1"/>
  <c r="G22" i="2" s="1"/>
  <c r="C23" i="2"/>
  <c r="C6" i="2" s="1"/>
  <c r="G22" i="9" l="1"/>
  <c r="I22" i="9" s="1"/>
  <c r="B51" i="6" l="1"/>
  <c r="B51" i="5"/>
  <c r="B50" i="4"/>
  <c r="B50" i="3"/>
  <c r="B39" i="9"/>
  <c r="B39" i="2"/>
  <c r="B49" i="1"/>
  <c r="G33" i="4" l="1"/>
  <c r="F33" i="4"/>
  <c r="D33" i="4"/>
  <c r="C33" i="4"/>
  <c r="B33" i="4"/>
  <c r="E26" i="1"/>
  <c r="F27" i="1"/>
  <c r="F6" i="1" s="1"/>
  <c r="E33" i="1"/>
  <c r="H33" i="1" s="1"/>
  <c r="B21" i="2"/>
  <c r="E21" i="2" s="1"/>
  <c r="I21" i="2" s="1"/>
  <c r="G21" i="2" s="1"/>
  <c r="B21" i="9"/>
  <c r="E21" i="9" s="1"/>
  <c r="K21" i="9" s="1"/>
  <c r="M33" i="1" l="1"/>
  <c r="H27" i="1"/>
  <c r="E7" i="1"/>
  <c r="H7" i="1" s="1"/>
  <c r="M7" i="1" s="1"/>
  <c r="G21" i="9"/>
  <c r="K33" i="1" l="1"/>
  <c r="I21" i="9"/>
  <c r="B20" i="9" l="1"/>
  <c r="E20" i="9" s="1"/>
  <c r="K20" i="9" s="1"/>
  <c r="G20" i="9" s="1"/>
  <c r="I20" i="9" s="1"/>
  <c r="B20" i="2"/>
  <c r="E20" i="2" s="1"/>
  <c r="I20" i="2" s="1"/>
  <c r="G20" i="2" s="1"/>
  <c r="D45" i="3" l="1"/>
  <c r="H6" i="2" l="1"/>
  <c r="D13" i="2"/>
  <c r="D12" i="2"/>
  <c r="D6" i="2" l="1"/>
  <c r="D12" i="9"/>
  <c r="D11" i="9"/>
  <c r="J12" i="9" l="1"/>
  <c r="G26" i="1" l="1"/>
  <c r="L26" i="1"/>
  <c r="H26" i="1" l="1"/>
  <c r="M26" i="1" s="1"/>
  <c r="J26" i="1"/>
  <c r="B19" i="9"/>
  <c r="E19" i="9" s="1"/>
  <c r="K19" i="9" s="1"/>
  <c r="G19" i="9" s="1"/>
  <c r="I19" i="9" s="1"/>
  <c r="B19" i="2"/>
  <c r="E19" i="2" s="1"/>
  <c r="I19" i="2" s="1"/>
  <c r="G19" i="2" s="1"/>
  <c r="K26" i="1" l="1"/>
  <c r="E22" i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5" i="3" l="1"/>
  <c r="H45" i="3" s="1"/>
  <c r="N45" i="3" s="1"/>
  <c r="L45" i="3" s="1"/>
  <c r="B32" i="3"/>
  <c r="E32" i="3" s="1"/>
  <c r="J32" i="3" s="1"/>
  <c r="B20" i="3"/>
  <c r="E20" i="3" s="1"/>
  <c r="G20" i="3" s="1"/>
  <c r="B7" i="3"/>
  <c r="B7" i="9"/>
  <c r="E7" i="9" s="1"/>
  <c r="L7" i="9" s="1"/>
  <c r="B8" i="9" s="1"/>
  <c r="B7" i="2"/>
  <c r="E7" i="2" s="1"/>
  <c r="J7" i="2" s="1"/>
  <c r="B8" i="2" s="1"/>
  <c r="E8" i="2" s="1"/>
  <c r="J8" i="2" s="1"/>
  <c r="B16" i="9"/>
  <c r="B16" i="2"/>
  <c r="E16" i="2" s="1"/>
  <c r="I16" i="2" s="1"/>
  <c r="L22" i="1"/>
  <c r="J22" i="1"/>
  <c r="G22" i="1"/>
  <c r="H22" i="1" s="1"/>
  <c r="B8" i="3" l="1"/>
  <c r="E8" i="3" s="1"/>
  <c r="K8" i="3" s="1"/>
  <c r="E8" i="9"/>
  <c r="L8" i="9" s="1"/>
  <c r="E46" i="3"/>
  <c r="H46" i="3" s="1"/>
  <c r="O46" i="3" s="1"/>
  <c r="I20" i="3"/>
  <c r="B21" i="3" s="1"/>
  <c r="E21" i="3" s="1"/>
  <c r="J21" i="3" s="1"/>
  <c r="E8" i="1"/>
  <c r="M22" i="1"/>
  <c r="K22" i="1" s="1"/>
  <c r="E16" i="9"/>
  <c r="K16" i="9" s="1"/>
  <c r="G16" i="9" s="1"/>
  <c r="I16" i="9" s="1"/>
  <c r="G16" i="2"/>
  <c r="B15" i="9"/>
  <c r="B15" i="2"/>
  <c r="E18" i="1"/>
  <c r="H8" i="1" l="1"/>
  <c r="N8" i="1" s="1"/>
  <c r="E15" i="9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8" i="1" l="1"/>
  <c r="K18" i="1" s="1"/>
  <c r="B13" i="9"/>
  <c r="E13" i="9" s="1"/>
  <c r="K13" i="9" s="1"/>
  <c r="B13" i="2"/>
  <c r="E13" i="2" s="1"/>
  <c r="I13" i="2" s="1"/>
  <c r="G13" i="2" s="1"/>
  <c r="G13" i="9" l="1"/>
  <c r="I13" i="9" s="1"/>
  <c r="B12" i="9"/>
  <c r="B12" i="2"/>
  <c r="E12" i="9" l="1"/>
  <c r="K12" i="9" s="1"/>
  <c r="G12" i="9" s="1"/>
  <c r="I12" i="9" s="1"/>
  <c r="E12" i="2"/>
  <c r="I12" i="2" s="1"/>
  <c r="G12" i="2" s="1"/>
  <c r="E11" i="9" l="1"/>
  <c r="K11" i="9" s="1"/>
  <c r="K23" i="9" s="1"/>
  <c r="E23" i="9"/>
  <c r="E6" i="9" s="1"/>
  <c r="E11" i="2"/>
  <c r="I11" i="2" s="1"/>
  <c r="E23" i="2"/>
  <c r="E6" i="2" s="1"/>
  <c r="G11" i="9" l="1"/>
  <c r="G11" i="2"/>
  <c r="G23" i="2" s="1"/>
  <c r="G6" i="2" s="1"/>
  <c r="I23" i="2"/>
  <c r="I6" i="2" s="1"/>
  <c r="L14" i="1"/>
  <c r="G14" i="1"/>
  <c r="I11" i="9" l="1"/>
  <c r="I23" i="9" s="1"/>
  <c r="G23" i="9"/>
  <c r="H14" i="1"/>
  <c r="M14" i="1" s="1"/>
  <c r="M27" i="1" s="1"/>
  <c r="J14" i="1"/>
  <c r="J27" i="1" s="1"/>
  <c r="J6" i="1" l="1"/>
  <c r="K14" i="1"/>
  <c r="K27" i="1" s="1"/>
  <c r="D44" i="3" l="1"/>
  <c r="D6" i="1"/>
  <c r="K6" i="9" l="1"/>
  <c r="G6" i="9" s="1"/>
  <c r="I6" i="9" s="1"/>
  <c r="E6" i="3" l="1"/>
  <c r="J6" i="3" s="1"/>
  <c r="I6" i="3" s="1"/>
  <c r="E19" i="3"/>
  <c r="G19" i="3" s="1"/>
  <c r="I19" i="3" s="1"/>
  <c r="H44" i="3"/>
  <c r="N44" i="3" l="1"/>
  <c r="L44" i="3" s="1"/>
  <c r="E31" i="3"/>
  <c r="I31" i="3" s="1"/>
  <c r="G31" i="3" s="1"/>
  <c r="H6" i="1" l="1"/>
  <c r="M6" i="1" l="1"/>
  <c r="K6" i="1" s="1"/>
  <c r="B33" i="3" l="1"/>
  <c r="E33" i="3" s="1"/>
  <c r="J33" i="3" s="1"/>
  <c r="E34" i="9" l="1"/>
  <c r="K34" i="9" s="1"/>
  <c r="G34" i="9" s="1"/>
  <c r="I34" i="9" s="1"/>
  <c r="I7" i="3" l="1"/>
  <c r="K7" i="1" l="1"/>
</calcChain>
</file>

<file path=xl/sharedStrings.xml><?xml version="1.0" encoding="utf-8"?>
<sst xmlns="http://schemas.openxmlformats.org/spreadsheetml/2006/main" count="606" uniqueCount="179">
  <si>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</si>
  <si>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</si>
  <si>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</si>
  <si>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</si>
  <si>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</si>
  <si>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</si>
  <si>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</si>
  <si>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</si>
  <si>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</si>
  <si>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</si>
  <si>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</si>
  <si>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</si>
  <si>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</si>
  <si>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</si>
  <si>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</si>
  <si>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</si>
  <si>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</si>
  <si>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</si>
  <si>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</si>
  <si>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</si>
  <si>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</si>
  <si>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</si>
  <si>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</si>
  <si>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</si>
  <si>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</si>
  <si>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</si>
  <si>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</si>
  <si>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</si>
  <si>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</si>
  <si>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</si>
  <si>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</si>
  <si>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</si>
  <si>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</si>
  <si>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</si>
  <si>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</si>
  <si>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</si>
  <si>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</si>
  <si>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</si>
  <si>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</si>
  <si>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</si>
  <si>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</si>
  <si>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</si>
  <si>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</si>
  <si>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</si>
  <si>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</si>
  <si>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</si>
  <si>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</si>
  <si>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</si>
  <si>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</si>
  <si>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</si>
  <si>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</si>
  <si>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</si>
  <si>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</si>
  <si>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</si>
  <si>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t xml:space="preserve">  June-August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</si>
  <si>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</si>
  <si>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</si>
  <si>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</si>
  <si>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</si>
  <si>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</si>
  <si>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</si>
  <si>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</si>
  <si>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</si>
  <si>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</si>
  <si>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</si>
  <si>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</si>
  <si>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</si>
  <si>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</si>
  <si>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</si>
  <si>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</si>
  <si>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</si>
  <si>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</si>
  <si>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</si>
  <si>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</si>
  <si>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</si>
  <si>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</si>
  <si>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</si>
  <si>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</si>
  <si>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</si>
  <si>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</si>
  <si>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</si>
  <si>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</si>
  <si>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</si>
  <si>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</si>
  <si>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</si>
  <si>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</si>
  <si>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</si>
  <si>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</si>
  <si>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</si>
  <si>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</si>
  <si>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</si>
  <si>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</si>
  <si>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</si>
  <si>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</si>
  <si>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</si>
  <si>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Pounds/acre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</si>
  <si>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</si>
  <si>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</si>
  <si>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</si>
  <si>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</si>
  <si>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</si>
  <si>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</si>
  <si>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</si>
  <si>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</si>
  <si>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</si>
  <si>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</si>
  <si>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</si>
  <si>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</si>
  <si>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</si>
  <si>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</si>
  <si>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</si>
  <si>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</si>
  <si>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</si>
  <si>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</si>
  <si>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</si>
  <si>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</si>
  <si>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</si>
  <si>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</si>
  <si>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</si>
  <si>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</si>
  <si>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</si>
  <si>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</si>
  <si>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</si>
  <si>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</si>
  <si>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</si>
  <si>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</si>
  <si>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</si>
  <si>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</si>
  <si>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</si>
  <si>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</si>
  <si>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</si>
  <si>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</si>
  <si>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</si>
  <si>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</si>
  <si>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</si>
  <si>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</si>
  <si>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</si>
  <si>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</si>
  <si>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</si>
  <si>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</si>
  <si>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</si>
  <si>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</si>
  <si>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</si>
  <si>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</si>
  <si>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</si>
  <si>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</si>
  <si>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</si>
  <si>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</si>
  <si>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</si>
  <si>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</si>
  <si>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</si>
  <si>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</si>
  <si>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</si>
  <si>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</si>
  <si>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</si>
  <si>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</si>
  <si>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</si>
  <si>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</si>
  <si>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 (September-August)</t>
  </si>
  <si>
    <t>2023/24*</t>
  </si>
  <si>
    <t>Marketing year (September-August)</t>
  </si>
  <si>
    <t>Oil-type (Thousand acres)</t>
  </si>
  <si>
    <t>Non-oil type (Thousand acres)</t>
  </si>
  <si>
    <t>Total production (Million pounds)</t>
  </si>
  <si>
    <t>Crude palm oil</t>
  </si>
  <si>
    <t>Crude sunflowerseed oil</t>
  </si>
  <si>
    <t>Crude soybean oil</t>
  </si>
  <si>
    <t>Marketing year</t>
  </si>
  <si>
    <t>2023/24 Sep*</t>
  </si>
  <si>
    <t>2023/24 Oct*</t>
  </si>
  <si>
    <t xml:space="preserve">Argentina                     </t>
  </si>
  <si>
    <t xml:space="preserve">European Union                </t>
  </si>
  <si>
    <t xml:space="preserve">Russia                        </t>
  </si>
  <si>
    <t xml:space="preserve">Turkey                        </t>
  </si>
  <si>
    <t xml:space="preserve">Ukraine                       </t>
  </si>
  <si>
    <t>Rest of world</t>
  </si>
  <si>
    <t>Monthly date</t>
  </si>
  <si>
    <t>Ending stocks</t>
  </si>
  <si>
    <t>Domestic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</si>
</sst>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"/>
    <numFmt numFmtId="176" formatCode="0.000"/>
    <numFmt numFmtId="177" formatCode="[$-409]mmm\-yy;@"/>
    <numFmt numFmtId="178" formatCode="0_)"/>
    <numFmt numFmtId="179" formatCode="#,##0.00000"/>
    <numFmt numFmtId="180" formatCode="0.000000"/>
    <numFmt numFmtId="181" formatCode="0.0000000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4" fillId="0" borderId="0"/>
    <xf numFmtId="0" fontId="34" fillId="0" borderId="0"/>
    <xf numFmtId="0" fontId="34" fillId="0" borderId="0"/>
    <xf numFmtId="0" fontId="45" fillId="0" borderId="0"/>
    <xf numFmtId="9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47" fillId="0" borderId="0"/>
    <xf numFmtId="0" fontId="32" fillId="0" borderId="0"/>
    <xf numFmtId="0" fontId="31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4" fontId="33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43" fontId="20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83">
    <xf numFmtId="0" fontId="0" fillId="0" borderId="0" xfId="0"/>
    <xf numFmtId="0" fontId="34" fillId="0" borderId="0" xfId="8"/>
    <xf numFmtId="0" fontId="35" fillId="0" borderId="0" xfId="8" applyFont="1"/>
    <xf numFmtId="0" fontId="40" fillId="0" borderId="0" xfId="8" applyFont="1"/>
    <xf numFmtId="0" fontId="41" fillId="0" borderId="0" xfId="8" applyFont="1"/>
    <xf numFmtId="169" fontId="42" fillId="0" borderId="0" xfId="1" applyNumberFormat="1" applyFont="1" applyFill="1" applyBorder="1" applyAlignment="1">
      <alignment horizontal="center"/>
    </xf>
    <xf numFmtId="169" fontId="42" fillId="0" borderId="0" xfId="1" applyNumberFormat="1" applyFont="1" applyFill="1" applyBorder="1" applyAlignment="1">
      <alignment horizontal="right" indent="1"/>
    </xf>
    <xf numFmtId="0" fontId="48" fillId="0" borderId="0" xfId="7" applyFont="1" applyAlignment="1">
      <alignment horizontal="left"/>
    </xf>
    <xf numFmtId="0" fontId="49" fillId="0" borderId="0" xfId="5" applyFont="1" applyAlignment="1" applyProtection="1"/>
    <xf numFmtId="14" fontId="48" fillId="0" borderId="0" xfId="7" applyNumberFormat="1" applyFont="1" applyAlignment="1">
      <alignment horizontal="left"/>
    </xf>
    <xf numFmtId="0" fontId="49" fillId="0" borderId="0" xfId="4" applyFont="1" applyAlignment="1" applyProtection="1"/>
    <xf numFmtId="0" fontId="42" fillId="0" borderId="0" xfId="7" quotePrefix="1" applyFont="1" applyAlignment="1">
      <alignment horizontal="left"/>
    </xf>
    <xf numFmtId="0" fontId="42" fillId="0" borderId="0" xfId="8" applyFont="1" applyAlignment="1">
      <alignment wrapText="1"/>
    </xf>
    <xf numFmtId="169" fontId="42" fillId="0" borderId="0" xfId="1" applyNumberFormat="1" applyFont="1" applyFill="1" applyBorder="1" applyAlignment="1">
      <alignment horizontal="right"/>
    </xf>
    <xf numFmtId="0" fontId="42" fillId="0" borderId="1" xfId="0" applyFont="1" applyBorder="1"/>
    <xf numFmtId="0" fontId="42" fillId="0" borderId="0" xfId="0" applyFont="1"/>
    <xf numFmtId="0" fontId="42" fillId="0" borderId="2" xfId="0" applyFont="1" applyBorder="1" applyAlignment="1">
      <alignment horizontal="right"/>
    </xf>
    <xf numFmtId="0" fontId="42" fillId="0" borderId="0" xfId="0" applyFont="1" applyAlignment="1">
      <alignment horizontal="center"/>
    </xf>
    <xf numFmtId="0" fontId="0" fillId="0" borderId="2" xfId="0" applyBorder="1"/>
    <xf numFmtId="0" fontId="42" fillId="0" borderId="2" xfId="0" applyFont="1" applyBorder="1" applyAlignment="1">
      <alignment horizontal="left"/>
    </xf>
    <xf numFmtId="0" fontId="42" fillId="0" borderId="0" xfId="0" applyFont="1" applyAlignment="1">
      <alignment horizontal="right"/>
    </xf>
    <xf numFmtId="16" fontId="42" fillId="0" borderId="1" xfId="0" quotePrefix="1" applyNumberFormat="1" applyFont="1" applyBorder="1"/>
    <xf numFmtId="16" fontId="42" fillId="0" borderId="1" xfId="0" applyNumberFormat="1" applyFont="1" applyBorder="1"/>
    <xf numFmtId="0" fontId="42" fillId="0" borderId="1" xfId="0" applyFont="1" applyBorder="1" applyAlignment="1">
      <alignment horizontal="center"/>
    </xf>
    <xf numFmtId="0" fontId="42" fillId="0" borderId="1" xfId="0" applyFont="1" applyBorder="1" applyAlignment="1">
      <alignment horizontal="right"/>
    </xf>
    <xf numFmtId="0" fontId="42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3" fillId="0" borderId="3" xfId="0" quotePrefix="1" applyFont="1" applyBorder="1" applyAlignment="1">
      <alignment horizontal="center"/>
    </xf>
    <xf numFmtId="0" fontId="43" fillId="0" borderId="0" xfId="0" quotePrefix="1" applyFont="1" applyAlignment="1">
      <alignment horizontal="right"/>
    </xf>
    <xf numFmtId="167" fontId="42" fillId="0" borderId="0" xfId="0" applyNumberFormat="1" applyFont="1" applyAlignment="1">
      <alignment horizontal="center"/>
    </xf>
    <xf numFmtId="165" fontId="42" fillId="0" borderId="0" xfId="1" applyNumberFormat="1" applyFont="1" applyFill="1" applyAlignment="1">
      <alignment horizontal="left"/>
    </xf>
    <xf numFmtId="165" fontId="42" fillId="0" borderId="0" xfId="1" applyNumberFormat="1" applyFont="1" applyFill="1" applyAlignment="1">
      <alignment horizontal="center"/>
    </xf>
    <xf numFmtId="3" fontId="42" fillId="0" borderId="0" xfId="1" applyNumberFormat="1" applyFont="1" applyFill="1" applyBorder="1" applyAlignment="1">
      <alignment horizontal="right" indent="1"/>
    </xf>
    <xf numFmtId="164" fontId="42" fillId="0" borderId="0" xfId="1" applyNumberFormat="1" applyFont="1" applyFill="1" applyBorder="1"/>
    <xf numFmtId="164" fontId="42" fillId="0" borderId="0" xfId="1" applyNumberFormat="1" applyFont="1" applyFill="1" applyBorder="1" applyAlignment="1">
      <alignment horizontal="right"/>
    </xf>
    <xf numFmtId="0" fontId="48" fillId="0" borderId="0" xfId="0" applyFont="1"/>
    <xf numFmtId="169" fontId="42" fillId="0" borderId="0" xfId="1" quotePrefix="1" applyNumberFormat="1" applyFont="1" applyFill="1" applyBorder="1" applyAlignment="1">
      <alignment horizontal="right"/>
    </xf>
    <xf numFmtId="164" fontId="42" fillId="0" borderId="0" xfId="1" applyNumberFormat="1" applyFont="1" applyFill="1" applyBorder="1" applyAlignment="1">
      <alignment horizontal="center"/>
    </xf>
    <xf numFmtId="164" fontId="42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2" fillId="0" borderId="0" xfId="1" applyNumberFormat="1" applyFont="1" applyFill="1"/>
    <xf numFmtId="14" fontId="42" fillId="0" borderId="0" xfId="0" applyNumberFormat="1" applyFont="1" applyAlignment="1">
      <alignment horizontal="left"/>
    </xf>
    <xf numFmtId="3" fontId="42" fillId="0" borderId="0" xfId="1" applyNumberFormat="1" applyFont="1" applyFill="1" applyAlignment="1">
      <alignment horizontal="right" indent="2"/>
    </xf>
    <xf numFmtId="3" fontId="42" fillId="0" borderId="0" xfId="1" applyNumberFormat="1" applyFont="1" applyFill="1" applyAlignment="1">
      <alignment horizontal="right" indent="1"/>
    </xf>
    <xf numFmtId="3" fontId="42" fillId="0" borderId="0" xfId="1" applyNumberFormat="1" applyFont="1" applyFill="1" applyAlignment="1">
      <alignment horizontal="center"/>
    </xf>
    <xf numFmtId="169" fontId="42" fillId="0" borderId="0" xfId="1" applyNumberFormat="1" applyFont="1" applyFill="1" applyBorder="1" applyAlignment="1">
      <alignment horizontal="right" indent="2"/>
    </xf>
    <xf numFmtId="0" fontId="44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2" fillId="0" borderId="1" xfId="1" applyNumberFormat="1" applyFont="1" applyFill="1" applyBorder="1" applyAlignment="1">
      <alignment horizontal="right"/>
    </xf>
    <xf numFmtId="16" fontId="42" fillId="0" borderId="0" xfId="0" applyNumberFormat="1" applyFont="1"/>
    <xf numFmtId="0" fontId="43" fillId="0" borderId="0" xfId="0" applyFont="1" applyAlignment="1">
      <alignment horizontal="center"/>
    </xf>
    <xf numFmtId="2" fontId="42" fillId="0" borderId="0" xfId="0" applyNumberFormat="1" applyFont="1" applyAlignment="1">
      <alignment horizontal="right" indent="2"/>
    </xf>
    <xf numFmtId="170" fontId="42" fillId="0" borderId="0" xfId="0" applyNumberFormat="1" applyFont="1"/>
    <xf numFmtId="43" fontId="42" fillId="0" borderId="0" xfId="1" quotePrefix="1" applyFont="1" applyFill="1" applyBorder="1" applyAlignment="1">
      <alignment horizontal="center"/>
    </xf>
    <xf numFmtId="166" fontId="42" fillId="0" borderId="0" xfId="1" quotePrefix="1" applyNumberFormat="1" applyFont="1" applyFill="1" applyBorder="1" applyAlignment="1">
      <alignment horizontal="center"/>
    </xf>
    <xf numFmtId="43" fontId="42" fillId="0" borderId="0" xfId="1" applyFont="1" applyFill="1" applyBorder="1" applyAlignment="1">
      <alignment horizontal="center"/>
    </xf>
    <xf numFmtId="0" fontId="48" fillId="0" borderId="0" xfId="0" quotePrefix="1" applyFont="1"/>
    <xf numFmtId="0" fontId="42" fillId="0" borderId="0" xfId="0" applyFont="1" applyAlignment="1">
      <alignment horizontal="left"/>
    </xf>
    <xf numFmtId="0" fontId="42" fillId="0" borderId="0" xfId="0" applyFont="1" applyAlignment="1">
      <alignment horizontal="left" indent="1"/>
    </xf>
    <xf numFmtId="0" fontId="42" fillId="0" borderId="3" xfId="0" applyFont="1" applyBorder="1" applyAlignment="1">
      <alignment horizontal="center"/>
    </xf>
    <xf numFmtId="0" fontId="42" fillId="0" borderId="1" xfId="0" applyFont="1" applyBorder="1" applyAlignment="1">
      <alignment horizontal="left"/>
    </xf>
    <xf numFmtId="0" fontId="43" fillId="0" borderId="3" xfId="0" quotePrefix="1" applyFont="1" applyBorder="1"/>
    <xf numFmtId="0" fontId="43" fillId="0" borderId="3" xfId="0" applyFont="1" applyBorder="1"/>
    <xf numFmtId="43" fontId="42" fillId="0" borderId="0" xfId="1" applyFont="1" applyFill="1" applyBorder="1"/>
    <xf numFmtId="2" fontId="42" fillId="0" borderId="0" xfId="0" applyNumberFormat="1" applyFont="1" applyAlignment="1">
      <alignment horizontal="center"/>
    </xf>
    <xf numFmtId="43" fontId="42" fillId="0" borderId="0" xfId="0" applyNumberFormat="1" applyFont="1"/>
    <xf numFmtId="0" fontId="37" fillId="0" borderId="0" xfId="0" applyFont="1"/>
    <xf numFmtId="2" fontId="0" fillId="0" borderId="0" xfId="0" applyNumberFormat="1"/>
    <xf numFmtId="165" fontId="42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46" fillId="0" borderId="0" xfId="0" applyFont="1" applyAlignment="1">
      <alignment vertical="center"/>
    </xf>
    <xf numFmtId="168" fontId="42" fillId="0" borderId="0" xfId="0" applyNumberFormat="1" applyFont="1"/>
    <xf numFmtId="2" fontId="42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2" fillId="0" borderId="3" xfId="0" applyFont="1" applyBorder="1"/>
    <xf numFmtId="165" fontId="42" fillId="0" borderId="0" xfId="1" applyNumberFormat="1" applyFont="1" applyFill="1"/>
    <xf numFmtId="37" fontId="42" fillId="0" borderId="0" xfId="1" applyNumberFormat="1" applyFont="1" applyFill="1" applyBorder="1" applyAlignment="1">
      <alignment horizontal="center"/>
    </xf>
    <xf numFmtId="37" fontId="42" fillId="0" borderId="0" xfId="1" applyNumberFormat="1" applyFont="1" applyFill="1" applyBorder="1" applyAlignment="1">
      <alignment horizontal="right" indent="2"/>
    </xf>
    <xf numFmtId="165" fontId="42" fillId="0" borderId="0" xfId="1" applyNumberFormat="1" applyFont="1" applyFill="1" applyBorder="1"/>
    <xf numFmtId="37" fontId="42" fillId="0" borderId="0" xfId="1" applyNumberFormat="1" applyFont="1" applyFill="1" applyBorder="1" applyAlignment="1">
      <alignment horizontal="right" indent="1"/>
    </xf>
    <xf numFmtId="9" fontId="42" fillId="0" borderId="0" xfId="12" applyFont="1" applyFill="1"/>
    <xf numFmtId="1" fontId="42" fillId="0" borderId="0" xfId="0" applyNumberFormat="1" applyFont="1" applyAlignment="1">
      <alignment horizontal="center"/>
    </xf>
    <xf numFmtId="0" fontId="43" fillId="0" borderId="4" xfId="0" applyFont="1" applyBorder="1" applyAlignment="1">
      <alignment horizontal="center"/>
    </xf>
    <xf numFmtId="14" fontId="42" fillId="0" borderId="0" xfId="0" applyNumberFormat="1" applyFont="1" applyAlignment="1">
      <alignment horizontal="right" inden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169" fontId="42" fillId="0" borderId="0" xfId="1" applyNumberFormat="1" applyFont="1" applyFill="1" applyAlignment="1">
      <alignment horizontal="center"/>
    </xf>
    <xf numFmtId="0" fontId="44" fillId="0" borderId="3" xfId="0" applyFont="1" applyBorder="1"/>
    <xf numFmtId="164" fontId="42" fillId="0" borderId="3" xfId="0" applyNumberFormat="1" applyFont="1" applyBorder="1"/>
    <xf numFmtId="171" fontId="0" fillId="0" borderId="0" xfId="1" applyNumberFormat="1" applyFont="1" applyFill="1" applyBorder="1"/>
    <xf numFmtId="0" fontId="33" fillId="0" borderId="0" xfId="8" applyFont="1"/>
    <xf numFmtId="0" fontId="33" fillId="0" borderId="0" xfId="0" applyFont="1"/>
    <xf numFmtId="4" fontId="51" fillId="0" borderId="0" xfId="0" applyNumberFormat="1" applyFont="1"/>
    <xf numFmtId="0" fontId="33" fillId="0" borderId="0" xfId="0" applyFont="1" applyAlignment="1">
      <alignment horizontal="right"/>
    </xf>
    <xf numFmtId="2" fontId="33" fillId="0" borderId="0" xfId="0" applyNumberFormat="1" applyFont="1" applyAlignment="1">
      <alignment horizontal="right"/>
    </xf>
    <xf numFmtId="172" fontId="37" fillId="0" borderId="0" xfId="12" applyNumberFormat="1" applyFont="1" applyFill="1"/>
    <xf numFmtId="4" fontId="0" fillId="0" borderId="0" xfId="0" applyNumberFormat="1"/>
    <xf numFmtId="169" fontId="42" fillId="0" borderId="0" xfId="1" applyNumberFormat="1" applyFont="1" applyBorder="1" applyAlignment="1">
      <alignment horizontal="right" indent="1"/>
    </xf>
    <xf numFmtId="0" fontId="33" fillId="0" borderId="0" xfId="20"/>
    <xf numFmtId="37" fontId="0" fillId="0" borderId="0" xfId="0" applyNumberFormat="1"/>
    <xf numFmtId="173" fontId="51" fillId="0" borderId="0" xfId="0" applyNumberFormat="1" applyFont="1"/>
    <xf numFmtId="174" fontId="42" fillId="0" borderId="0" xfId="1" applyNumberFormat="1" applyFont="1" applyFill="1" applyBorder="1" applyAlignment="1">
      <alignment horizontal="right" indent="2"/>
    </xf>
    <xf numFmtId="0" fontId="52" fillId="0" borderId="0" xfId="44" applyFont="1" applyAlignment="1">
      <alignment horizontal="center"/>
    </xf>
    <xf numFmtId="164" fontId="42" fillId="2" borderId="0" xfId="1" applyNumberFormat="1" applyFont="1" applyFill="1" applyBorder="1" applyAlignment="1">
      <alignment horizontal="center"/>
    </xf>
    <xf numFmtId="0" fontId="53" fillId="0" borderId="1" xfId="46" applyFont="1" applyBorder="1" applyAlignment="1">
      <alignment horizontal="center" wrapText="1"/>
    </xf>
    <xf numFmtId="0" fontId="52" fillId="0" borderId="0" xfId="46" applyFont="1" applyAlignment="1">
      <alignment horizontal="center"/>
    </xf>
    <xf numFmtId="2" fontId="50" fillId="0" borderId="0" xfId="0" applyNumberFormat="1" applyFont="1" applyAlignment="1">
      <alignment horizontal="center"/>
    </xf>
    <xf numFmtId="39" fontId="54" fillId="0" borderId="0" xfId="1" applyNumberFormat="1" applyFont="1" applyFill="1" applyAlignment="1">
      <alignment horizontal="right"/>
    </xf>
    <xf numFmtId="170" fontId="0" fillId="0" borderId="0" xfId="0" applyNumberFormat="1"/>
    <xf numFmtId="175" fontId="51" fillId="0" borderId="0" xfId="0" applyNumberFormat="1" applyFont="1"/>
    <xf numFmtId="37" fontId="42" fillId="0" borderId="0" xfId="0" applyNumberFormat="1" applyFont="1" applyAlignment="1">
      <alignment vertical="center" wrapText="1"/>
    </xf>
    <xf numFmtId="37" fontId="42" fillId="0" borderId="0" xfId="0" applyNumberFormat="1" applyFont="1"/>
    <xf numFmtId="172" fontId="0" fillId="0" borderId="0" xfId="12" applyNumberFormat="1" applyFont="1"/>
    <xf numFmtId="176" fontId="33" fillId="0" borderId="0" xfId="0" applyNumberFormat="1" applyFont="1"/>
    <xf numFmtId="169" fontId="42" fillId="0" borderId="1" xfId="1" applyNumberFormat="1" applyFont="1" applyFill="1" applyBorder="1" applyAlignment="1">
      <alignment horizontal="right" indent="2"/>
    </xf>
    <xf numFmtId="169" fontId="42" fillId="0" borderId="1" xfId="1" applyNumberFormat="1" applyFont="1" applyFill="1" applyBorder="1" applyAlignment="1">
      <alignment horizontal="right" indent="1"/>
    </xf>
    <xf numFmtId="169" fontId="42" fillId="0" borderId="1" xfId="1" applyNumberFormat="1" applyFont="1" applyFill="1" applyBorder="1" applyAlignment="1">
      <alignment horizontal="center"/>
    </xf>
    <xf numFmtId="2" fontId="50" fillId="0" borderId="0" xfId="0" applyNumberFormat="1" applyFont="1" applyAlignment="1">
      <alignment horizontal="right" indent="2"/>
    </xf>
    <xf numFmtId="169" fontId="42" fillId="0" borderId="0" xfId="0" applyNumberFormat="1" applyFont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39" fontId="54" fillId="0" borderId="0" xfId="1" applyNumberFormat="1" applyFont="1" applyAlignment="1">
      <alignment horizontal="right"/>
    </xf>
    <xf numFmtId="167" fontId="0" fillId="0" borderId="0" xfId="0" applyNumberFormat="1"/>
    <xf numFmtId="167" fontId="0" fillId="0" borderId="0" xfId="12" applyNumberFormat="1" applyFont="1"/>
    <xf numFmtId="167" fontId="54" fillId="0" borderId="0" xfId="1" applyNumberFormat="1" applyFont="1" applyAlignment="1">
      <alignment horizontal="right"/>
    </xf>
    <xf numFmtId="167" fontId="54" fillId="0" borderId="0" xfId="1" applyNumberFormat="1" applyFont="1"/>
    <xf numFmtId="9" fontId="0" fillId="0" borderId="0" xfId="12" applyFont="1"/>
    <xf numFmtId="2" fontId="50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43" fontId="42" fillId="0" borderId="1" xfId="1" applyFont="1" applyFill="1" applyBorder="1" applyAlignment="1">
      <alignment horizontal="center"/>
    </xf>
    <xf numFmtId="2" fontId="42" fillId="0" borderId="1" xfId="0" applyNumberFormat="1" applyFont="1" applyBorder="1" applyAlignment="1">
      <alignment horizontal="right" indent="2"/>
    </xf>
    <xf numFmtId="3" fontId="56" fillId="0" borderId="0" xfId="0" applyNumberFormat="1" applyFont="1"/>
    <xf numFmtId="165" fontId="54" fillId="0" borderId="0" xfId="1" applyNumberFormat="1" applyFont="1" applyFill="1"/>
    <xf numFmtId="3" fontId="50" fillId="0" borderId="0" xfId="1" applyNumberFormat="1" applyFont="1" applyFill="1" applyBorder="1" applyAlignment="1">
      <alignment horizontal="right"/>
    </xf>
    <xf numFmtId="3" fontId="33" fillId="0" borderId="0" xfId="0" applyNumberFormat="1" applyFont="1"/>
    <xf numFmtId="3" fontId="42" fillId="0" borderId="0" xfId="1" quotePrefix="1" applyNumberFormat="1" applyFont="1" applyFill="1" applyBorder="1" applyAlignment="1">
      <alignment horizontal="right"/>
    </xf>
    <xf numFmtId="0" fontId="53" fillId="0" borderId="1" xfId="72" applyFont="1" applyBorder="1" applyAlignment="1">
      <alignment horizontal="center" wrapText="1"/>
    </xf>
    <xf numFmtId="0" fontId="52" fillId="0" borderId="0" xfId="72" applyFont="1"/>
    <xf numFmtId="41" fontId="52" fillId="0" borderId="0" xfId="33" applyNumberFormat="1" applyFont="1" applyFill="1" applyAlignment="1">
      <alignment horizontal="center"/>
    </xf>
    <xf numFmtId="41" fontId="52" fillId="0" borderId="0" xfId="33" applyNumberFormat="1" applyFont="1" applyFill="1"/>
    <xf numFmtId="178" fontId="0" fillId="0" borderId="0" xfId="0" applyNumberFormat="1"/>
    <xf numFmtId="177" fontId="52" fillId="0" borderId="0" xfId="72" applyNumberFormat="1" applyFont="1"/>
    <xf numFmtId="167" fontId="33" fillId="0" borderId="0" xfId="20" applyNumberFormat="1"/>
    <xf numFmtId="3" fontId="0" fillId="0" borderId="0" xfId="0" applyNumberFormat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65" fontId="0" fillId="0" borderId="0" xfId="0" applyNumberFormat="1"/>
    <xf numFmtId="169" fontId="42" fillId="0" borderId="0" xfId="1" applyNumberFormat="1" applyFont="1" applyAlignment="1">
      <alignment horizontal="right" indent="1"/>
    </xf>
    <xf numFmtId="167" fontId="42" fillId="0" borderId="0" xfId="0" applyNumberFormat="1" applyFont="1"/>
    <xf numFmtId="169" fontId="50" fillId="0" borderId="0" xfId="1" applyNumberFormat="1" applyFont="1" applyFill="1" applyBorder="1" applyAlignment="1">
      <alignment horizontal="right" indent="1"/>
    </xf>
    <xf numFmtId="169" fontId="50" fillId="0" borderId="1" xfId="1" applyNumberFormat="1" applyFont="1" applyFill="1" applyBorder="1" applyAlignment="1">
      <alignment horizontal="right" indent="1"/>
    </xf>
    <xf numFmtId="0" fontId="55" fillId="0" borderId="0" xfId="0" applyFont="1"/>
    <xf numFmtId="165" fontId="50" fillId="0" borderId="0" xfId="1" applyNumberFormat="1" applyFont="1" applyFill="1" applyAlignment="1">
      <alignment horizontal="center"/>
    </xf>
    <xf numFmtId="37" fontId="42" fillId="0" borderId="1" xfId="1" applyNumberFormat="1" applyFont="1" applyFill="1" applyBorder="1" applyAlignment="1">
      <alignment horizontal="center"/>
    </xf>
    <xf numFmtId="37" fontId="42" fillId="0" borderId="1" xfId="1" applyNumberFormat="1" applyFont="1" applyFill="1" applyBorder="1" applyAlignment="1">
      <alignment horizontal="right" indent="2"/>
    </xf>
    <xf numFmtId="165" fontId="42" fillId="0" borderId="1" xfId="1" applyNumberFormat="1" applyFont="1" applyFill="1" applyBorder="1"/>
    <xf numFmtId="37" fontId="42" fillId="0" borderId="1" xfId="1" applyNumberFormat="1" applyFont="1" applyFill="1" applyBorder="1" applyAlignment="1">
      <alignment horizontal="right" indent="1"/>
    </xf>
    <xf numFmtId="1" fontId="42" fillId="0" borderId="1" xfId="0" applyNumberFormat="1" applyFont="1" applyBorder="1" applyAlignment="1">
      <alignment horizontal="center"/>
    </xf>
    <xf numFmtId="0" fontId="52" fillId="0" borderId="0" xfId="0" applyFont="1"/>
    <xf numFmtId="0" fontId="53" fillId="0" borderId="0" xfId="46" applyFont="1" applyAlignment="1">
      <alignment horizontal="center" wrapText="1"/>
    </xf>
    <xf numFmtId="165" fontId="52" fillId="0" borderId="0" xfId="1" applyNumberFormat="1" applyFont="1" applyAlignment="1"/>
    <xf numFmtId="165" fontId="54" fillId="0" borderId="0" xfId="1" applyNumberFormat="1" applyFont="1" applyAlignment="1"/>
    <xf numFmtId="165" fontId="0" fillId="0" borderId="0" xfId="1" applyNumberFormat="1" applyFont="1" applyAlignment="1"/>
    <xf numFmtId="165" fontId="0" fillId="0" borderId="0" xfId="1" applyNumberFormat="1" applyFont="1" applyFill="1" applyAlignment="1"/>
    <xf numFmtId="165" fontId="0" fillId="0" borderId="0" xfId="1" applyNumberFormat="1" applyFont="1" applyFill="1"/>
    <xf numFmtId="4" fontId="56" fillId="0" borderId="0" xfId="0" applyNumberFormat="1" applyFont="1"/>
    <xf numFmtId="9" fontId="33" fillId="0" borderId="0" xfId="12"/>
    <xf numFmtId="165" fontId="0" fillId="0" borderId="0" xfId="1" applyNumberFormat="1" applyFont="1"/>
    <xf numFmtId="165" fontId="33" fillId="0" borderId="0" xfId="20" applyNumberFormat="1"/>
    <xf numFmtId="0" fontId="42" fillId="0" borderId="2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3" fillId="0" borderId="2" xfId="0" quotePrefix="1" applyFont="1" applyBorder="1" applyAlignment="1">
      <alignment horizontal="center"/>
    </xf>
    <xf numFmtId="0" fontId="43" fillId="0" borderId="5" xfId="0" quotePrefix="1" applyFont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0" borderId="5" xfId="0" applyFont="1" applyBorder="1" applyAlignment="1">
      <alignment horizontal="center"/>
    </xf>
  </cellXfs>
  <cellStyles count="73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00B050"/>
      <color rgb="FFFFFF00"/>
      <color rgb="FFC0502F"/>
      <color rgb="FFFA6400"/>
      <color rgb="FFFFCF01"/>
      <color rgb="FF984807"/>
      <color rgb="FF95B3D7"/>
      <color rgb="FFC0504D"/>
      <color rgb="FFD996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U.S. soybean supply and demand, MY 2013/14–2023/24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6352429968062843E-3"/>
          <c:y val="2.7152649397086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399253172250197E-2"/>
          <c:y val="0.20729156681501767"/>
          <c:w val="0.84867434333866165"/>
          <c:h val="0.46080499813369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1'!$B$1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2023/24*</c:v>
                </c:pt>
              </c:strCache>
            </c:strRef>
          </c:cat>
          <c:val>
            <c:numRef>
              <c:f>'Figure 1'!$B$2:$B$12</c:f>
              <c:numCache>
                <c:formatCode>_(* #,##0_);_(* \(#,##0\);_(* "-"??_);_(@_)</c:formatCode>
                <c:ptCount val="11"/>
                <c:pt idx="0">
                  <c:v>1734</c:v>
                </c:pt>
                <c:pt idx="1">
                  <c:v>1873</c:v>
                </c:pt>
                <c:pt idx="2">
                  <c:v>1886.2370000000001</c:v>
                </c:pt>
                <c:pt idx="3">
                  <c:v>1901.1980000000001</c:v>
                </c:pt>
                <c:pt idx="4">
                  <c:v>2054.9319999999998</c:v>
                </c:pt>
                <c:pt idx="5">
                  <c:v>2091.9899999999998</c:v>
                </c:pt>
                <c:pt idx="6">
                  <c:v>2164.5540000000001</c:v>
                </c:pt>
                <c:pt idx="7">
                  <c:v>2140.585</c:v>
                </c:pt>
                <c:pt idx="8">
                  <c:v>2203.8719999999998</c:v>
                </c:pt>
                <c:pt idx="9">
                  <c:v>2211.9380000000001</c:v>
                </c:pt>
                <c:pt idx="10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4F-42A9-9848-6277BC2792B6}"/>
            </c:ext>
          </c:extLst>
        </c:ser>
        <c:ser>
          <c:idx val="0"/>
          <c:order val="1"/>
          <c:tx>
            <c:strRef>
              <c:f>'Figure 1'!$C$1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04F-42A9-9848-6277BC2792B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2023/24*</c:v>
                </c:pt>
              </c:strCache>
            </c:strRef>
          </c:cat>
          <c:val>
            <c:numRef>
              <c:f>'Figure 1'!$C$2:$C$12</c:f>
              <c:numCache>
                <c:formatCode>_(* #,##0_);_(* \(#,##0\);_(* "-"??_);_(@_)</c:formatCode>
                <c:ptCount val="11"/>
                <c:pt idx="0">
                  <c:v>1638.559</c:v>
                </c:pt>
                <c:pt idx="1">
                  <c:v>1842.175</c:v>
                </c:pt>
                <c:pt idx="2">
                  <c:v>1942.606</c:v>
                </c:pt>
                <c:pt idx="3">
                  <c:v>2166.5509999999999</c:v>
                </c:pt>
                <c:pt idx="4">
                  <c:v>2133.7310000000002</c:v>
                </c:pt>
                <c:pt idx="5">
                  <c:v>1753.43</c:v>
                </c:pt>
                <c:pt idx="6">
                  <c:v>1682.875</c:v>
                </c:pt>
                <c:pt idx="7">
                  <c:v>2265.7620000000002</c:v>
                </c:pt>
                <c:pt idx="8">
                  <c:v>2152.114</c:v>
                </c:pt>
                <c:pt idx="9">
                  <c:v>1991.816</c:v>
                </c:pt>
                <c:pt idx="10">
                  <c:v>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4F-42A9-9848-6277BC27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1'!$D$1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1'!$D$2:$D$12</c:f>
              <c:numCache>
                <c:formatCode>_(* #,##0_);_(* \(#,##0\);_(* "-"??_);_(@_)</c:formatCode>
                <c:ptCount val="11"/>
                <c:pt idx="0">
                  <c:v>3357.0039999999999</c:v>
                </c:pt>
                <c:pt idx="1">
                  <c:v>3928.07</c:v>
                </c:pt>
                <c:pt idx="2">
                  <c:v>3926.779</c:v>
                </c:pt>
                <c:pt idx="3">
                  <c:v>4296.4960000000001</c:v>
                </c:pt>
                <c:pt idx="4">
                  <c:v>4411.6329999999998</c:v>
                </c:pt>
                <c:pt idx="5">
                  <c:v>4428.1499999999996</c:v>
                </c:pt>
                <c:pt idx="6">
                  <c:v>3551.9079999999999</c:v>
                </c:pt>
                <c:pt idx="7">
                  <c:v>4216.3019999999997</c:v>
                </c:pt>
                <c:pt idx="8">
                  <c:v>4465.3819999999996</c:v>
                </c:pt>
                <c:pt idx="9">
                  <c:v>4270.1959999999999</c:v>
                </c:pt>
                <c:pt idx="10">
                  <c:v>4104.3789999999999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4F-42A9-9848-6277BC27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4194643244963205"/>
              <c:y val="0.820356143327387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5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768674185997004E-3"/>
              <c:y val="8.82996127726186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385094422530094"/>
          <c:y val="0.13971623112328349"/>
          <c:w val="0.43499820700731845"/>
          <c:h val="6.164068621857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sunflower harvested acreage by type and total production, MY 2013/14–2023/24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5001248842613033E-3"/>
          <c:y val="6.28917448311087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046297601546604E-2"/>
          <c:y val="0.23754151584132552"/>
          <c:w val="0.81279275832208964"/>
          <c:h val="0.45686181012523513"/>
        </c:manualLayout>
      </c:layout>
      <c:barChart>
        <c:barDir val="col"/>
        <c:grouping val="stacked"/>
        <c:varyColors val="0"/>
        <c:ser>
          <c:idx val="0"/>
          <c:order val="0"/>
          <c:tx>
            <c:v>Oil type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2'!$A$2:$A$12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2023/24*</c:v>
                </c:pt>
              </c:strCache>
            </c:strRef>
          </c:cat>
          <c:val>
            <c:numRef>
              <c:f>'Figure 2'!$B$2:$B$12</c:f>
              <c:numCache>
                <c:formatCode>_(* #,##0_);_(* \(#,##0\);_(* "-"??_);_(@_)</c:formatCode>
                <c:ptCount val="11"/>
                <c:pt idx="0">
                  <c:v>1200.9000000000001</c:v>
                </c:pt>
                <c:pt idx="1">
                  <c:v>1134.5</c:v>
                </c:pt>
                <c:pt idx="2">
                  <c:v>1510</c:v>
                </c:pt>
                <c:pt idx="3">
                  <c:v>1368.5</c:v>
                </c:pt>
                <c:pt idx="4">
                  <c:v>1168</c:v>
                </c:pt>
                <c:pt idx="5">
                  <c:v>1094</c:v>
                </c:pt>
                <c:pt idx="6">
                  <c:v>1131</c:v>
                </c:pt>
                <c:pt idx="7">
                  <c:v>1452.5</c:v>
                </c:pt>
                <c:pt idx="8">
                  <c:v>1141.5</c:v>
                </c:pt>
                <c:pt idx="9">
                  <c:v>1477</c:v>
                </c:pt>
                <c:pt idx="10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DA-453D-ADFC-1AD6CD126057}"/>
            </c:ext>
          </c:extLst>
        </c:ser>
        <c:ser>
          <c:idx val="1"/>
          <c:order val="1"/>
          <c:tx>
            <c:v>Nonoil type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3B-41CA-AB44-98A5AE80AA1A}"/>
              </c:ext>
            </c:extLst>
          </c:dPt>
          <c:cat>
            <c:strRef>
              <c:f>'Figure 2'!$A$2:$A$12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2023/24*</c:v>
                </c:pt>
              </c:strCache>
            </c:strRef>
          </c:cat>
          <c:val>
            <c:numRef>
              <c:f>'Figure 2'!$C$2:$C$12</c:f>
              <c:numCache>
                <c:formatCode>_(* #,##0_);_(* \(#,##0\);_(* "-"??_);_(@_)</c:formatCode>
                <c:ptCount val="11"/>
                <c:pt idx="0">
                  <c:v>263.7</c:v>
                </c:pt>
                <c:pt idx="1">
                  <c:v>370.6</c:v>
                </c:pt>
                <c:pt idx="2">
                  <c:v>290.39999999999998</c:v>
                </c:pt>
                <c:pt idx="3">
                  <c:v>163.5</c:v>
                </c:pt>
                <c:pt idx="4">
                  <c:v>165.8</c:v>
                </c:pt>
                <c:pt idx="5">
                  <c:v>123.4</c:v>
                </c:pt>
                <c:pt idx="6">
                  <c:v>122.5</c:v>
                </c:pt>
                <c:pt idx="7">
                  <c:v>213.6</c:v>
                </c:pt>
                <c:pt idx="8">
                  <c:v>104.3</c:v>
                </c:pt>
                <c:pt idx="9">
                  <c:v>128.5</c:v>
                </c:pt>
                <c:pt idx="10">
                  <c:v>145.30000000000001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DA-453D-ADFC-1AD6CD12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v>Total production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2'!$A$2:$A$12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2023/24*</c:v>
                </c:pt>
              </c:strCache>
            </c:strRef>
          </c:cat>
          <c:val>
            <c:numRef>
              <c:f>'Figure 2'!$D$2:$D$12</c:f>
              <c:numCache>
                <c:formatCode>_(* #,##0_);_(* \(#,##0\);_(* "-"??_);_(@_)</c:formatCode>
                <c:ptCount val="11"/>
                <c:pt idx="0">
                  <c:v>2021.7649999999999</c:v>
                </c:pt>
                <c:pt idx="1">
                  <c:v>2212.3500000000004</c:v>
                </c:pt>
                <c:pt idx="2">
                  <c:v>2925.0299999999997</c:v>
                </c:pt>
                <c:pt idx="3">
                  <c:v>2651.6349999999998</c:v>
                </c:pt>
                <c:pt idx="4">
                  <c:v>2137.75</c:v>
                </c:pt>
                <c:pt idx="5">
                  <c:v>2107.0450000000001</c:v>
                </c:pt>
                <c:pt idx="6">
                  <c:v>1956.0349999999999</c:v>
                </c:pt>
                <c:pt idx="7">
                  <c:v>2982.8900000000003</c:v>
                </c:pt>
                <c:pt idx="8">
                  <c:v>1905.2850000000001</c:v>
                </c:pt>
                <c:pt idx="9">
                  <c:v>2811.2249999999999</c:v>
                </c:pt>
                <c:pt idx="10">
                  <c:v>2194.4499999999998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DA-453D-ADFC-1AD6CD126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773376"/>
        <c:axId val="882458704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3844297418094302"/>
              <c:y val="0.83428567407626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acres</a:t>
                </a:r>
              </a:p>
            </c:rich>
          </c:tx>
          <c:layout>
            <c:manualLayout>
              <c:xMode val="edge"/>
              <c:yMode val="edge"/>
              <c:x val="1.7518510314087975E-3"/>
              <c:y val="0.16517271833911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88245870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0.82274469527626182"/>
              <c:y val="0.16866758163918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1773376"/>
        <c:crosses val="max"/>
        <c:crossBetween val="between"/>
      </c:valAx>
      <c:catAx>
        <c:axId val="84177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45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475226721979445"/>
          <c:y val="0.13988077714614267"/>
          <c:w val="0.57131387988266169"/>
          <c:h val="5.5992724448148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India vegetable oil prices, cost, insurance, and freight (CIF) India ports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223258176009151E-2"/>
          <c:y val="2.0897896182698862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248118004514368E-2"/>
          <c:y val="0.20494263251355804"/>
          <c:w val="0.81052505441035638"/>
          <c:h val="0.58411408030368972"/>
        </c:manualLayout>
      </c:layout>
      <c:lineChart>
        <c:grouping val="standard"/>
        <c:varyColors val="0"/>
        <c:ser>
          <c:idx val="3"/>
          <c:order val="0"/>
          <c:tx>
            <c:strRef>
              <c:f>'Figure 3'!$B$1</c:f>
              <c:strCache>
                <c:ptCount val="1"/>
                <c:pt idx="0">
                  <c:v>Crude palm oil</c:v>
                </c:pt>
              </c:strCache>
            </c:strRef>
          </c:tx>
          <c:marker>
            <c:spPr>
              <a:solidFill>
                <a:srgbClr val="7030A0"/>
              </a:solidFill>
            </c:spPr>
          </c:marker>
          <c:cat>
            <c:numRef>
              <c:f>'Figure 3'!$A$2:$A$24</c:f>
              <c:numCache>
                <c:formatCode>[$-409]mmm\-yy;@</c:formatCode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  <c:pt idx="6">
                  <c:v>44654</c:v>
                </c:pt>
                <c:pt idx="7">
                  <c:v>44684</c:v>
                </c:pt>
                <c:pt idx="8">
                  <c:v>44714</c:v>
                </c:pt>
                <c:pt idx="9">
                  <c:v>44744</c:v>
                </c:pt>
                <c:pt idx="10">
                  <c:v>44774</c:v>
                </c:pt>
                <c:pt idx="11">
                  <c:v>44805</c:v>
                </c:pt>
                <c:pt idx="12">
                  <c:v>44855</c:v>
                </c:pt>
                <c:pt idx="13">
                  <c:v>44887</c:v>
                </c:pt>
                <c:pt idx="14">
                  <c:v>44917</c:v>
                </c:pt>
                <c:pt idx="15">
                  <c:v>44947</c:v>
                </c:pt>
                <c:pt idx="16">
                  <c:v>44975</c:v>
                </c:pt>
                <c:pt idx="17">
                  <c:v>45006</c:v>
                </c:pt>
                <c:pt idx="18">
                  <c:v>45037</c:v>
                </c:pt>
                <c:pt idx="19">
                  <c:v>45067</c:v>
                </c:pt>
                <c:pt idx="20">
                  <c:v>45097</c:v>
                </c:pt>
                <c:pt idx="21">
                  <c:v>45128</c:v>
                </c:pt>
                <c:pt idx="22">
                  <c:v>45158</c:v>
                </c:pt>
              </c:numCache>
            </c:numRef>
          </c:cat>
          <c:val>
            <c:numRef>
              <c:f>'Figure 3'!$B$2:$B$24</c:f>
              <c:numCache>
                <c:formatCode>General</c:formatCode>
                <c:ptCount val="23"/>
                <c:pt idx="0">
                  <c:v>1369</c:v>
                </c:pt>
                <c:pt idx="1">
                  <c:v>1432</c:v>
                </c:pt>
                <c:pt idx="2">
                  <c:v>1420</c:v>
                </c:pt>
                <c:pt idx="3">
                  <c:v>1510</c:v>
                </c:pt>
                <c:pt idx="4">
                  <c:v>1594</c:v>
                </c:pt>
                <c:pt idx="5">
                  <c:v>1828</c:v>
                </c:pt>
                <c:pt idx="6">
                  <c:v>1791</c:v>
                </c:pt>
                <c:pt idx="7">
                  <c:v>1811</c:v>
                </c:pt>
                <c:pt idx="8">
                  <c:v>1557</c:v>
                </c:pt>
                <c:pt idx="9">
                  <c:v>1120</c:v>
                </c:pt>
                <c:pt idx="10">
                  <c:v>1103</c:v>
                </c:pt>
                <c:pt idx="11" formatCode="_(* #,##0_);_(* \(#,##0\);_(* &quot;-&quot;_);_(@_)">
                  <c:v>946</c:v>
                </c:pt>
                <c:pt idx="12" formatCode="_(* #,##0_);_(* \(#,##0\);_(* &quot;-&quot;??_);_(@_)">
                  <c:v>938</c:v>
                </c:pt>
                <c:pt idx="13" formatCode="_(* #,##0_);_(* \(#,##0\);_(* &quot;-&quot;??_);_(@_)">
                  <c:v>1024</c:v>
                </c:pt>
                <c:pt idx="14" formatCode="_(* #,##0_);_(* \(#,##0\);_(* &quot;-&quot;??_);_(@_)">
                  <c:v>997</c:v>
                </c:pt>
                <c:pt idx="15" formatCode="_(* #,##0_);_(* \(#,##0\);_(* &quot;-&quot;??_);_(@_)">
                  <c:v>997</c:v>
                </c:pt>
                <c:pt idx="16" formatCode="_(* #,##0_);_(* \(#,##0\);_(* &quot;-&quot;??_);_(@_)">
                  <c:v>1015</c:v>
                </c:pt>
                <c:pt idx="17" formatCode="_(* #,##0_);_(* \(#,##0\);_(* &quot;-&quot;??_);_(@_)">
                  <c:v>1024</c:v>
                </c:pt>
                <c:pt idx="18" formatCode="_(* #,##0_);_(* \(#,##0\);_(* &quot;-&quot;??_);_(@_)">
                  <c:v>1039</c:v>
                </c:pt>
                <c:pt idx="19" formatCode="_(* #,##0_);_(* \(#,##0\);_(* &quot;-&quot;??_);_(@_)">
                  <c:v>938</c:v>
                </c:pt>
                <c:pt idx="20" formatCode="_(* #,##0_);_(* \(#,##0\);_(* &quot;-&quot;??_);_(@_)">
                  <c:v>875</c:v>
                </c:pt>
                <c:pt idx="21" formatCode="_(* #,##0_);_(* \(#,##0\);_(* &quot;-&quot;??_);_(@_)">
                  <c:v>945</c:v>
                </c:pt>
                <c:pt idx="22" formatCode="_(* #,##0_);_(* \(#,##0\);_(* &quot;-&quot;_);_(@_)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4A-41F2-8EF6-663BDDFB4BA2}"/>
            </c:ext>
          </c:extLst>
        </c:ser>
        <c:ser>
          <c:idx val="4"/>
          <c:order val="1"/>
          <c:tx>
            <c:strRef>
              <c:f>'Figure 3'!$C$1</c:f>
              <c:strCache>
                <c:ptCount val="1"/>
                <c:pt idx="0">
                  <c:v>Crude sunflowerseed oil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'Figure 3'!$A$2:$A$24</c:f>
              <c:numCache>
                <c:formatCode>[$-409]mmm\-yy;@</c:formatCode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  <c:pt idx="6">
                  <c:v>44654</c:v>
                </c:pt>
                <c:pt idx="7">
                  <c:v>44684</c:v>
                </c:pt>
                <c:pt idx="8">
                  <c:v>44714</c:v>
                </c:pt>
                <c:pt idx="9">
                  <c:v>44744</c:v>
                </c:pt>
                <c:pt idx="10">
                  <c:v>44774</c:v>
                </c:pt>
                <c:pt idx="11">
                  <c:v>44805</c:v>
                </c:pt>
                <c:pt idx="12">
                  <c:v>44855</c:v>
                </c:pt>
                <c:pt idx="13">
                  <c:v>44887</c:v>
                </c:pt>
                <c:pt idx="14">
                  <c:v>44917</c:v>
                </c:pt>
                <c:pt idx="15">
                  <c:v>44947</c:v>
                </c:pt>
                <c:pt idx="16">
                  <c:v>44975</c:v>
                </c:pt>
                <c:pt idx="17">
                  <c:v>45006</c:v>
                </c:pt>
                <c:pt idx="18">
                  <c:v>45037</c:v>
                </c:pt>
                <c:pt idx="19">
                  <c:v>45067</c:v>
                </c:pt>
                <c:pt idx="20">
                  <c:v>45097</c:v>
                </c:pt>
                <c:pt idx="21">
                  <c:v>45128</c:v>
                </c:pt>
                <c:pt idx="22">
                  <c:v>45158</c:v>
                </c:pt>
              </c:numCache>
            </c:numRef>
          </c:cat>
          <c:val>
            <c:numRef>
              <c:f>'Figure 3'!$C$2:$C$24</c:f>
              <c:numCache>
                <c:formatCode>General</c:formatCode>
                <c:ptCount val="23"/>
                <c:pt idx="0">
                  <c:v>1457</c:v>
                </c:pt>
                <c:pt idx="1">
                  <c:v>1471</c:v>
                </c:pt>
                <c:pt idx="2">
                  <c:v>1460</c:v>
                </c:pt>
                <c:pt idx="3">
                  <c:v>1475</c:v>
                </c:pt>
                <c:pt idx="4">
                  <c:v>1506</c:v>
                </c:pt>
                <c:pt idx="5">
                  <c:v>2125</c:v>
                </c:pt>
                <c:pt idx="6">
                  <c:v>2155</c:v>
                </c:pt>
                <c:pt idx="7">
                  <c:v>2134</c:v>
                </c:pt>
                <c:pt idx="8">
                  <c:v>1941</c:v>
                </c:pt>
                <c:pt idx="9">
                  <c:v>1621</c:v>
                </c:pt>
                <c:pt idx="10">
                  <c:v>1571</c:v>
                </c:pt>
                <c:pt idx="11">
                  <c:v>1329</c:v>
                </c:pt>
                <c:pt idx="12">
                  <c:v>1411</c:v>
                </c:pt>
                <c:pt idx="13">
                  <c:v>1445</c:v>
                </c:pt>
                <c:pt idx="14">
                  <c:v>1322</c:v>
                </c:pt>
                <c:pt idx="15">
                  <c:v>1295</c:v>
                </c:pt>
                <c:pt idx="16">
                  <c:v>1224</c:v>
                </c:pt>
                <c:pt idx="17">
                  <c:v>1108</c:v>
                </c:pt>
                <c:pt idx="18">
                  <c:v>1036</c:v>
                </c:pt>
                <c:pt idx="19">
                  <c:v>957</c:v>
                </c:pt>
                <c:pt idx="20">
                  <c:v>914</c:v>
                </c:pt>
                <c:pt idx="21">
                  <c:v>1000</c:v>
                </c:pt>
                <c:pt idx="22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4A-41F2-8EF6-663BDDFB4BA2}"/>
            </c:ext>
          </c:extLst>
        </c:ser>
        <c:ser>
          <c:idx val="5"/>
          <c:order val="2"/>
          <c:tx>
            <c:strRef>
              <c:f>'Figure 3'!$D$1</c:f>
              <c:strCache>
                <c:ptCount val="1"/>
                <c:pt idx="0">
                  <c:v>Crude soybean oil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'Figure 3'!$A$2:$A$24</c:f>
              <c:numCache>
                <c:formatCode>[$-409]mmm\-yy;@</c:formatCode>
                <c:ptCount val="2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44624</c:v>
                </c:pt>
                <c:pt idx="6">
                  <c:v>44654</c:v>
                </c:pt>
                <c:pt idx="7">
                  <c:v>44684</c:v>
                </c:pt>
                <c:pt idx="8">
                  <c:v>44714</c:v>
                </c:pt>
                <c:pt idx="9">
                  <c:v>44744</c:v>
                </c:pt>
                <c:pt idx="10">
                  <c:v>44774</c:v>
                </c:pt>
                <c:pt idx="11">
                  <c:v>44805</c:v>
                </c:pt>
                <c:pt idx="12">
                  <c:v>44855</c:v>
                </c:pt>
                <c:pt idx="13">
                  <c:v>44887</c:v>
                </c:pt>
                <c:pt idx="14">
                  <c:v>44917</c:v>
                </c:pt>
                <c:pt idx="15">
                  <c:v>44947</c:v>
                </c:pt>
                <c:pt idx="16">
                  <c:v>44975</c:v>
                </c:pt>
                <c:pt idx="17">
                  <c:v>45006</c:v>
                </c:pt>
                <c:pt idx="18">
                  <c:v>45037</c:v>
                </c:pt>
                <c:pt idx="19">
                  <c:v>45067</c:v>
                </c:pt>
                <c:pt idx="20">
                  <c:v>45097</c:v>
                </c:pt>
                <c:pt idx="21">
                  <c:v>45128</c:v>
                </c:pt>
                <c:pt idx="22">
                  <c:v>45158</c:v>
                </c:pt>
              </c:numCache>
            </c:numRef>
          </c:cat>
          <c:val>
            <c:numRef>
              <c:f>'Figure 3'!$D$2:$D$24</c:f>
              <c:numCache>
                <c:formatCode>General</c:formatCode>
                <c:ptCount val="23"/>
                <c:pt idx="0">
                  <c:v>1453</c:v>
                </c:pt>
                <c:pt idx="1">
                  <c:v>1459</c:v>
                </c:pt>
                <c:pt idx="2">
                  <c:v>1480</c:v>
                </c:pt>
                <c:pt idx="3">
                  <c:v>1506</c:v>
                </c:pt>
                <c:pt idx="4">
                  <c:v>1595</c:v>
                </c:pt>
                <c:pt idx="5">
                  <c:v>1854</c:v>
                </c:pt>
                <c:pt idx="6">
                  <c:v>1909</c:v>
                </c:pt>
                <c:pt idx="7">
                  <c:v>1889</c:v>
                </c:pt>
                <c:pt idx="8">
                  <c:v>1686</c:v>
                </c:pt>
                <c:pt idx="9">
                  <c:v>1413</c:v>
                </c:pt>
                <c:pt idx="10">
                  <c:v>1447</c:v>
                </c:pt>
                <c:pt idx="11">
                  <c:v>1296</c:v>
                </c:pt>
                <c:pt idx="12" formatCode="0_)">
                  <c:v>1362</c:v>
                </c:pt>
                <c:pt idx="13" formatCode="0_)">
                  <c:v>1461</c:v>
                </c:pt>
                <c:pt idx="14" formatCode="0_)">
                  <c:v>1326</c:v>
                </c:pt>
                <c:pt idx="15" formatCode="0_)">
                  <c:v>1285</c:v>
                </c:pt>
                <c:pt idx="16" formatCode="0_)">
                  <c:v>1274</c:v>
                </c:pt>
                <c:pt idx="17" formatCode="0_)">
                  <c:v>1155</c:v>
                </c:pt>
                <c:pt idx="18" formatCode="0_)">
                  <c:v>1049</c:v>
                </c:pt>
                <c:pt idx="19" formatCode="0_)">
                  <c:v>999</c:v>
                </c:pt>
                <c:pt idx="20" formatCode="0_)">
                  <c:v>1036</c:v>
                </c:pt>
                <c:pt idx="21" formatCode="0_)">
                  <c:v>1086</c:v>
                </c:pt>
                <c:pt idx="22" formatCode="0_)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4A-41F2-8EF6-663BDDFB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26274001279"/>
              <c:y val="0.898647836696705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0826504668137132E-3"/>
              <c:y val="0.120765042792531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15371213590098412"/>
          <c:y val="0.14591061700811425"/>
          <c:w val="0.70007155208885274"/>
          <c:h val="5.241406267798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Vegetable oils production, imports, consumption and stocks in India, MY 2015/16</a:t>
            </a:r>
            <a:r>
              <a:rPr lang="en-US" sz="1050" b="1" i="0" u="none" strike="noStrike" baseline="0">
                <a:effectLst/>
              </a:rPr>
              <a:t>–</a:t>
            </a:r>
            <a:r>
              <a:rPr lang="en-US" sz="1100" b="1" i="0" baseline="0">
                <a:effectLst/>
              </a:rPr>
              <a:t>2023/24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3886386472433303E-2"/>
          <c:y val="5.4259248128335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353374493855429E-2"/>
          <c:y val="0.25925611105840685"/>
          <c:w val="0.84053000946227097"/>
          <c:h val="0.422291767100541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4'!$A$2:$A$11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4'!$B$2:$B$11</c:f>
              <c:numCache>
                <c:formatCode>0.0</c:formatCode>
                <c:ptCount val="10"/>
                <c:pt idx="0">
                  <c:v>5.7759999999999998</c:v>
                </c:pt>
                <c:pt idx="1">
                  <c:v>6.9880000000000004</c:v>
                </c:pt>
                <c:pt idx="2">
                  <c:v>7.2649999999999997</c:v>
                </c:pt>
                <c:pt idx="3">
                  <c:v>7.6139999999999999</c:v>
                </c:pt>
                <c:pt idx="4">
                  <c:v>7.718</c:v>
                </c:pt>
                <c:pt idx="5">
                  <c:v>8.3190000000000008</c:v>
                </c:pt>
                <c:pt idx="6">
                  <c:v>8.7420000000000009</c:v>
                </c:pt>
                <c:pt idx="7">
                  <c:v>9.2539999999999996</c:v>
                </c:pt>
                <c:pt idx="8">
                  <c:v>9.1709999999999994</c:v>
                </c:pt>
                <c:pt idx="9">
                  <c:v>9.0370000000000008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C-4EF2-9237-ACCA9CFAC032}"/>
            </c:ext>
          </c:extLst>
        </c:ser>
        <c:ser>
          <c:idx val="0"/>
          <c:order val="1"/>
          <c:tx>
            <c:strRef>
              <c:f>'Figure 4'!$C$1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8100">
              <a:noFill/>
            </a:ln>
            <a:effectLst/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B7-4C05-9882-6B9D26626C8A}"/>
              </c:ext>
            </c:extLst>
          </c:dPt>
          <c:cat>
            <c:strRef>
              <c:f>'Figure 4'!$A$2:$A$11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4'!$C$2:$C$11</c:f>
              <c:numCache>
                <c:formatCode>0.0</c:formatCode>
                <c:ptCount val="10"/>
                <c:pt idx="0">
                  <c:v>15.106999999999999</c:v>
                </c:pt>
                <c:pt idx="1">
                  <c:v>15.425000000000001</c:v>
                </c:pt>
                <c:pt idx="2">
                  <c:v>14.465999999999999</c:v>
                </c:pt>
                <c:pt idx="3">
                  <c:v>15.25</c:v>
                </c:pt>
                <c:pt idx="4">
                  <c:v>13.731999999999999</c:v>
                </c:pt>
                <c:pt idx="5">
                  <c:v>13.81</c:v>
                </c:pt>
                <c:pt idx="6">
                  <c:v>14.308999999999999</c:v>
                </c:pt>
                <c:pt idx="7">
                  <c:v>16.962</c:v>
                </c:pt>
                <c:pt idx="8">
                  <c:v>14.613</c:v>
                </c:pt>
                <c:pt idx="9">
                  <c:v>15.443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C-4EF2-9237-ACCA9CFAC032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Ending stocks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 4'!$E$2:$E$11</c:f>
              <c:numCache>
                <c:formatCode>0.0</c:formatCode>
                <c:ptCount val="10"/>
                <c:pt idx="0">
                  <c:v>1.9730000000000001</c:v>
                </c:pt>
                <c:pt idx="1">
                  <c:v>2.879</c:v>
                </c:pt>
                <c:pt idx="2">
                  <c:v>2.786</c:v>
                </c:pt>
                <c:pt idx="3">
                  <c:v>3.3849999999999998</c:v>
                </c:pt>
                <c:pt idx="4">
                  <c:v>2.5590000000000002</c:v>
                </c:pt>
                <c:pt idx="5">
                  <c:v>1.903</c:v>
                </c:pt>
                <c:pt idx="6">
                  <c:v>2.0190000000000001</c:v>
                </c:pt>
                <c:pt idx="7">
                  <c:v>4.22</c:v>
                </c:pt>
                <c:pt idx="8">
                  <c:v>3.8359999999999999</c:v>
                </c:pt>
                <c:pt idx="9">
                  <c:v>3.8839999999999999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4-4598-8783-D96C64DAE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4'!$D$1</c:f>
              <c:strCache>
                <c:ptCount val="1"/>
                <c:pt idx="0">
                  <c:v>Domestic consumption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4'!$D$2:$D$11</c:f>
              <c:numCache>
                <c:formatCode>0.0</c:formatCode>
                <c:ptCount val="10"/>
                <c:pt idx="0">
                  <c:v>20.914000000000001</c:v>
                </c:pt>
                <c:pt idx="1">
                  <c:v>21.463999999999999</c:v>
                </c:pt>
                <c:pt idx="2">
                  <c:v>21.783000000000001</c:v>
                </c:pt>
                <c:pt idx="3">
                  <c:v>22.233000000000001</c:v>
                </c:pt>
                <c:pt idx="4">
                  <c:v>22.173999999999999</c:v>
                </c:pt>
                <c:pt idx="5">
                  <c:v>22.53</c:v>
                </c:pt>
                <c:pt idx="6">
                  <c:v>22.818999999999999</c:v>
                </c:pt>
                <c:pt idx="7">
                  <c:v>23.859000000000002</c:v>
                </c:pt>
                <c:pt idx="8">
                  <c:v>24.067</c:v>
                </c:pt>
                <c:pt idx="9">
                  <c:v>24.677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B-4293-A21B-56FB7A9B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923456"/>
        <c:axId val="391009280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3284866684240891"/>
              <c:y val="0.82411814185877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30842760375477E-2"/>
              <c:y val="0.13592688865699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39100928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metric tons (domestic consumption)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3302271403610939"/>
              <c:y val="9.9748752779948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4923456"/>
        <c:crosses val="max"/>
        <c:crossBetween val="between"/>
      </c:valAx>
      <c:catAx>
        <c:axId val="69492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009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17978314737447"/>
          <c:y val="0.20395103283845245"/>
          <c:w val="0.64960354766370554"/>
          <c:h val="4.7850774378393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Sunflowerseed oil global trade by major exporters, MY 2015/16</a:t>
            </a:r>
            <a:r>
              <a:rPr lang="en-US" sz="1050" b="1" i="0" u="none" strike="noStrike" baseline="0">
                <a:effectLst/>
              </a:rPr>
              <a:t>–</a:t>
            </a:r>
            <a:r>
              <a:rPr lang="en-US" sz="1100" b="1" i="0" baseline="0">
                <a:effectLst/>
              </a:rPr>
              <a:t>2023/24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3886386472433303E-2"/>
          <c:y val="5.4259248128335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353374493855429E-2"/>
          <c:y val="0.25925611105840685"/>
          <c:w val="0.84053000946227097"/>
          <c:h val="0.422291767100541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5'!$B$1</c:f>
              <c:strCache>
                <c:ptCount val="1"/>
                <c:pt idx="0">
                  <c:v>Argentina                    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5'!$B$2:$B$11</c:f>
              <c:numCache>
                <c:formatCode>0.0</c:formatCode>
                <c:ptCount val="10"/>
                <c:pt idx="0">
                  <c:v>0.60499999999999998</c:v>
                </c:pt>
                <c:pt idx="1">
                  <c:v>0.76600000000000001</c:v>
                </c:pt>
                <c:pt idx="2">
                  <c:v>0.78300000000000003</c:v>
                </c:pt>
                <c:pt idx="3">
                  <c:v>0.85399999999999998</c:v>
                </c:pt>
                <c:pt idx="4">
                  <c:v>0.55800000000000005</c:v>
                </c:pt>
                <c:pt idx="5">
                  <c:v>0.82899999999999996</c:v>
                </c:pt>
                <c:pt idx="6">
                  <c:v>0.873</c:v>
                </c:pt>
                <c:pt idx="7">
                  <c:v>1</c:v>
                </c:pt>
                <c:pt idx="8">
                  <c:v>0.9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3-4F71-A8C8-8C9D4E51BCAA}"/>
            </c:ext>
          </c:extLst>
        </c:ser>
        <c:ser>
          <c:idx val="0"/>
          <c:order val="1"/>
          <c:tx>
            <c:strRef>
              <c:f>'Figure 5'!$C$1</c:f>
              <c:strCache>
                <c:ptCount val="1"/>
                <c:pt idx="0">
                  <c:v>European Union               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8100">
              <a:noFill/>
            </a:ln>
            <a:effectLst/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BD3-4F71-A8C8-8C9D4E51BCAA}"/>
              </c:ext>
            </c:extLst>
          </c:dPt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5'!$C$2:$C$11</c:f>
              <c:numCache>
                <c:formatCode>0.0</c:formatCode>
                <c:ptCount val="10"/>
                <c:pt idx="0">
                  <c:v>0.374</c:v>
                </c:pt>
                <c:pt idx="1">
                  <c:v>0.65300000000000002</c:v>
                </c:pt>
                <c:pt idx="2">
                  <c:v>0.78700000000000003</c:v>
                </c:pt>
                <c:pt idx="3">
                  <c:v>0.67800000000000005</c:v>
                </c:pt>
                <c:pt idx="4">
                  <c:v>0.875</c:v>
                </c:pt>
                <c:pt idx="5">
                  <c:v>0.68300000000000005</c:v>
                </c:pt>
                <c:pt idx="6">
                  <c:v>0.85199999999999998</c:v>
                </c:pt>
                <c:pt idx="7">
                  <c:v>1.2</c:v>
                </c:pt>
                <c:pt idx="8">
                  <c:v>0.8</c:v>
                </c:pt>
                <c:pt idx="9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3-4F71-A8C8-8C9D4E51BCAA}"/>
            </c:ext>
          </c:extLst>
        </c:ser>
        <c:ser>
          <c:idx val="3"/>
          <c:order val="3"/>
          <c:tx>
            <c:strRef>
              <c:f>'Figure 5'!$E$1</c:f>
              <c:strCache>
                <c:ptCount val="1"/>
                <c:pt idx="0">
                  <c:v>Turkey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5'!$E$2:$E$11</c:f>
              <c:numCache>
                <c:formatCode>0.0</c:formatCode>
                <c:ptCount val="10"/>
                <c:pt idx="0">
                  <c:v>0.61299999999999999</c:v>
                </c:pt>
                <c:pt idx="1">
                  <c:v>0.68500000000000005</c:v>
                </c:pt>
                <c:pt idx="2">
                  <c:v>0.41799999999999998</c:v>
                </c:pt>
                <c:pt idx="3">
                  <c:v>0.496</c:v>
                </c:pt>
                <c:pt idx="4">
                  <c:v>0.71499999999999997</c:v>
                </c:pt>
                <c:pt idx="5">
                  <c:v>0.63900000000000001</c:v>
                </c:pt>
                <c:pt idx="6">
                  <c:v>0.88900000000000001</c:v>
                </c:pt>
                <c:pt idx="7">
                  <c:v>1.1020000000000001</c:v>
                </c:pt>
                <c:pt idx="8">
                  <c:v>0.97499999999999998</c:v>
                </c:pt>
                <c:pt idx="9">
                  <c:v>1.125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3-4F71-A8C8-8C9D4E51BCAA}"/>
            </c:ext>
          </c:extLst>
        </c:ser>
        <c:ser>
          <c:idx val="2"/>
          <c:order val="2"/>
          <c:tx>
            <c:strRef>
              <c:f>'Figure 5'!$D$1</c:f>
              <c:strCache>
                <c:ptCount val="1"/>
                <c:pt idx="0">
                  <c:v>Russia                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5'!$D$2:$D$11</c:f>
              <c:numCache>
                <c:formatCode>0.0</c:formatCode>
                <c:ptCount val="10"/>
                <c:pt idx="0">
                  <c:v>1.5409999999999999</c:v>
                </c:pt>
                <c:pt idx="1">
                  <c:v>2.1779999999999999</c:v>
                </c:pt>
                <c:pt idx="2">
                  <c:v>2.31</c:v>
                </c:pt>
                <c:pt idx="3">
                  <c:v>2.6520000000000001</c:v>
                </c:pt>
                <c:pt idx="4">
                  <c:v>3.83</c:v>
                </c:pt>
                <c:pt idx="5">
                  <c:v>3.246</c:v>
                </c:pt>
                <c:pt idx="6">
                  <c:v>3.15</c:v>
                </c:pt>
                <c:pt idx="7">
                  <c:v>4.05</c:v>
                </c:pt>
                <c:pt idx="8">
                  <c:v>4.1749999999999998</c:v>
                </c:pt>
                <c:pt idx="9">
                  <c:v>4.2750000000000004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3-4F71-A8C8-8C9D4E51BCAA}"/>
            </c:ext>
          </c:extLst>
        </c:ser>
        <c:ser>
          <c:idx val="4"/>
          <c:order val="4"/>
          <c:tx>
            <c:strRef>
              <c:f>'Figure 5'!$F$1</c:f>
              <c:strCache>
                <c:ptCount val="1"/>
                <c:pt idx="0">
                  <c:v>Ukraine                     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5'!$F$2:$F$11</c:f>
              <c:numCache>
                <c:formatCode>0.0</c:formatCode>
                <c:ptCount val="10"/>
                <c:pt idx="0">
                  <c:v>4.5</c:v>
                </c:pt>
                <c:pt idx="1">
                  <c:v>5.851</c:v>
                </c:pt>
                <c:pt idx="2">
                  <c:v>5.3419999999999996</c:v>
                </c:pt>
                <c:pt idx="3">
                  <c:v>6.0629999999999997</c:v>
                </c:pt>
                <c:pt idx="4">
                  <c:v>6.6859999999999999</c:v>
                </c:pt>
                <c:pt idx="5">
                  <c:v>5.2729999999999997</c:v>
                </c:pt>
                <c:pt idx="6">
                  <c:v>4.4649999999999999</c:v>
                </c:pt>
                <c:pt idx="7">
                  <c:v>5.6</c:v>
                </c:pt>
                <c:pt idx="8">
                  <c:v>5.3</c:v>
                </c:pt>
                <c:pt idx="9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D3-4F71-A8C8-8C9D4E51BCAA}"/>
            </c:ext>
          </c:extLst>
        </c:ser>
        <c:ser>
          <c:idx val="5"/>
          <c:order val="5"/>
          <c:tx>
            <c:strRef>
              <c:f>'Figure 5'!$G$1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Sep*</c:v>
                </c:pt>
                <c:pt idx="9">
                  <c:v>2023/24 Oct*</c:v>
                </c:pt>
              </c:strCache>
            </c:strRef>
          </c:cat>
          <c:val>
            <c:numRef>
              <c:f>'Figure 5'!$G$2:$G$11</c:f>
              <c:numCache>
                <c:formatCode>0.0</c:formatCode>
                <c:ptCount val="10"/>
                <c:pt idx="0">
                  <c:v>0.57299999999999951</c:v>
                </c:pt>
                <c:pt idx="1">
                  <c:v>0.61900000000000155</c:v>
                </c:pt>
                <c:pt idx="2">
                  <c:v>0.68399999999999928</c:v>
                </c:pt>
                <c:pt idx="3">
                  <c:v>0.76100000000000101</c:v>
                </c:pt>
                <c:pt idx="4">
                  <c:v>0.80700000000000038</c:v>
                </c:pt>
                <c:pt idx="5">
                  <c:v>0.65700000000000003</c:v>
                </c:pt>
                <c:pt idx="6">
                  <c:v>0.8490000000000002</c:v>
                </c:pt>
                <c:pt idx="7">
                  <c:v>0.91500000000000092</c:v>
                </c:pt>
                <c:pt idx="8">
                  <c:v>0.94900000000000162</c:v>
                </c:pt>
                <c:pt idx="9">
                  <c:v>0.94899999999999984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D3-4F71-A8C8-8C9D4E51B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3284866684240891"/>
              <c:y val="0.82411814185877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900"/>
              </a:p>
              <a:p>
                <a:pPr algn="l">
                  <a:defRPr/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30842760375477E-2"/>
              <c:y val="0.13592688865699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17978314737447"/>
          <c:y val="0.20395103283845245"/>
          <c:w val="0.66062809751560436"/>
          <c:h val="0.10511429847202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</xdr:colOff>
      <xdr:row>0</xdr:row>
      <xdr:rowOff>0</xdr:rowOff>
    </xdr:from>
    <xdr:to>
      <xdr:col>14</xdr:col>
      <xdr:colOff>512445</xdr:colOff>
      <xdr:row>19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9988B8-0C26-4D34-A10C-AB3AF3E28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0.83715</cdr:y>
    </cdr:from>
    <cdr:to>
      <cdr:x>1</cdr:x>
      <cdr:y>0.99409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33725"/>
          <a:ext cx="6616065" cy="587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 Marketing year (Oct./Sep.)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0.82044</cdr:y>
    </cdr:from>
    <cdr:to>
      <cdr:x>1</cdr:x>
      <cdr:y>0.99183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28925"/>
          <a:ext cx="5939790" cy="59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An asterisk (*) represents forecast.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MY=Marketing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year (Sep/Aug).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Outlook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October 2023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0</xdr:rowOff>
    </xdr:from>
    <xdr:to>
      <xdr:col>14</xdr:col>
      <xdr:colOff>520066</xdr:colOff>
      <xdr:row>19</xdr:row>
      <xdr:rowOff>104775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8BB73E1-841E-455B-854D-A04B1BA24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0.82938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000376"/>
          <a:ext cx="5958840" cy="617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 Marketing year (Sep/Aug)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An asterisk (*) represents forecast.</a:t>
          </a:r>
          <a:endParaRPr lang="en-US" sz="1100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National Agricultural Statistics Servcie,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Production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October 2023.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16297</xdr:colOff>
      <xdr:row>0</xdr:row>
      <xdr:rowOff>0</xdr:rowOff>
    </xdr:from>
    <xdr:to>
      <xdr:col>16</xdr:col>
      <xdr:colOff>95251</xdr:colOff>
      <xdr:row>21</xdr:row>
      <xdr:rowOff>74295</xdr:rowOff>
    </xdr:to>
    <xdr:graphicFrame macro="">
      <xdr:nvGraphicFramePr>
        <xdr:cNvPr id="48" name="Chart 1">
          <a:extLst>
            <a:ext uri="{FF2B5EF4-FFF2-40B4-BE49-F238E27FC236}">
              <a16:creationId xmlns:a16="http://schemas.microsoft.com/office/drawing/2014/main" id="{2C4DBC9F-77FC-457D-83DF-C43CFA587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0.9441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31895"/>
          <a:ext cx="6567384" cy="2209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the Solvent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Extractors' Association of India</a:t>
          </a:r>
          <a:r>
            <a:rPr lang="en-US" sz="900" b="0" i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0</xdr:row>
      <xdr:rowOff>0</xdr:rowOff>
    </xdr:from>
    <xdr:to>
      <xdr:col>16</xdr:col>
      <xdr:colOff>407669</xdr:colOff>
      <xdr:row>21</xdr:row>
      <xdr:rowOff>133350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B5733D9-9587-460D-AE5F-104EA64A8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0.84841</cdr:y>
    </cdr:from>
    <cdr:to>
      <cdr:x>1</cdr:x>
      <cdr:y>0.97208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05174"/>
          <a:ext cx="6617970" cy="481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 = Marketing year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0</xdr:rowOff>
    </xdr:from>
    <xdr:to>
      <xdr:col>18</xdr:col>
      <xdr:colOff>316230</xdr:colOff>
      <xdr:row>20</xdr:row>
      <xdr:rowOff>140970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1A7A1DE5-9590-4ED7-9B54-BDDC322B0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94"/>
      <c r="C1" s="94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94"/>
    </row>
    <row r="5" spans="1:3">
      <c r="A5" s="10" t="s">
        <v>3</v>
      </c>
      <c r="B5" s="4"/>
      <c r="C5" s="94"/>
    </row>
    <row r="6" spans="1:3">
      <c r="A6" s="10" t="s">
        <v>4</v>
      </c>
      <c r="B6" s="4"/>
      <c r="C6" s="94"/>
    </row>
    <row r="7" spans="1:3">
      <c r="A7" s="10" t="s">
        <v>5</v>
      </c>
      <c r="B7" s="4"/>
      <c r="C7" s="94"/>
    </row>
    <row r="8" spans="1:3">
      <c r="A8" s="10" t="s">
        <v>6</v>
      </c>
      <c r="B8" s="4"/>
      <c r="C8" s="94"/>
    </row>
    <row r="9" spans="1:3">
      <c r="A9" s="10" t="s">
        <v>7</v>
      </c>
      <c r="B9" s="4"/>
      <c r="C9" s="94"/>
    </row>
    <row r="10" spans="1:3">
      <c r="A10" s="10" t="s">
        <v>8</v>
      </c>
      <c r="B10" s="4"/>
      <c r="C10" s="94"/>
    </row>
    <row r="11" spans="1:3">
      <c r="A11" s="10" t="s">
        <v>9</v>
      </c>
      <c r="B11" s="4"/>
      <c r="C11" s="94"/>
    </row>
    <row r="12" spans="1:3">
      <c r="A12" s="10" t="s">
        <v>10</v>
      </c>
      <c r="B12" s="4"/>
      <c r="C12" s="94"/>
    </row>
    <row r="13" spans="1:3">
      <c r="A13" s="11" t="s">
        <v>11</v>
      </c>
      <c r="B13" s="4"/>
      <c r="C13" s="94"/>
    </row>
    <row r="14" spans="1:3" ht="13.2">
      <c r="A14" s="94"/>
      <c r="B14" s="94"/>
      <c r="C14" s="94"/>
    </row>
    <row r="15" spans="1:3">
      <c r="A15" s="7" t="s">
        <v>12</v>
      </c>
      <c r="B15" s="94"/>
      <c r="C15" s="94"/>
    </row>
    <row r="16" spans="1:3">
      <c r="A16" s="9">
        <v>45215</v>
      </c>
      <c r="B16" s="94"/>
      <c r="C16" s="94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8A46-C321-496C-B5C5-35DEA73AF0F6}">
  <dimension ref="A1:P26"/>
  <sheetViews>
    <sheetView workbookViewId="0"/>
  </sheetViews>
  <sheetFormatPr defaultRowHeight="13.2"/>
  <cols>
    <col min="1" max="1" width="15.33203125" customWidth="1"/>
    <col min="2" max="2" width="12.5546875" customWidth="1"/>
    <col min="3" max="4" width="11.5546875" bestFit="1" customWidth="1"/>
  </cols>
  <sheetData>
    <row r="1" spans="1:8" ht="52.8">
      <c r="A1" s="108" t="s">
        <v>160</v>
      </c>
      <c r="B1" s="108" t="s">
        <v>161</v>
      </c>
      <c r="C1" s="108" t="s">
        <v>162</v>
      </c>
      <c r="D1" s="108" t="s">
        <v>163</v>
      </c>
      <c r="E1" s="164"/>
      <c r="F1" s="164"/>
      <c r="G1" s="164"/>
    </row>
    <row r="2" spans="1:8">
      <c r="A2" s="106" t="s">
        <v>113</v>
      </c>
      <c r="B2" s="169">
        <v>1200.9000000000001</v>
      </c>
      <c r="C2" s="169">
        <v>263.7</v>
      </c>
      <c r="D2" s="172">
        <v>2021.7649999999999</v>
      </c>
      <c r="E2" s="136"/>
    </row>
    <row r="3" spans="1:8">
      <c r="A3" s="106" t="s">
        <v>114</v>
      </c>
      <c r="B3" s="169">
        <v>1134.5</v>
      </c>
      <c r="C3" s="169">
        <v>370.6</v>
      </c>
      <c r="D3" s="172">
        <v>2212.3500000000004</v>
      </c>
      <c r="E3" s="136"/>
    </row>
    <row r="4" spans="1:8">
      <c r="A4" s="106" t="s">
        <v>115</v>
      </c>
      <c r="B4" s="169">
        <v>1510</v>
      </c>
      <c r="C4" s="169">
        <v>290.39999999999998</v>
      </c>
      <c r="D4" s="172">
        <v>2925.0299999999997</v>
      </c>
      <c r="E4" s="136"/>
    </row>
    <row r="5" spans="1:8">
      <c r="A5" s="106" t="s">
        <v>116</v>
      </c>
      <c r="B5" s="169">
        <v>1368.5</v>
      </c>
      <c r="C5" s="169">
        <v>163.5</v>
      </c>
      <c r="D5" s="172">
        <v>2651.6349999999998</v>
      </c>
      <c r="E5" s="136"/>
    </row>
    <row r="6" spans="1:8">
      <c r="A6" s="106" t="s">
        <v>117</v>
      </c>
      <c r="B6" s="169">
        <v>1168</v>
      </c>
      <c r="C6" s="169">
        <v>165.8</v>
      </c>
      <c r="D6" s="172">
        <v>2137.75</v>
      </c>
      <c r="E6" s="136"/>
    </row>
    <row r="7" spans="1:8">
      <c r="A7" s="106" t="s">
        <v>118</v>
      </c>
      <c r="B7" s="169">
        <v>1094</v>
      </c>
      <c r="C7" s="169">
        <v>123.4</v>
      </c>
      <c r="D7" s="172">
        <v>2107.0450000000001</v>
      </c>
      <c r="E7" s="136"/>
    </row>
    <row r="8" spans="1:8">
      <c r="A8" s="106" t="s">
        <v>119</v>
      </c>
      <c r="B8" s="169">
        <v>1131</v>
      </c>
      <c r="C8" s="169">
        <v>122.5</v>
      </c>
      <c r="D8" s="172">
        <v>1956.0349999999999</v>
      </c>
      <c r="E8" s="136"/>
    </row>
    <row r="9" spans="1:8">
      <c r="A9" s="106" t="s">
        <v>120</v>
      </c>
      <c r="B9" s="169">
        <v>1452.5</v>
      </c>
      <c r="C9" s="169">
        <v>213.6</v>
      </c>
      <c r="D9" s="172">
        <v>2982.8900000000003</v>
      </c>
      <c r="E9" s="136"/>
    </row>
    <row r="10" spans="1:8">
      <c r="A10" s="106" t="s">
        <v>34</v>
      </c>
      <c r="B10" s="169">
        <v>1141.5</v>
      </c>
      <c r="C10" s="169">
        <v>104.3</v>
      </c>
      <c r="D10" s="172">
        <v>1905.2850000000001</v>
      </c>
      <c r="E10" s="136"/>
    </row>
    <row r="11" spans="1:8">
      <c r="A11" s="106" t="s">
        <v>53</v>
      </c>
      <c r="B11" s="169">
        <v>1477</v>
      </c>
      <c r="C11" s="169">
        <v>128.5</v>
      </c>
      <c r="D11" s="172">
        <v>2811.2249999999999</v>
      </c>
      <c r="E11" s="136"/>
    </row>
    <row r="12" spans="1:8">
      <c r="A12" s="106" t="s">
        <v>159</v>
      </c>
      <c r="B12" s="169">
        <v>1117</v>
      </c>
      <c r="C12" s="169">
        <v>145.30000000000001</v>
      </c>
      <c r="D12" s="172">
        <v>2194.4499999999998</v>
      </c>
      <c r="E12" s="136"/>
    </row>
    <row r="14" spans="1:8">
      <c r="B14" s="163"/>
      <c r="C14" s="163"/>
      <c r="D14" s="163"/>
      <c r="E14" s="163"/>
      <c r="F14" s="163"/>
      <c r="G14" s="163"/>
      <c r="H14" s="163"/>
    </row>
    <row r="15" spans="1:8">
      <c r="B15" s="163"/>
      <c r="C15" s="163"/>
      <c r="D15" s="163"/>
      <c r="E15" s="163"/>
      <c r="F15" s="163"/>
      <c r="G15" s="163"/>
      <c r="H15" s="163"/>
    </row>
    <row r="16" spans="1:8">
      <c r="B16" s="163"/>
      <c r="C16" s="163"/>
      <c r="D16" s="163"/>
      <c r="E16" s="163"/>
      <c r="F16" s="163"/>
      <c r="G16" s="163"/>
      <c r="H16" s="163"/>
    </row>
    <row r="17" spans="2:16">
      <c r="B17" s="163"/>
      <c r="C17" s="163"/>
      <c r="D17" s="163"/>
      <c r="E17" s="163"/>
      <c r="F17" s="163"/>
      <c r="G17" s="163"/>
      <c r="H17" s="163"/>
    </row>
    <row r="21" spans="2:16" ht="15.6">
      <c r="B21" s="170"/>
      <c r="C21" s="135"/>
      <c r="D21" s="135"/>
      <c r="E21" s="135"/>
      <c r="F21" s="135"/>
      <c r="G21" s="135"/>
    </row>
    <row r="22" spans="2:16">
      <c r="B22" s="95"/>
    </row>
    <row r="26" spans="2:16" ht="15.6"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0C92-07DA-4E34-8F85-ADEFA56AD931}">
  <dimension ref="A1:F48"/>
  <sheetViews>
    <sheetView zoomScaleNormal="100" workbookViewId="0">
      <selection activeCell="L23" sqref="L23"/>
    </sheetView>
  </sheetViews>
  <sheetFormatPr defaultColWidth="8.88671875" defaultRowHeight="13.2"/>
  <cols>
    <col min="1" max="1" width="10.44140625" style="141" customWidth="1"/>
    <col min="2" max="2" width="14.6640625" style="141" customWidth="1"/>
    <col min="3" max="3" width="17.109375" style="141" customWidth="1"/>
    <col min="4" max="4" width="16.6640625" style="141" customWidth="1"/>
    <col min="5" max="16384" width="8.88671875" style="141"/>
  </cols>
  <sheetData>
    <row r="1" spans="1:6" ht="26.4">
      <c r="A1" s="140" t="s">
        <v>176</v>
      </c>
      <c r="B1" s="140" t="s">
        <v>164</v>
      </c>
      <c r="C1" s="140" t="s">
        <v>165</v>
      </c>
      <c r="D1" s="140" t="s">
        <v>166</v>
      </c>
    </row>
    <row r="2" spans="1:6">
      <c r="A2" s="145">
        <v>44470</v>
      </c>
      <c r="B2" s="141">
        <v>1369</v>
      </c>
      <c r="C2" s="141">
        <v>1457</v>
      </c>
      <c r="D2" s="141">
        <v>1453</v>
      </c>
      <c r="F2" s="145"/>
    </row>
    <row r="3" spans="1:6">
      <c r="A3" s="145">
        <f>A2+31</f>
        <v>44501</v>
      </c>
      <c r="B3" s="141">
        <v>1432</v>
      </c>
      <c r="C3" s="141">
        <v>1471</v>
      </c>
      <c r="D3" s="141">
        <v>1459</v>
      </c>
      <c r="F3" s="145"/>
    </row>
    <row r="4" spans="1:6">
      <c r="A4" s="145">
        <f>A3+30</f>
        <v>44531</v>
      </c>
      <c r="B4" s="141">
        <v>1420</v>
      </c>
      <c r="C4" s="141">
        <v>1460</v>
      </c>
      <c r="D4" s="141">
        <v>1480</v>
      </c>
      <c r="F4" s="145"/>
    </row>
    <row r="5" spans="1:6">
      <c r="A5" s="145">
        <f>A4+31</f>
        <v>44562</v>
      </c>
      <c r="B5" s="141">
        <v>1510</v>
      </c>
      <c r="C5" s="141">
        <v>1475</v>
      </c>
      <c r="D5" s="141">
        <v>1506</v>
      </c>
      <c r="F5" s="145"/>
    </row>
    <row r="6" spans="1:6">
      <c r="A6" s="145">
        <f>A5+31</f>
        <v>44593</v>
      </c>
      <c r="B6" s="141">
        <v>1594</v>
      </c>
      <c r="C6" s="141">
        <v>1506</v>
      </c>
      <c r="D6" s="141">
        <v>1595</v>
      </c>
      <c r="F6" s="145"/>
    </row>
    <row r="7" spans="1:6">
      <c r="A7" s="145">
        <f>A6+31</f>
        <v>44624</v>
      </c>
      <c r="B7" s="141">
        <v>1828</v>
      </c>
      <c r="C7" s="141">
        <v>2125</v>
      </c>
      <c r="D7" s="141">
        <v>1854</v>
      </c>
      <c r="F7" s="145"/>
    </row>
    <row r="8" spans="1:6">
      <c r="A8" s="145">
        <f>A7+30</f>
        <v>44654</v>
      </c>
      <c r="B8" s="141">
        <v>1791</v>
      </c>
      <c r="C8" s="141">
        <v>2155</v>
      </c>
      <c r="D8" s="141">
        <v>1909</v>
      </c>
      <c r="F8" s="145"/>
    </row>
    <row r="9" spans="1:6">
      <c r="A9" s="145">
        <f>A8+30</f>
        <v>44684</v>
      </c>
      <c r="B9" s="141">
        <v>1811</v>
      </c>
      <c r="C9" s="141">
        <v>2134</v>
      </c>
      <c r="D9" s="141">
        <v>1889</v>
      </c>
      <c r="F9" s="145"/>
    </row>
    <row r="10" spans="1:6">
      <c r="A10" s="145">
        <f>A9+30</f>
        <v>44714</v>
      </c>
      <c r="B10" s="141">
        <v>1557</v>
      </c>
      <c r="C10" s="141">
        <v>1941</v>
      </c>
      <c r="D10" s="141">
        <v>1686</v>
      </c>
      <c r="F10" s="145"/>
    </row>
    <row r="11" spans="1:6">
      <c r="A11" s="145">
        <f>A10+30</f>
        <v>44744</v>
      </c>
      <c r="B11" s="141">
        <v>1120</v>
      </c>
      <c r="C11" s="141">
        <v>1621</v>
      </c>
      <c r="D11" s="141">
        <v>1413</v>
      </c>
      <c r="F11" s="145"/>
    </row>
    <row r="12" spans="1:6">
      <c r="A12" s="145">
        <f>A11+30</f>
        <v>44774</v>
      </c>
      <c r="B12" s="141">
        <v>1103</v>
      </c>
      <c r="C12" s="141">
        <v>1571</v>
      </c>
      <c r="D12" s="141">
        <v>1447</v>
      </c>
      <c r="F12" s="145"/>
    </row>
    <row r="13" spans="1:6">
      <c r="A13" s="145">
        <f>A12+31</f>
        <v>44805</v>
      </c>
      <c r="B13" s="142">
        <v>946</v>
      </c>
      <c r="C13" s="141">
        <v>1329</v>
      </c>
      <c r="D13" s="141">
        <v>1296</v>
      </c>
    </row>
    <row r="14" spans="1:6">
      <c r="A14" s="145">
        <v>44855</v>
      </c>
      <c r="B14" s="136">
        <v>938</v>
      </c>
      <c r="C14" s="141">
        <v>1411</v>
      </c>
      <c r="D14" s="144">
        <v>1362</v>
      </c>
    </row>
    <row r="15" spans="1:6">
      <c r="A15" s="145">
        <v>44887</v>
      </c>
      <c r="B15" s="136">
        <v>1024</v>
      </c>
      <c r="C15" s="141">
        <v>1445</v>
      </c>
      <c r="D15" s="144">
        <v>1461</v>
      </c>
    </row>
    <row r="16" spans="1:6">
      <c r="A16" s="145">
        <f>A15+30</f>
        <v>44917</v>
      </c>
      <c r="B16" s="136">
        <v>997</v>
      </c>
      <c r="C16" s="141">
        <v>1322</v>
      </c>
      <c r="D16" s="144">
        <v>1326</v>
      </c>
    </row>
    <row r="17" spans="1:4">
      <c r="A17" s="145">
        <f>A16+30</f>
        <v>44947</v>
      </c>
      <c r="B17" s="136">
        <v>997</v>
      </c>
      <c r="C17" s="141">
        <v>1295</v>
      </c>
      <c r="D17" s="144">
        <v>1285</v>
      </c>
    </row>
    <row r="18" spans="1:4">
      <c r="A18" s="145">
        <f>A17+28</f>
        <v>44975</v>
      </c>
      <c r="B18" s="136">
        <v>1015</v>
      </c>
      <c r="C18" s="141">
        <v>1224</v>
      </c>
      <c r="D18" s="144">
        <v>1274</v>
      </c>
    </row>
    <row r="19" spans="1:4">
      <c r="A19" s="145">
        <f>A18+31</f>
        <v>45006</v>
      </c>
      <c r="B19" s="136">
        <v>1024</v>
      </c>
      <c r="C19" s="141">
        <v>1108</v>
      </c>
      <c r="D19" s="144">
        <v>1155</v>
      </c>
    </row>
    <row r="20" spans="1:4">
      <c r="A20" s="145">
        <f>A19+31</f>
        <v>45037</v>
      </c>
      <c r="B20" s="136">
        <v>1039</v>
      </c>
      <c r="C20" s="141">
        <v>1036</v>
      </c>
      <c r="D20" s="144">
        <v>1049</v>
      </c>
    </row>
    <row r="21" spans="1:4">
      <c r="A21" s="145">
        <f>A20+30</f>
        <v>45067</v>
      </c>
      <c r="B21" s="136">
        <v>938</v>
      </c>
      <c r="C21" s="141">
        <v>957</v>
      </c>
      <c r="D21" s="144">
        <v>999</v>
      </c>
    </row>
    <row r="22" spans="1:4">
      <c r="A22" s="145">
        <f>A21+30</f>
        <v>45097</v>
      </c>
      <c r="B22" s="136">
        <v>875</v>
      </c>
      <c r="C22" s="141">
        <v>914</v>
      </c>
      <c r="D22" s="144">
        <v>1036</v>
      </c>
    </row>
    <row r="23" spans="1:4">
      <c r="A23" s="145">
        <f>A22+31</f>
        <v>45128</v>
      </c>
      <c r="B23" s="136">
        <v>945</v>
      </c>
      <c r="C23" s="141">
        <v>1000</v>
      </c>
      <c r="D23" s="144">
        <v>1086</v>
      </c>
    </row>
    <row r="24" spans="1:4">
      <c r="A24" s="145">
        <f>A23+30</f>
        <v>45158</v>
      </c>
      <c r="B24" s="142">
        <v>924</v>
      </c>
      <c r="C24" s="141">
        <v>1005</v>
      </c>
      <c r="D24" s="144">
        <v>1056</v>
      </c>
    </row>
    <row r="25" spans="1:4">
      <c r="B25" s="143"/>
    </row>
    <row r="26" spans="1:4">
      <c r="B26" s="143"/>
    </row>
    <row r="27" spans="1:4">
      <c r="B27" s="143"/>
    </row>
    <row r="28" spans="1:4">
      <c r="B28" s="143"/>
    </row>
    <row r="29" spans="1:4">
      <c r="B29" s="143"/>
    </row>
    <row r="30" spans="1:4">
      <c r="B30" s="143"/>
    </row>
    <row r="31" spans="1:4">
      <c r="B31" s="143"/>
    </row>
    <row r="32" spans="1:4">
      <c r="B32" s="143"/>
    </row>
    <row r="33" spans="2:2">
      <c r="B33" s="143"/>
    </row>
    <row r="34" spans="2:2">
      <c r="B34" s="143"/>
    </row>
    <row r="35" spans="2:2">
      <c r="B35" s="143"/>
    </row>
    <row r="36" spans="2:2">
      <c r="B36" s="143"/>
    </row>
    <row r="37" spans="2:2">
      <c r="B37" s="143"/>
    </row>
    <row r="38" spans="2:2">
      <c r="B38" s="143"/>
    </row>
    <row r="39" spans="2:2">
      <c r="B39" s="143"/>
    </row>
    <row r="40" spans="2:2">
      <c r="B40" s="143"/>
    </row>
    <row r="41" spans="2:2">
      <c r="B41" s="143"/>
    </row>
    <row r="42" spans="2:2">
      <c r="B42" s="143"/>
    </row>
    <row r="43" spans="2:2">
      <c r="B43" s="143"/>
    </row>
    <row r="44" spans="2:2">
      <c r="B44" s="143"/>
    </row>
    <row r="45" spans="2:2">
      <c r="B45" s="143"/>
    </row>
    <row r="46" spans="2:2">
      <c r="B46" s="143"/>
    </row>
    <row r="47" spans="2:2">
      <c r="B47" s="143"/>
    </row>
    <row r="48" spans="2:2">
      <c r="B48" s="14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ABA5-FF6A-4C66-8593-900333E12A84}">
  <dimension ref="A1:E26"/>
  <sheetViews>
    <sheetView zoomScaleNormal="100" workbookViewId="0">
      <selection activeCell="D13" sqref="D13"/>
    </sheetView>
  </sheetViews>
  <sheetFormatPr defaultColWidth="9.109375" defaultRowHeight="13.2"/>
  <cols>
    <col min="1" max="1" width="12.6640625" style="102" bestFit="1" customWidth="1"/>
    <col min="2" max="2" width="12.88671875" style="102" customWidth="1"/>
    <col min="4" max="4" width="15.33203125" customWidth="1"/>
    <col min="5" max="16384" width="9.109375" style="102"/>
  </cols>
  <sheetData>
    <row r="1" spans="1:5" ht="26.4">
      <c r="A1" s="108" t="s">
        <v>167</v>
      </c>
      <c r="B1" s="108" t="s">
        <v>26</v>
      </c>
      <c r="C1" s="108" t="s">
        <v>27</v>
      </c>
      <c r="D1" s="108" t="s">
        <v>178</v>
      </c>
      <c r="E1" s="108" t="s">
        <v>177</v>
      </c>
    </row>
    <row r="2" spans="1:5">
      <c r="A2" s="109" t="s">
        <v>115</v>
      </c>
      <c r="B2" s="128">
        <v>5.7759999999999998</v>
      </c>
      <c r="C2" s="126">
        <v>15.106999999999999</v>
      </c>
      <c r="D2" s="126">
        <v>20.914000000000001</v>
      </c>
      <c r="E2" s="146">
        <v>1.9730000000000001</v>
      </c>
    </row>
    <row r="3" spans="1:5">
      <c r="A3" s="109" t="s">
        <v>116</v>
      </c>
      <c r="B3" s="128">
        <v>6.9880000000000004</v>
      </c>
      <c r="C3" s="126">
        <v>15.425000000000001</v>
      </c>
      <c r="D3" s="126">
        <v>21.463999999999999</v>
      </c>
      <c r="E3" s="146">
        <v>2.879</v>
      </c>
    </row>
    <row r="4" spans="1:5">
      <c r="A4" s="109" t="s">
        <v>117</v>
      </c>
      <c r="B4" s="128">
        <v>7.2649999999999997</v>
      </c>
      <c r="C4" s="126">
        <v>14.465999999999999</v>
      </c>
      <c r="D4" s="126">
        <v>21.783000000000001</v>
      </c>
      <c r="E4" s="146">
        <v>2.786</v>
      </c>
    </row>
    <row r="5" spans="1:5">
      <c r="A5" s="106" t="s">
        <v>118</v>
      </c>
      <c r="B5" s="128">
        <v>7.6139999999999999</v>
      </c>
      <c r="C5" s="126">
        <v>15.25</v>
      </c>
      <c r="D5" s="126">
        <v>22.233000000000001</v>
      </c>
      <c r="E5" s="146">
        <v>3.3849999999999998</v>
      </c>
    </row>
    <row r="6" spans="1:5">
      <c r="A6" s="106" t="s">
        <v>119</v>
      </c>
      <c r="B6" s="128">
        <v>7.718</v>
      </c>
      <c r="C6" s="126">
        <v>13.731999999999999</v>
      </c>
      <c r="D6" s="126">
        <v>22.173999999999999</v>
      </c>
      <c r="E6" s="146">
        <v>2.5590000000000002</v>
      </c>
    </row>
    <row r="7" spans="1:5">
      <c r="A7" s="106" t="s">
        <v>120</v>
      </c>
      <c r="B7" s="128">
        <v>8.3190000000000008</v>
      </c>
      <c r="C7" s="126">
        <v>13.81</v>
      </c>
      <c r="D7" s="126">
        <v>22.53</v>
      </c>
      <c r="E7" s="146">
        <v>1.903</v>
      </c>
    </row>
    <row r="8" spans="1:5">
      <c r="A8" s="106" t="s">
        <v>34</v>
      </c>
      <c r="B8" s="128">
        <v>8.7420000000000009</v>
      </c>
      <c r="C8" s="128">
        <v>14.308999999999999</v>
      </c>
      <c r="D8" s="128">
        <v>22.818999999999999</v>
      </c>
      <c r="E8" s="146">
        <v>2.0190000000000001</v>
      </c>
    </row>
    <row r="9" spans="1:5">
      <c r="A9" s="106" t="s">
        <v>53</v>
      </c>
      <c r="B9" s="129">
        <v>9.2539999999999996</v>
      </c>
      <c r="C9" s="126">
        <v>16.962</v>
      </c>
      <c r="D9" s="127">
        <v>23.859000000000002</v>
      </c>
      <c r="E9" s="146">
        <v>4.22</v>
      </c>
    </row>
    <row r="10" spans="1:5">
      <c r="A10" s="106" t="s">
        <v>168</v>
      </c>
      <c r="B10" s="128">
        <v>9.1709999999999994</v>
      </c>
      <c r="C10" s="126">
        <v>14.613</v>
      </c>
      <c r="D10" s="126">
        <v>24.067</v>
      </c>
      <c r="E10" s="146">
        <v>3.8359999999999999</v>
      </c>
    </row>
    <row r="11" spans="1:5">
      <c r="A11" s="106" t="s">
        <v>169</v>
      </c>
      <c r="B11" s="128">
        <v>9.0370000000000008</v>
      </c>
      <c r="C11" s="126">
        <v>15.443</v>
      </c>
      <c r="D11" s="126">
        <v>24.677</v>
      </c>
      <c r="E11" s="146">
        <v>3.8839999999999999</v>
      </c>
    </row>
    <row r="12" spans="1:5">
      <c r="B12" s="111"/>
      <c r="D12" s="117"/>
    </row>
    <row r="13" spans="1:5">
      <c r="B13" s="111"/>
      <c r="C13" s="125"/>
      <c r="D13" s="125"/>
    </row>
    <row r="14" spans="1:5">
      <c r="B14" s="111"/>
      <c r="C14" s="125"/>
      <c r="D14" s="125"/>
    </row>
    <row r="15" spans="1:5">
      <c r="B15" s="111"/>
      <c r="C15" s="125"/>
      <c r="D15" s="125"/>
    </row>
    <row r="16" spans="1:5">
      <c r="B16" s="111"/>
      <c r="C16" s="125"/>
      <c r="D16" s="125"/>
    </row>
    <row r="17" spans="1:4" customFormat="1">
      <c r="A17" s="102"/>
      <c r="B17" s="111"/>
      <c r="C17" s="125"/>
      <c r="D17" s="125"/>
    </row>
    <row r="18" spans="1:4" customFormat="1">
      <c r="A18" s="102"/>
      <c r="B18" s="111"/>
      <c r="C18" s="125"/>
      <c r="D18" s="125"/>
    </row>
    <row r="19" spans="1:4" customFormat="1">
      <c r="A19" s="102"/>
      <c r="B19" s="111"/>
      <c r="C19" s="125"/>
      <c r="D19" s="125"/>
    </row>
    <row r="20" spans="1:4" customFormat="1">
      <c r="A20" s="102"/>
      <c r="B20" s="111"/>
      <c r="C20" s="125"/>
      <c r="D20" s="125"/>
    </row>
    <row r="21" spans="1:4" customFormat="1">
      <c r="A21" s="102"/>
      <c r="B21" s="111"/>
      <c r="C21" s="125"/>
      <c r="D21" s="125"/>
    </row>
    <row r="22" spans="1:4" customFormat="1">
      <c r="A22" s="102"/>
      <c r="B22" s="111"/>
      <c r="C22" s="125"/>
    </row>
    <row r="23" spans="1:4" customFormat="1">
      <c r="A23" s="102"/>
      <c r="B23" s="111"/>
      <c r="C23" s="125"/>
    </row>
    <row r="24" spans="1:4">
      <c r="C24" s="125"/>
    </row>
    <row r="25" spans="1:4">
      <c r="C25" s="125"/>
    </row>
    <row r="26" spans="1:4">
      <c r="C26" s="125"/>
    </row>
  </sheetData>
  <phoneticPr fontId="35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BA44-2F8D-4CB1-AE80-B3CA2BD46E87}">
  <dimension ref="A1:H33"/>
  <sheetViews>
    <sheetView zoomScaleNormal="100" workbookViewId="0"/>
  </sheetViews>
  <sheetFormatPr defaultColWidth="9.109375" defaultRowHeight="13.2"/>
  <cols>
    <col min="1" max="1" width="12.6640625" style="102" bestFit="1" customWidth="1"/>
    <col min="2" max="2" width="12.88671875" style="102" customWidth="1"/>
    <col min="4" max="4" width="15.33203125" customWidth="1"/>
    <col min="5" max="16384" width="9.109375" style="102"/>
  </cols>
  <sheetData>
    <row r="1" spans="1:8" ht="26.4">
      <c r="A1" s="108" t="s">
        <v>167</v>
      </c>
      <c r="B1" s="108" t="s">
        <v>170</v>
      </c>
      <c r="C1" s="108" t="s">
        <v>171</v>
      </c>
      <c r="D1" s="108" t="s">
        <v>172</v>
      </c>
      <c r="E1" s="108" t="s">
        <v>173</v>
      </c>
      <c r="F1" s="108" t="s">
        <v>174</v>
      </c>
      <c r="G1" s="108" t="s">
        <v>175</v>
      </c>
    </row>
    <row r="2" spans="1:8">
      <c r="A2" s="109" t="s">
        <v>115</v>
      </c>
      <c r="B2" s="128">
        <v>0.60499999999999998</v>
      </c>
      <c r="C2" s="126">
        <v>0.374</v>
      </c>
      <c r="D2" s="126">
        <v>1.5409999999999999</v>
      </c>
      <c r="E2" s="146">
        <v>0.61299999999999999</v>
      </c>
      <c r="F2" s="146">
        <v>4.5</v>
      </c>
      <c r="G2" s="146">
        <v>0.57299999999999951</v>
      </c>
    </row>
    <row r="3" spans="1:8">
      <c r="A3" s="109" t="s">
        <v>116</v>
      </c>
      <c r="B3" s="128">
        <v>0.76600000000000001</v>
      </c>
      <c r="C3" s="126">
        <v>0.65300000000000002</v>
      </c>
      <c r="D3" s="126">
        <v>2.1779999999999999</v>
      </c>
      <c r="E3" s="146">
        <v>0.68500000000000005</v>
      </c>
      <c r="F3" s="146">
        <v>5.851</v>
      </c>
      <c r="G3" s="146">
        <v>0.61900000000000155</v>
      </c>
    </row>
    <row r="4" spans="1:8">
      <c r="A4" s="109" t="s">
        <v>117</v>
      </c>
      <c r="B4" s="128">
        <v>0.78300000000000003</v>
      </c>
      <c r="C4" s="126">
        <v>0.78700000000000003</v>
      </c>
      <c r="D4" s="126">
        <v>2.31</v>
      </c>
      <c r="E4" s="146">
        <v>0.41799999999999998</v>
      </c>
      <c r="F4" s="146">
        <v>5.3419999999999996</v>
      </c>
      <c r="G4" s="146">
        <v>0.68399999999999928</v>
      </c>
    </row>
    <row r="5" spans="1:8">
      <c r="A5" s="106" t="s">
        <v>118</v>
      </c>
      <c r="B5" s="128">
        <v>0.85399999999999998</v>
      </c>
      <c r="C5" s="126">
        <v>0.67800000000000005</v>
      </c>
      <c r="D5" s="126">
        <v>2.6520000000000001</v>
      </c>
      <c r="E5" s="146">
        <v>0.496</v>
      </c>
      <c r="F5" s="146">
        <v>6.0629999999999997</v>
      </c>
      <c r="G5" s="146">
        <v>0.76100000000000101</v>
      </c>
    </row>
    <row r="6" spans="1:8">
      <c r="A6" s="106" t="s">
        <v>119</v>
      </c>
      <c r="B6" s="128">
        <v>0.55800000000000005</v>
      </c>
      <c r="C6" s="126">
        <v>0.875</v>
      </c>
      <c r="D6" s="126">
        <v>3.83</v>
      </c>
      <c r="E6" s="146">
        <v>0.71499999999999997</v>
      </c>
      <c r="F6" s="146">
        <v>6.6859999999999999</v>
      </c>
      <c r="G6" s="146">
        <v>0.80700000000000038</v>
      </c>
    </row>
    <row r="7" spans="1:8">
      <c r="A7" s="106" t="s">
        <v>120</v>
      </c>
      <c r="B7" s="128">
        <v>0.82899999999999996</v>
      </c>
      <c r="C7" s="126">
        <v>0.68300000000000005</v>
      </c>
      <c r="D7" s="126">
        <v>3.246</v>
      </c>
      <c r="E7" s="146">
        <v>0.63900000000000001</v>
      </c>
      <c r="F7" s="146">
        <v>5.2729999999999997</v>
      </c>
      <c r="G7" s="146">
        <v>0.65700000000000003</v>
      </c>
    </row>
    <row r="8" spans="1:8">
      <c r="A8" s="106" t="s">
        <v>34</v>
      </c>
      <c r="B8" s="128">
        <v>0.873</v>
      </c>
      <c r="C8" s="128">
        <v>0.85199999999999998</v>
      </c>
      <c r="D8" s="128">
        <v>3.15</v>
      </c>
      <c r="E8" s="146">
        <v>0.88900000000000001</v>
      </c>
      <c r="F8" s="146">
        <v>4.4649999999999999</v>
      </c>
      <c r="G8" s="146">
        <v>0.8490000000000002</v>
      </c>
    </row>
    <row r="9" spans="1:8">
      <c r="A9" s="106" t="s">
        <v>53</v>
      </c>
      <c r="B9" s="129">
        <v>1</v>
      </c>
      <c r="C9" s="126">
        <v>1.2</v>
      </c>
      <c r="D9" s="127">
        <v>4.05</v>
      </c>
      <c r="E9" s="146">
        <v>1.1020000000000001</v>
      </c>
      <c r="F9" s="146">
        <v>5.6</v>
      </c>
      <c r="G9" s="146">
        <v>0.91500000000000092</v>
      </c>
      <c r="H9" s="171"/>
    </row>
    <row r="10" spans="1:8">
      <c r="A10" s="106" t="s">
        <v>168</v>
      </c>
      <c r="B10" s="128">
        <v>0.9</v>
      </c>
      <c r="C10" s="126">
        <v>0.8</v>
      </c>
      <c r="D10" s="126">
        <v>4.1749999999999998</v>
      </c>
      <c r="E10" s="146">
        <v>0.97499999999999998</v>
      </c>
      <c r="F10" s="146">
        <v>5.3</v>
      </c>
      <c r="G10" s="146">
        <v>0.94900000000000162</v>
      </c>
    </row>
    <row r="11" spans="1:8">
      <c r="A11" s="106" t="s">
        <v>169</v>
      </c>
      <c r="B11" s="128">
        <v>1</v>
      </c>
      <c r="C11" s="126">
        <v>0.875</v>
      </c>
      <c r="D11" s="126">
        <v>4.2750000000000004</v>
      </c>
      <c r="E11" s="146">
        <v>1.125</v>
      </c>
      <c r="F11" s="146">
        <v>5.6</v>
      </c>
      <c r="G11" s="146">
        <v>0.94899999999999984</v>
      </c>
    </row>
    <row r="12" spans="1:8">
      <c r="B12" s="111"/>
      <c r="D12" s="117"/>
    </row>
    <row r="13" spans="1:8" customFormat="1">
      <c r="A13" s="102"/>
      <c r="D13" s="147"/>
      <c r="F13" s="147"/>
      <c r="G13" s="147"/>
    </row>
    <row r="14" spans="1:8" customFormat="1">
      <c r="A14" s="102"/>
      <c r="D14" s="147"/>
      <c r="F14" s="147"/>
      <c r="G14" s="147"/>
    </row>
    <row r="15" spans="1:8">
      <c r="B15"/>
      <c r="D15" s="147"/>
      <c r="E15"/>
      <c r="F15" s="147"/>
      <c r="G15" s="147"/>
    </row>
    <row r="16" spans="1:8">
      <c r="B16" s="147"/>
      <c r="C16" s="147"/>
      <c r="D16" s="147"/>
      <c r="E16" s="147"/>
      <c r="F16" s="147"/>
      <c r="G16" s="147"/>
    </row>
    <row r="17" spans="2:7">
      <c r="B17"/>
      <c r="D17" s="147"/>
      <c r="E17"/>
      <c r="F17" s="147"/>
      <c r="G17" s="147"/>
    </row>
    <row r="18" spans="2:7">
      <c r="B18" s="147"/>
      <c r="D18" s="147"/>
      <c r="E18" s="147"/>
      <c r="F18" s="147"/>
      <c r="G18" s="147"/>
    </row>
    <row r="19" spans="2:7">
      <c r="B19"/>
      <c r="E19"/>
      <c r="F19"/>
      <c r="G19"/>
    </row>
    <row r="21" spans="2:7">
      <c r="C21" s="102"/>
      <c r="D21" s="102"/>
    </row>
    <row r="22" spans="2:7">
      <c r="C22" s="102"/>
      <c r="D22" s="102"/>
    </row>
    <row r="23" spans="2:7">
      <c r="C23" s="102"/>
      <c r="D23" s="102"/>
    </row>
    <row r="24" spans="2:7">
      <c r="C24" s="102"/>
      <c r="D24" s="102"/>
    </row>
    <row r="25" spans="2:7">
      <c r="C25" s="102"/>
      <c r="D25" s="102"/>
    </row>
    <row r="26" spans="2:7">
      <c r="C26" s="102"/>
      <c r="D26" s="102"/>
    </row>
    <row r="27" spans="2:7">
      <c r="C27" s="102"/>
      <c r="D27" s="102"/>
    </row>
    <row r="28" spans="2:7">
      <c r="C28" s="102"/>
      <c r="D28" s="102"/>
    </row>
    <row r="29" spans="2:7">
      <c r="C29" s="102"/>
      <c r="D29" s="102"/>
    </row>
    <row r="30" spans="2:7">
      <c r="C30" s="102"/>
      <c r="D30" s="102"/>
    </row>
    <row r="31" spans="2:7">
      <c r="C31" s="102"/>
      <c r="D31" s="102"/>
    </row>
    <row r="32" spans="2:7">
      <c r="C32" s="102"/>
      <c r="D32" s="102"/>
    </row>
    <row r="33" s="102" customFormat="1"/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6"/>
  <sheetViews>
    <sheetView showGridLines="0" zoomScale="70" zoomScaleNormal="70" workbookViewId="0">
      <pane xSplit="1" ySplit="4" topLeftCell="B27" activePane="bottomRight" state="frozen"/>
      <selection pane="topRight" activeCell="A43" sqref="A43"/>
      <selection pane="bottomLeft" activeCell="A43" sqref="A43"/>
      <selection pane="bottomRight"/>
    </sheetView>
  </sheetViews>
  <sheetFormatPr defaultColWidth="9.109375" defaultRowHeight="13.2"/>
  <cols>
    <col min="1" max="1" width="21.6640625" customWidth="1"/>
    <col min="2" max="2" width="14.109375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19.88671875" customWidth="1"/>
    <col min="8" max="8" width="9.6640625" customWidth="1"/>
    <col min="9" max="9" width="1.6640625" customWidth="1"/>
    <col min="10" max="10" width="14.66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3.332031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74"/>
      <c r="D2" s="17" t="s">
        <v>14</v>
      </c>
      <c r="E2" s="18"/>
      <c r="F2" s="174" t="s">
        <v>15</v>
      </c>
      <c r="G2" s="174"/>
      <c r="H2" s="174"/>
      <c r="I2" s="15"/>
      <c r="J2" s="18"/>
      <c r="K2" s="174"/>
      <c r="L2" s="19" t="s">
        <v>16</v>
      </c>
      <c r="M2" s="174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27" t="s">
        <v>31</v>
      </c>
      <c r="C5" s="175"/>
      <c r="D5" s="28" t="s">
        <v>32</v>
      </c>
      <c r="G5" s="27"/>
      <c r="I5" s="27"/>
      <c r="J5" s="27" t="s">
        <v>33</v>
      </c>
      <c r="K5" s="27"/>
      <c r="L5" s="27"/>
      <c r="M5" s="27"/>
      <c r="N5" s="27"/>
      <c r="W5" s="26"/>
    </row>
    <row r="6" spans="1:23" ht="16.5" customHeight="1">
      <c r="A6" s="15" t="s">
        <v>34</v>
      </c>
      <c r="B6" s="29">
        <v>87.194999999999993</v>
      </c>
      <c r="C6" s="29">
        <v>86.311999999999998</v>
      </c>
      <c r="D6" s="29">
        <f>F6/C6</f>
        <v>51.735355454629712</v>
      </c>
      <c r="E6" s="30">
        <v>256.97899999999998</v>
      </c>
      <c r="F6" s="31">
        <f>F27</f>
        <v>4465.3819999999996</v>
      </c>
      <c r="G6" s="32">
        <f>G27</f>
        <v>15.915130131319001</v>
      </c>
      <c r="H6" s="32">
        <f>SUM(E6:G6)</f>
        <v>4738.2761301313185</v>
      </c>
      <c r="I6" s="15"/>
      <c r="J6" s="31">
        <f>J27</f>
        <v>2203.8727764571586</v>
      </c>
      <c r="K6" s="31">
        <f t="shared" ref="K6:K7" si="0">M6-L6-J6</f>
        <v>107.89538551899886</v>
      </c>
      <c r="L6" s="32">
        <f>L27</f>
        <v>2152.1139681551608</v>
      </c>
      <c r="M6" s="32">
        <f>H6-N6</f>
        <v>4463.8821301313183</v>
      </c>
      <c r="N6" s="32">
        <f>N26</f>
        <v>274.39400000000001</v>
      </c>
    </row>
    <row r="7" spans="1:23" ht="16.5" customHeight="1">
      <c r="A7" s="15" t="s">
        <v>35</v>
      </c>
      <c r="B7" s="29">
        <v>87.45</v>
      </c>
      <c r="C7" s="29">
        <v>86.168999999999997</v>
      </c>
      <c r="D7" s="29">
        <f>F7/C7</f>
        <v>49.556058443291668</v>
      </c>
      <c r="E7" s="30">
        <f>N6</f>
        <v>274.39400000000001</v>
      </c>
      <c r="F7" s="31">
        <f>F33</f>
        <v>4270.1959999999999</v>
      </c>
      <c r="G7" s="32">
        <f>G46</f>
        <v>24.512114749955</v>
      </c>
      <c r="H7" s="32">
        <f>SUM(E7:G7)</f>
        <v>4569.102114749955</v>
      </c>
      <c r="I7" s="15"/>
      <c r="J7" s="31">
        <f>J46</f>
        <v>2211.9384453555185</v>
      </c>
      <c r="K7" s="31">
        <f t="shared" si="0"/>
        <v>97.142582674273399</v>
      </c>
      <c r="L7" s="32">
        <f>L46</f>
        <v>1991.816086720163</v>
      </c>
      <c r="M7" s="32">
        <f>H7-N7</f>
        <v>4300.8971147499551</v>
      </c>
      <c r="N7" s="32">
        <f>N45</f>
        <v>268.20499999999998</v>
      </c>
      <c r="P7" s="151"/>
    </row>
    <row r="8" spans="1:23" ht="16.5" customHeight="1">
      <c r="A8" s="15" t="s">
        <v>36</v>
      </c>
      <c r="B8" s="29">
        <v>83.6</v>
      </c>
      <c r="C8" s="29">
        <v>82.790999999999997</v>
      </c>
      <c r="D8" s="29">
        <f>F8/C8</f>
        <v>49.575183292870001</v>
      </c>
      <c r="E8" s="30">
        <f>N7</f>
        <v>268.20499999999998</v>
      </c>
      <c r="F8" s="31">
        <v>4104.3789999999999</v>
      </c>
      <c r="G8" s="32">
        <v>30</v>
      </c>
      <c r="H8" s="32">
        <f>SUM(E8:G8)</f>
        <v>4402.5839999999998</v>
      </c>
      <c r="I8" s="15"/>
      <c r="J8" s="31">
        <v>2300</v>
      </c>
      <c r="K8" s="157">
        <v>128</v>
      </c>
      <c r="L8" s="32">
        <v>1755</v>
      </c>
      <c r="M8" s="32">
        <f>SUM(J8:L8)</f>
        <v>4183</v>
      </c>
      <c r="N8" s="32">
        <f>H8-M8</f>
        <v>219.58399999999983</v>
      </c>
      <c r="P8" s="151"/>
    </row>
    <row r="9" spans="1:23" ht="16.5" customHeight="1">
      <c r="A9" s="15"/>
      <c r="B9" s="15"/>
      <c r="C9" s="15"/>
      <c r="D9" s="15"/>
      <c r="E9" s="33"/>
      <c r="F9" s="33"/>
      <c r="G9" s="34"/>
      <c r="H9" s="33"/>
      <c r="I9" s="33"/>
      <c r="J9" s="34"/>
      <c r="K9" s="34"/>
      <c r="L9" s="34"/>
      <c r="M9" s="34"/>
      <c r="N9" s="34"/>
    </row>
    <row r="10" spans="1:23" ht="16.5" customHeight="1">
      <c r="A10" s="35" t="s">
        <v>34</v>
      </c>
      <c r="B10" s="95"/>
      <c r="C10" s="95"/>
      <c r="D10" s="95"/>
      <c r="E10" s="37"/>
      <c r="F10" s="38"/>
      <c r="G10" s="6"/>
      <c r="H10" s="13"/>
      <c r="I10" s="95"/>
      <c r="J10" s="13"/>
      <c r="K10" s="36"/>
      <c r="L10" s="6"/>
      <c r="M10" s="6"/>
      <c r="N10" s="13"/>
    </row>
    <row r="11" spans="1:23" ht="16.5" customHeight="1">
      <c r="A11" s="15" t="s">
        <v>37</v>
      </c>
      <c r="B11" s="95"/>
      <c r="C11" s="95"/>
      <c r="D11" s="100"/>
      <c r="E11" s="37"/>
      <c r="F11" s="38"/>
      <c r="G11" s="6">
        <f>(24488.6*36.74371)/1000000</f>
        <v>0.89980201670600002</v>
      </c>
      <c r="I11" s="95"/>
      <c r="J11" s="13">
        <f>((4924574*0.907185)*36.74371)/1000000</f>
        <v>164.15251208609473</v>
      </c>
      <c r="K11" s="36"/>
      <c r="L11" s="6">
        <f>(2099065.6*36.74371)/1000000</f>
        <v>77.127457677376</v>
      </c>
      <c r="M11" s="6"/>
      <c r="N11" s="13"/>
      <c r="Q11" s="100"/>
    </row>
    <row r="12" spans="1:23" ht="16.5" customHeight="1">
      <c r="A12" s="15" t="s">
        <v>38</v>
      </c>
      <c r="B12" s="95"/>
      <c r="C12" s="95"/>
      <c r="D12" s="100"/>
      <c r="E12" s="37"/>
      <c r="F12" s="38"/>
      <c r="G12" s="6">
        <f>(19229.4*36.74371)/1000000</f>
        <v>0.70655949707400012</v>
      </c>
      <c r="I12" s="95"/>
      <c r="J12" s="13">
        <f>((5908157*0.907185)*36.74371)/1000000</f>
        <v>196.93862115769718</v>
      </c>
      <c r="K12" s="36"/>
      <c r="L12" s="6">
        <f>(10694811.7*36.74371)/1000000</f>
        <v>392.96705960940693</v>
      </c>
      <c r="M12" s="6"/>
      <c r="N12" s="13"/>
      <c r="Q12" s="100"/>
    </row>
    <row r="13" spans="1:23" ht="16.5" customHeight="1">
      <c r="A13" s="15" t="s">
        <v>39</v>
      </c>
      <c r="B13" s="95"/>
      <c r="C13" s="95"/>
      <c r="D13" s="100"/>
      <c r="E13" s="37"/>
      <c r="F13" s="38"/>
      <c r="G13" s="6">
        <f>(34894.1*36.74371)/1000000</f>
        <v>1.282138691111</v>
      </c>
      <c r="I13" s="95"/>
      <c r="J13" s="13">
        <f>((5717943*0.907185)*36.74371)/1000000</f>
        <v>190.5981527366836</v>
      </c>
      <c r="K13" s="36"/>
      <c r="L13" s="6">
        <f>(10679456.7*36.74371)/1000000</f>
        <v>392.40285994235694</v>
      </c>
      <c r="M13" s="6"/>
      <c r="N13" s="13"/>
      <c r="Q13" s="100"/>
    </row>
    <row r="14" spans="1:23" ht="16.5" customHeight="1">
      <c r="A14" s="15" t="s">
        <v>40</v>
      </c>
      <c r="B14" s="95"/>
      <c r="C14" s="95"/>
      <c r="E14" s="37">
        <f>E6</f>
        <v>256.97899999999998</v>
      </c>
      <c r="F14" s="37">
        <f>4465.382</f>
        <v>4465.3819999999996</v>
      </c>
      <c r="G14" s="6">
        <f>SUM(G11:G13)</f>
        <v>2.8885002048909998</v>
      </c>
      <c r="H14" s="13">
        <f>SUM(E14:G14)</f>
        <v>4725.2495002048909</v>
      </c>
      <c r="I14" s="95"/>
      <c r="J14" s="13">
        <f>SUM(J11:J13)</f>
        <v>551.68928598047546</v>
      </c>
      <c r="K14" s="36">
        <f>M14-L14-J14</f>
        <v>174.53883699527569</v>
      </c>
      <c r="L14" s="6">
        <f>SUM(L11:L13)</f>
        <v>862.49737722913983</v>
      </c>
      <c r="M14" s="6">
        <f>H14-N14</f>
        <v>1588.725500204891</v>
      </c>
      <c r="N14" s="13">
        <v>3136.5239999999999</v>
      </c>
    </row>
    <row r="15" spans="1:23" ht="16.5" customHeight="1">
      <c r="A15" s="15" t="s">
        <v>41</v>
      </c>
      <c r="B15" s="95"/>
      <c r="C15" s="95"/>
      <c r="D15" s="100"/>
      <c r="E15" s="37"/>
      <c r="F15" s="37"/>
      <c r="G15" s="6">
        <f>(27884.8*36.74371)/1000000</f>
        <v>1.024591004608</v>
      </c>
      <c r="H15" s="13"/>
      <c r="I15" s="95"/>
      <c r="J15" s="13">
        <f>((5947222*0.907185)*36.74371)/1000000</f>
        <v>198.24078818466097</v>
      </c>
      <c r="K15" s="36"/>
      <c r="L15" s="6">
        <f>(7936612.7*36.74371)/1000000</f>
        <v>291.62059543111701</v>
      </c>
      <c r="M15" s="6"/>
      <c r="N15" s="13"/>
    </row>
    <row r="16" spans="1:23" ht="16.5" customHeight="1">
      <c r="A16" s="15" t="s">
        <v>42</v>
      </c>
      <c r="B16" s="95"/>
      <c r="C16" s="95"/>
      <c r="D16" s="100"/>
      <c r="E16" s="37"/>
      <c r="F16" s="37"/>
      <c r="G16" s="6">
        <f>(23985.1*36.74371)/1000000</f>
        <v>0.88130155872100002</v>
      </c>
      <c r="H16" s="13"/>
      <c r="I16" s="95"/>
      <c r="J16" s="13">
        <f>((5828974*0.907185)*36.74371)/1000000</f>
        <v>194.29918709405769</v>
      </c>
      <c r="K16" s="36"/>
      <c r="L16" s="6">
        <f>(6529270.8*36.74371)/1000000</f>
        <v>239.909632786668</v>
      </c>
      <c r="M16" s="6"/>
      <c r="N16" s="13"/>
    </row>
    <row r="17" spans="1:24" ht="16.5" customHeight="1">
      <c r="A17" s="15" t="s">
        <v>43</v>
      </c>
      <c r="B17" s="95"/>
      <c r="C17" s="95"/>
      <c r="D17" s="100"/>
      <c r="E17" s="37"/>
      <c r="F17" s="37"/>
      <c r="G17" s="6">
        <f>(47263.6*36.74371)/1000000</f>
        <v>1.7366400119559999</v>
      </c>
      <c r="H17" s="13"/>
      <c r="I17" s="95"/>
      <c r="J17" s="13">
        <f>((5232453*0.907185)*36.74371)/1000000</f>
        <v>174.41514825900123</v>
      </c>
      <c r="K17" s="36"/>
      <c r="L17" s="6">
        <f>(3809000.1*36.74371)/1000000</f>
        <v>139.95679506437099</v>
      </c>
      <c r="M17" s="6"/>
      <c r="N17" s="13"/>
      <c r="Q17" s="100"/>
    </row>
    <row r="18" spans="1:24" ht="16.5" customHeight="1">
      <c r="A18" s="15" t="s">
        <v>44</v>
      </c>
      <c r="B18" s="95"/>
      <c r="C18" s="95"/>
      <c r="E18" s="37">
        <f>N14</f>
        <v>3136.5239999999999</v>
      </c>
      <c r="F18" s="37"/>
      <c r="G18" s="6">
        <f>SUM(G15:G17)</f>
        <v>3.6425325752850002</v>
      </c>
      <c r="H18" s="13">
        <f>E18+F18+G18</f>
        <v>3140.1665325752847</v>
      </c>
      <c r="I18" s="95"/>
      <c r="J18" s="13">
        <f>SUM(J15:J17)</f>
        <v>566.95512353771983</v>
      </c>
      <c r="K18" s="36">
        <f>M18-L18-J18</f>
        <v>-30.092614244591118</v>
      </c>
      <c r="L18" s="6">
        <f>SUM(L15:L17)</f>
        <v>671.48702328215597</v>
      </c>
      <c r="M18" s="6">
        <f>H18-N18</f>
        <v>1208.3495325752847</v>
      </c>
      <c r="N18" s="13">
        <v>1931.817</v>
      </c>
      <c r="P18" s="39"/>
    </row>
    <row r="19" spans="1:24" ht="16.5" customHeight="1">
      <c r="A19" s="15" t="s">
        <v>45</v>
      </c>
      <c r="B19" s="95"/>
      <c r="C19" s="95"/>
      <c r="D19" s="100"/>
      <c r="E19" s="37"/>
      <c r="F19" s="37"/>
      <c r="G19" s="6">
        <f>(33646.7*36.74371)/1000000</f>
        <v>1.236304587257</v>
      </c>
      <c r="H19" s="13"/>
      <c r="I19" s="95"/>
      <c r="J19" s="13">
        <f>((5786159*0.907185)*36.74371)/1000000</f>
        <v>192.87202003250758</v>
      </c>
      <c r="K19" s="36"/>
      <c r="L19" s="6">
        <f>(3018428.5*36.74371)/1000000</f>
        <v>110.908261459735</v>
      </c>
      <c r="M19" s="6"/>
      <c r="N19" s="13"/>
      <c r="Q19" s="100"/>
    </row>
    <row r="20" spans="1:24" ht="16.5" customHeight="1">
      <c r="A20" s="15" t="s">
        <v>46</v>
      </c>
      <c r="B20" s="95"/>
      <c r="C20" s="95"/>
      <c r="D20" s="100"/>
      <c r="E20" s="37"/>
      <c r="F20" s="37"/>
      <c r="G20" s="6">
        <f>(49197*36.74371)/1000000</f>
        <v>1.80768030087</v>
      </c>
      <c r="H20" s="13"/>
      <c r="I20" s="95"/>
      <c r="J20" s="13">
        <f>((5426712*0.907185)*36.74371)/1000000</f>
        <v>180.89045005065523</v>
      </c>
      <c r="K20" s="36"/>
      <c r="L20" s="6">
        <f>(3550990.4*36.74371)/1000000</f>
        <v>130.47656147038401</v>
      </c>
      <c r="M20" s="6"/>
      <c r="N20" s="13"/>
    </row>
    <row r="21" spans="1:24" ht="16.5" customHeight="1">
      <c r="A21" s="15" t="s">
        <v>47</v>
      </c>
      <c r="B21" s="95"/>
      <c r="C21" s="95"/>
      <c r="D21" s="100"/>
      <c r="E21" s="37"/>
      <c r="F21" s="37"/>
      <c r="G21" s="6">
        <f>(30538.1*36.74371)/1000000</f>
        <v>1.122083090351</v>
      </c>
      <c r="H21" s="13"/>
      <c r="I21" s="95"/>
      <c r="J21" s="13">
        <f>((5427160*0.907185)*36.74371)/1000000</f>
        <v>180.90538338812047</v>
      </c>
      <c r="K21" s="36"/>
      <c r="L21" s="6">
        <f>(2448876.2*36.74371)/1000000</f>
        <v>89.980796918702012</v>
      </c>
      <c r="M21" s="6"/>
      <c r="N21" s="13"/>
      <c r="P21" s="95"/>
      <c r="Q21" s="100"/>
    </row>
    <row r="22" spans="1:24" ht="16.5" customHeight="1">
      <c r="A22" s="15" t="s">
        <v>48</v>
      </c>
      <c r="B22" s="95"/>
      <c r="C22" s="95"/>
      <c r="E22" s="37">
        <f>N18</f>
        <v>1931.817</v>
      </c>
      <c r="F22" s="37"/>
      <c r="G22" s="6">
        <f>SUM(G19:G21)</f>
        <v>4.1660679784779999</v>
      </c>
      <c r="H22" s="13">
        <f>E22+F22+G22</f>
        <v>1935.9830679784779</v>
      </c>
      <c r="I22" s="95"/>
      <c r="J22" s="13">
        <f>SUM(J19:J21)</f>
        <v>554.66785347128325</v>
      </c>
      <c r="K22" s="36">
        <f>M22-L22-J22</f>
        <v>82.424594658373735</v>
      </c>
      <c r="L22" s="6">
        <f>SUM(L19:L21)</f>
        <v>331.36561984882104</v>
      </c>
      <c r="M22" s="6">
        <f>H22-N22</f>
        <v>968.45806797847797</v>
      </c>
      <c r="N22" s="13">
        <v>967.52499999999998</v>
      </c>
      <c r="P22" s="95"/>
    </row>
    <row r="23" spans="1:24" ht="16.5" customHeight="1">
      <c r="A23" s="15" t="s">
        <v>49</v>
      </c>
      <c r="B23" s="95"/>
      <c r="C23" s="95"/>
      <c r="E23" s="37"/>
      <c r="F23" s="37"/>
      <c r="G23" s="6">
        <f>(21131.7*36.74371)/1000000</f>
        <v>0.77645705660700004</v>
      </c>
      <c r="H23" s="13"/>
      <c r="I23" s="95"/>
      <c r="J23" s="13">
        <f>((5222412*0.907185)*36.74371)/1000000</f>
        <v>174.08044816639293</v>
      </c>
      <c r="K23" s="36"/>
      <c r="L23" s="6">
        <f>(2256761*36.74371)/1000000</f>
        <v>82.921771723309988</v>
      </c>
      <c r="M23" s="6"/>
      <c r="N23" s="13"/>
    </row>
    <row r="24" spans="1:24" ht="16.5" customHeight="1">
      <c r="A24" s="15" t="s">
        <v>50</v>
      </c>
      <c r="B24" s="95"/>
      <c r="C24" s="95"/>
      <c r="E24" s="37"/>
      <c r="F24" s="37"/>
      <c r="G24" s="6">
        <f>(60176.9*36.74371)/1000000</f>
        <v>2.2111225622990003</v>
      </c>
      <c r="H24" s="13"/>
      <c r="I24" s="95"/>
      <c r="J24" s="13">
        <f>((5441780*0.907185)*36.74371)/1000000</f>
        <v>181.3927168562943</v>
      </c>
      <c r="K24" s="36"/>
      <c r="L24" s="6">
        <f>(2315581.7*36.74371)/1000000</f>
        <v>85.083062466107009</v>
      </c>
      <c r="M24" s="6"/>
      <c r="N24" s="13"/>
      <c r="Q24" s="100"/>
    </row>
    <row r="25" spans="1:24" ht="16.5" customHeight="1">
      <c r="A25" s="15" t="s">
        <v>51</v>
      </c>
      <c r="B25" s="95"/>
      <c r="C25" s="95"/>
      <c r="E25" s="37"/>
      <c r="F25" s="37"/>
      <c r="G25" s="6">
        <f>(60702.9*36.74371)/1000000</f>
        <v>2.2304497537589998</v>
      </c>
      <c r="H25" s="13"/>
      <c r="I25" s="95"/>
      <c r="J25" s="13">
        <f>((5252619*0.907185)*36.74371)/1000000</f>
        <v>175.08734844499261</v>
      </c>
      <c r="K25" s="36"/>
      <c r="L25" s="6">
        <f>(3232093.8*36.74371)/1000000</f>
        <v>118.75911727999799</v>
      </c>
      <c r="M25" s="6"/>
      <c r="N25" s="13"/>
    </row>
    <row r="26" spans="1:24" ht="16.5" customHeight="1">
      <c r="A26" s="15" t="s">
        <v>52</v>
      </c>
      <c r="B26" s="95"/>
      <c r="C26" s="95"/>
      <c r="E26" s="37">
        <f>N22</f>
        <v>967.52499999999998</v>
      </c>
      <c r="F26" s="37"/>
      <c r="G26" s="6">
        <f>SUM(G23:G25)</f>
        <v>5.2180293726650007</v>
      </c>
      <c r="H26" s="13">
        <f>E26+F26+G26</f>
        <v>972.74302937266498</v>
      </c>
      <c r="I26" s="95"/>
      <c r="J26" s="13">
        <f>SUM(J23:J25)</f>
        <v>530.56051346767981</v>
      </c>
      <c r="K26" s="36">
        <f>M26-L26-J26</f>
        <v>-118.97543556442986</v>
      </c>
      <c r="L26" s="6">
        <f>SUM(L23:L25)</f>
        <v>286.76395146941502</v>
      </c>
      <c r="M26" s="6">
        <f>H26-N26</f>
        <v>698.34902937266497</v>
      </c>
      <c r="N26" s="13">
        <f>274.394</f>
        <v>274.39400000000001</v>
      </c>
    </row>
    <row r="27" spans="1:24" ht="16.5" customHeight="1">
      <c r="A27" s="15" t="s">
        <v>28</v>
      </c>
      <c r="B27" s="95"/>
      <c r="C27" s="95"/>
      <c r="D27" s="95"/>
      <c r="E27" s="37"/>
      <c r="F27" s="37">
        <f>F14</f>
        <v>4465.3819999999996</v>
      </c>
      <c r="G27" s="6">
        <f>(433138.9*36.74371)/1000000</f>
        <v>15.915130131319001</v>
      </c>
      <c r="H27" s="13">
        <f>E14+F27+G27</f>
        <v>4738.2761301313185</v>
      </c>
      <c r="I27" s="95"/>
      <c r="J27" s="13">
        <f>SUM(J14,J18,J22,J26)</f>
        <v>2203.8727764571586</v>
      </c>
      <c r="K27" s="36">
        <f>SUM(K14,K18,K22,K26)</f>
        <v>107.89538184462845</v>
      </c>
      <c r="L27" s="154">
        <f>(58570949.1*36.74371)/1000000</f>
        <v>2152.1139681551608</v>
      </c>
      <c r="M27" s="6">
        <f>SUM(M14,M18,M22,M26)</f>
        <v>4463.8821301313183</v>
      </c>
      <c r="N27" s="13"/>
      <c r="Q27" s="100"/>
    </row>
    <row r="28" spans="1:24" ht="16.5" customHeight="1">
      <c r="A28" s="15"/>
      <c r="B28" s="95"/>
      <c r="C28" s="95"/>
      <c r="D28" s="95"/>
      <c r="E28" s="37"/>
      <c r="F28" s="37"/>
      <c r="G28" s="6"/>
      <c r="H28" s="13"/>
      <c r="I28" s="95"/>
      <c r="J28" s="13"/>
      <c r="K28" s="36"/>
      <c r="L28" s="6"/>
      <c r="M28" s="6"/>
      <c r="N28" s="13"/>
      <c r="R28" s="95"/>
    </row>
    <row r="29" spans="1:24" ht="16.5" customHeight="1">
      <c r="A29" s="35" t="s">
        <v>53</v>
      </c>
      <c r="B29" s="95"/>
      <c r="C29" s="95"/>
      <c r="D29" s="95"/>
      <c r="E29" s="37"/>
      <c r="F29" s="37"/>
      <c r="G29" s="6"/>
      <c r="H29" s="13"/>
      <c r="I29" s="95"/>
      <c r="J29" s="13"/>
      <c r="K29" s="36"/>
      <c r="L29" s="6"/>
      <c r="M29" s="6"/>
      <c r="N29" s="13"/>
      <c r="Q29" s="95"/>
      <c r="V29" s="149"/>
      <c r="X29" s="150"/>
    </row>
    <row r="30" spans="1:24" ht="16.5" customHeight="1">
      <c r="A30" s="15" t="s">
        <v>37</v>
      </c>
      <c r="B30" s="95"/>
      <c r="C30" s="95"/>
      <c r="D30" s="95"/>
      <c r="E30" s="37"/>
      <c r="F30" s="37"/>
      <c r="G30" s="6">
        <f>(31794.8*36.74371)/1000000</f>
        <v>1.1682589107079999</v>
      </c>
      <c r="H30" s="13"/>
      <c r="I30" s="95"/>
      <c r="J30" s="6">
        <f>((5028287*0.907185)*36.74371)/1000000</f>
        <v>167.60961304264146</v>
      </c>
      <c r="K30" s="36"/>
      <c r="L30" s="6">
        <f>(2077930.3*36.74371)/1000000</f>
        <v>76.350868343412998</v>
      </c>
      <c r="M30" s="6"/>
      <c r="N30" s="13"/>
      <c r="T30" s="148"/>
    </row>
    <row r="31" spans="1:24" ht="16.5" customHeight="1">
      <c r="A31" s="15" t="s">
        <v>38</v>
      </c>
      <c r="B31" s="95"/>
      <c r="C31" s="95"/>
      <c r="D31" s="95"/>
      <c r="E31" s="37"/>
      <c r="F31" s="37"/>
      <c r="G31" s="6">
        <f>(33827.2*36.74371)/1000000</f>
        <v>1.2429368269119998</v>
      </c>
      <c r="H31" s="13"/>
      <c r="I31" s="95"/>
      <c r="J31" s="6">
        <f>((5899694*0.907185)*36.74371)/1000000</f>
        <v>196.65652107964277</v>
      </c>
      <c r="K31" s="36"/>
      <c r="L31" s="6">
        <f>(9947619.5*36.74371)/1000000</f>
        <v>365.51244609834498</v>
      </c>
      <c r="M31" s="6"/>
      <c r="N31" s="13"/>
      <c r="T31" s="148"/>
    </row>
    <row r="32" spans="1:24" ht="16.5" customHeight="1">
      <c r="A32" s="15" t="s">
        <v>39</v>
      </c>
      <c r="B32" s="95"/>
      <c r="C32" s="95"/>
      <c r="D32" s="95"/>
      <c r="E32" s="37"/>
      <c r="F32" s="37"/>
      <c r="G32" s="6">
        <f>(35058.7*36.74371)/1000000</f>
        <v>1.288186705777</v>
      </c>
      <c r="H32" s="13"/>
      <c r="I32" s="95"/>
      <c r="J32" s="6">
        <f>((5687098*0.907185)*36.74371)/1000000</f>
        <v>189.56998578553299</v>
      </c>
      <c r="K32" s="36"/>
      <c r="L32" s="6">
        <f>(9794669.4*36.74371)/1000000</f>
        <v>359.89249197947402</v>
      </c>
      <c r="M32" s="6"/>
      <c r="N32" s="13"/>
      <c r="T32" s="148"/>
    </row>
    <row r="33" spans="1:20" ht="16.5" customHeight="1">
      <c r="A33" s="15" t="s">
        <v>40</v>
      </c>
      <c r="B33" s="95"/>
      <c r="C33" s="95"/>
      <c r="D33" s="95"/>
      <c r="E33" s="37">
        <f>N26</f>
        <v>274.39400000000001</v>
      </c>
      <c r="F33" s="37">
        <v>4270.1959999999999</v>
      </c>
      <c r="G33" s="6">
        <f>SUM(G30:G32)</f>
        <v>3.699382443397</v>
      </c>
      <c r="H33" s="13">
        <f>SUM(E33:G33)</f>
        <v>4548.2893824433968</v>
      </c>
      <c r="I33" s="95"/>
      <c r="J33" s="6">
        <f>SUM(J30:J32)</f>
        <v>553.83611990781719</v>
      </c>
      <c r="K33" s="36">
        <f>M33-L33-J33</f>
        <v>171.54545611434753</v>
      </c>
      <c r="L33" s="6">
        <f>SUM(L30:L32)</f>
        <v>801.75580642123202</v>
      </c>
      <c r="M33" s="6">
        <f>H33-N33</f>
        <v>1527.1373824433967</v>
      </c>
      <c r="N33" s="13">
        <f>3021.152</f>
        <v>3021.152</v>
      </c>
      <c r="T33" s="148"/>
    </row>
    <row r="34" spans="1:20" ht="16.5" customHeight="1">
      <c r="A34" s="15" t="s">
        <v>41</v>
      </c>
      <c r="B34" s="95"/>
      <c r="C34" s="95"/>
      <c r="D34" s="95"/>
      <c r="E34" s="37"/>
      <c r="F34" s="107"/>
      <c r="G34" s="6">
        <f>(36017.3*36.74371)/1000000</f>
        <v>1.3234092261829999</v>
      </c>
      <c r="H34" s="13"/>
      <c r="I34" s="95"/>
      <c r="J34" s="6">
        <f>((5622561*0.907185)*36.74371)/1000000</f>
        <v>187.41875185697378</v>
      </c>
      <c r="K34" s="36"/>
      <c r="L34" s="6">
        <f>(7968849.1*36.74371)/1000000</f>
        <v>292.80508036416103</v>
      </c>
      <c r="M34" s="6"/>
      <c r="N34" s="13"/>
      <c r="T34" s="148"/>
    </row>
    <row r="35" spans="1:20" ht="16.5" customHeight="1">
      <c r="A35" s="15" t="s">
        <v>42</v>
      </c>
      <c r="B35" s="95"/>
      <c r="C35" s="95"/>
      <c r="D35" s="95"/>
      <c r="E35" s="37"/>
      <c r="F35" s="107"/>
      <c r="G35" s="6">
        <f>(5893.9*36.74371)/1000000</f>
        <v>0.216563752369</v>
      </c>
      <c r="H35" s="13"/>
      <c r="I35" s="95"/>
      <c r="J35" s="6">
        <f>((5734398*0.907185)*36.74371)/1000000</f>
        <v>191.14665288844833</v>
      </c>
      <c r="K35" s="36"/>
      <c r="L35" s="6">
        <f>(8559125.5*36.74371)/1000000</f>
        <v>314.49402522560501</v>
      </c>
      <c r="M35" s="6"/>
      <c r="N35" s="13"/>
      <c r="T35" s="148"/>
    </row>
    <row r="36" spans="1:20" ht="16.5" customHeight="1">
      <c r="A36" s="15" t="s">
        <v>43</v>
      </c>
      <c r="B36" s="95"/>
      <c r="C36" s="95"/>
      <c r="D36" s="95"/>
      <c r="E36" s="37"/>
      <c r="F36" s="107"/>
      <c r="G36" s="6">
        <f>(27761.8*36.7371)/1000000</f>
        <v>1.0198880227799998</v>
      </c>
      <c r="H36" s="13"/>
      <c r="I36" s="95"/>
      <c r="J36" s="6">
        <f>((5306995*0.907185)*36.74371)/1000000</f>
        <v>176.89988227983665</v>
      </c>
      <c r="K36" s="36"/>
      <c r="L36" s="6">
        <f>(5374314*36.74371)/1000000</f>
        <v>197.47223506494001</v>
      </c>
      <c r="M36" s="6"/>
      <c r="N36" s="13"/>
      <c r="P36" s="39"/>
      <c r="T36" s="148"/>
    </row>
    <row r="37" spans="1:20" ht="16.5" customHeight="1">
      <c r="A37" s="15" t="s">
        <v>44</v>
      </c>
      <c r="B37" s="95"/>
      <c r="C37" s="95"/>
      <c r="D37" s="95"/>
      <c r="E37" s="37">
        <f>N33</f>
        <v>3021.152</v>
      </c>
      <c r="F37" s="107"/>
      <c r="G37" s="6">
        <f>SUM(G34:G36)</f>
        <v>2.559861001332</v>
      </c>
      <c r="H37" s="13">
        <f>SUM(E37:G37)</f>
        <v>3023.7118610013322</v>
      </c>
      <c r="I37" s="95"/>
      <c r="J37" s="6">
        <f>SUM(J34:J36)</f>
        <v>555.46528702525882</v>
      </c>
      <c r="K37" s="36">
        <f>M37-L37-J37</f>
        <v>-23.156766678632721</v>
      </c>
      <c r="L37" s="6">
        <f>SUM(L34:L36)</f>
        <v>804.77134065470602</v>
      </c>
      <c r="M37" s="6">
        <f>H37-N37</f>
        <v>1337.0798610013321</v>
      </c>
      <c r="N37" s="13">
        <f>1686.632</f>
        <v>1686.6320000000001</v>
      </c>
      <c r="T37" s="148"/>
    </row>
    <row r="38" spans="1:20" ht="16.5" customHeight="1">
      <c r="A38" s="15" t="s">
        <v>45</v>
      </c>
      <c r="B38" s="95"/>
      <c r="C38" s="95"/>
      <c r="D38" s="95"/>
      <c r="E38" s="37"/>
      <c r="F38" s="107"/>
      <c r="G38" s="6">
        <f>(34752.6*36.74371)/1000000</f>
        <v>1.2769394561459999</v>
      </c>
      <c r="H38" s="13"/>
      <c r="I38" s="95"/>
      <c r="J38" s="6">
        <f>((5939012*0.907185)*36.74371)/1000000</f>
        <v>197.96712144227334</v>
      </c>
      <c r="K38" s="36"/>
      <c r="L38" s="6">
        <f>(3135729.4*36.74371)/1000000</f>
        <v>115.21833171207399</v>
      </c>
      <c r="M38" s="6"/>
      <c r="N38" s="13"/>
      <c r="T38" s="148"/>
    </row>
    <row r="39" spans="1:20" ht="16.5" customHeight="1">
      <c r="A39" s="15" t="s">
        <v>46</v>
      </c>
      <c r="B39" s="95"/>
      <c r="C39" s="95"/>
      <c r="D39" s="95"/>
      <c r="E39" s="37"/>
      <c r="F39" s="107"/>
      <c r="G39" s="6">
        <f>(8485.3*36.74371)/1000000</f>
        <v>0.31178140246299996</v>
      </c>
      <c r="H39" s="13"/>
      <c r="I39" s="95"/>
      <c r="J39" s="6">
        <f>((5609607*0.907185)*36.74371)/1000000</f>
        <v>186.98695173749888</v>
      </c>
      <c r="K39" s="36"/>
      <c r="L39" s="6">
        <f>(2554266.9*36.74371)/1000000</f>
        <v>93.853242236198994</v>
      </c>
      <c r="M39" s="6"/>
      <c r="N39" s="13"/>
      <c r="T39" s="148"/>
    </row>
    <row r="40" spans="1:20" ht="16.5" customHeight="1">
      <c r="A40" s="15" t="s">
        <v>47</v>
      </c>
      <c r="B40" s="95"/>
      <c r="C40" s="95"/>
      <c r="D40" s="95"/>
      <c r="E40" s="37"/>
      <c r="F40" s="107"/>
      <c r="G40" s="6">
        <f>(126995.3*36.74371)/1000000</f>
        <v>4.6662784745629997</v>
      </c>
      <c r="H40" s="13"/>
      <c r="I40" s="95"/>
      <c r="J40" s="6">
        <f>((5679096*0.907185)*36.74371)/1000000</f>
        <v>189.30325237839708</v>
      </c>
      <c r="K40" s="36"/>
      <c r="L40" s="6">
        <f>(986447.6*36.74371)/1000000</f>
        <v>36.245744544596</v>
      </c>
      <c r="M40" s="6"/>
      <c r="N40" s="13"/>
      <c r="T40" s="148"/>
    </row>
    <row r="41" spans="1:20" ht="16.5" customHeight="1">
      <c r="A41" s="15" t="s">
        <v>48</v>
      </c>
      <c r="B41" s="95"/>
      <c r="C41" s="95"/>
      <c r="D41" s="95"/>
      <c r="E41" s="37">
        <f>N37</f>
        <v>1686.6320000000001</v>
      </c>
      <c r="F41" s="107"/>
      <c r="G41" s="6">
        <f>SUM(G38:G40)</f>
        <v>6.254999333172</v>
      </c>
      <c r="H41" s="13">
        <f>SUM(E41:G41)</f>
        <v>1692.8869993331721</v>
      </c>
      <c r="I41" s="95"/>
      <c r="J41" s="6">
        <f>SUM(J38:J40)</f>
        <v>574.25732555816921</v>
      </c>
      <c r="K41" s="36">
        <f>M41-L41-J41</f>
        <v>77.741355282133782</v>
      </c>
      <c r="L41" s="6">
        <f>SUM(L38:L40)</f>
        <v>245.31731849286899</v>
      </c>
      <c r="M41" s="6">
        <f>H41-N41</f>
        <v>897.31599933317204</v>
      </c>
      <c r="N41" s="13">
        <f>795.571</f>
        <v>795.57100000000003</v>
      </c>
      <c r="T41" s="148"/>
    </row>
    <row r="42" spans="1:20" ht="16.5" customHeight="1">
      <c r="A42" s="15" t="s">
        <v>49</v>
      </c>
      <c r="B42" s="95"/>
      <c r="C42" s="95"/>
      <c r="D42" s="95"/>
      <c r="E42" s="37"/>
      <c r="F42" s="107"/>
      <c r="G42" s="6">
        <f>(166679*36.744)/1000000</f>
        <v>6.1244531760000003</v>
      </c>
      <c r="H42" s="13"/>
      <c r="I42" s="95"/>
      <c r="J42" s="6">
        <f>((5236516*0.907185)*36.74371)/1000000</f>
        <v>174.55058162980768</v>
      </c>
      <c r="K42" s="36"/>
      <c r="L42" s="6">
        <f>(831037.3*36.74371)/1000000</f>
        <v>30.535393550383002</v>
      </c>
      <c r="M42" s="6"/>
      <c r="N42" s="13"/>
      <c r="T42" s="148"/>
    </row>
    <row r="43" spans="1:20" ht="16.5" customHeight="1">
      <c r="A43" s="15" t="s">
        <v>50</v>
      </c>
      <c r="B43" s="95"/>
      <c r="C43" s="95"/>
      <c r="D43" s="95"/>
      <c r="E43" s="37"/>
      <c r="F43" s="107"/>
      <c r="G43" s="6">
        <f>(114325.1*36.74371)/1000000</f>
        <v>4.2007283201210006</v>
      </c>
      <c r="H43" s="13"/>
      <c r="I43" s="95"/>
      <c r="J43" s="6">
        <f>((5545001*0.907185)*36.74371)/1000000</f>
        <v>184.83341780830332</v>
      </c>
      <c r="K43" s="36"/>
      <c r="L43" s="6">
        <f>(1275803.3*36.74371)/1000000</f>
        <v>46.877746472243004</v>
      </c>
      <c r="M43" s="6"/>
      <c r="N43" s="13"/>
      <c r="T43" s="148"/>
    </row>
    <row r="44" spans="1:20" ht="16.5" customHeight="1">
      <c r="A44" s="15" t="s">
        <v>51</v>
      </c>
      <c r="B44" s="95"/>
      <c r="C44" s="95"/>
      <c r="D44" s="95"/>
      <c r="E44" s="37"/>
      <c r="F44" s="107"/>
      <c r="G44" s="6">
        <f>(45519.5*36.74371)/1000000</f>
        <v>1.6725553073450001</v>
      </c>
      <c r="H44" s="13"/>
      <c r="I44" s="95"/>
      <c r="J44" s="6">
        <f>((5069870*0.907185)*36.74371)/1000000</f>
        <v>168.99571342616218</v>
      </c>
      <c r="K44" s="36"/>
      <c r="L44" s="6">
        <f>(1702563*36.74371)/1000000</f>
        <v>62.558481128730001</v>
      </c>
      <c r="M44" s="6"/>
      <c r="N44" s="13"/>
      <c r="T44" s="148"/>
    </row>
    <row r="45" spans="1:20" ht="16.5" customHeight="1">
      <c r="A45" s="15" t="s">
        <v>54</v>
      </c>
      <c r="B45" s="95"/>
      <c r="C45" s="95"/>
      <c r="D45" s="95"/>
      <c r="E45" s="37">
        <f>N41</f>
        <v>795.57100000000003</v>
      </c>
      <c r="F45" s="107"/>
      <c r="G45" s="6">
        <f>SUM(G42:G44)</f>
        <v>11.997736803466001</v>
      </c>
      <c r="H45" s="13">
        <f>SUM(E45:G45)</f>
        <v>807.56873680346598</v>
      </c>
      <c r="I45" s="95"/>
      <c r="J45" s="6">
        <f>SUM(J42:J44)</f>
        <v>528.37971286427319</v>
      </c>
      <c r="K45" s="36">
        <f>M45-J45-L45</f>
        <v>-128.98759721216314</v>
      </c>
      <c r="L45" s="6">
        <f>SUM(L42:L44)</f>
        <v>139.971621151356</v>
      </c>
      <c r="M45" s="6">
        <f>H45-N45</f>
        <v>539.36373680346605</v>
      </c>
      <c r="N45" s="153">
        <v>268.20499999999998</v>
      </c>
    </row>
    <row r="46" spans="1:20" ht="16.5" customHeight="1">
      <c r="A46" s="15" t="s">
        <v>28</v>
      </c>
      <c r="B46" s="95"/>
      <c r="C46" s="95"/>
      <c r="D46" s="95"/>
      <c r="E46" s="37"/>
      <c r="F46" s="107"/>
      <c r="G46" s="152">
        <f>(667110.5*36.74371)/1000000</f>
        <v>24.512114749955</v>
      </c>
      <c r="H46" s="137"/>
      <c r="I46" s="138"/>
      <c r="J46" s="6">
        <f>SUM(J33,J37,J41,J45)</f>
        <v>2211.9384453555185</v>
      </c>
      <c r="K46" s="139"/>
      <c r="L46" s="6">
        <f>(54208355.3*36.74371)/1000000</f>
        <v>1991.816086720163</v>
      </c>
      <c r="M46" s="6"/>
      <c r="N46" s="13"/>
    </row>
    <row r="47" spans="1:20" ht="16.5" customHeight="1">
      <c r="A47" s="91" t="s">
        <v>55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92"/>
      <c r="M47" s="78"/>
      <c r="N47" s="78"/>
    </row>
    <row r="48" spans="1:20" ht="16.5" customHeight="1">
      <c r="A48" s="15" t="s">
        <v>56</v>
      </c>
      <c r="B48" s="15"/>
      <c r="C48" s="15"/>
      <c r="D48" s="15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73" ht="16.5" customHeight="1">
      <c r="A49" s="20" t="s">
        <v>57</v>
      </c>
      <c r="B49" s="41">
        <f>Contents!A16</f>
        <v>45215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95"/>
      <c r="P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</row>
    <row r="50" spans="1:73">
      <c r="O50" s="95"/>
      <c r="P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</row>
    <row r="51" spans="1:73">
      <c r="O51" s="95"/>
      <c r="P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</row>
    <row r="52" spans="1:73">
      <c r="O52" s="95"/>
      <c r="P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</row>
    <row r="53" spans="1:73">
      <c r="O53" s="95"/>
      <c r="P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</row>
    <row r="54" spans="1:73">
      <c r="J54" s="39"/>
      <c r="L54" s="39"/>
      <c r="O54" s="95"/>
      <c r="P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</row>
    <row r="55" spans="1:73">
      <c r="J55" s="39"/>
      <c r="L55" s="39"/>
      <c r="O55" s="95"/>
      <c r="P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</row>
    <row r="56" spans="1:73">
      <c r="J56" s="39"/>
      <c r="L56" s="39"/>
      <c r="O56" s="95"/>
      <c r="P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</row>
    <row r="57" spans="1:73">
      <c r="O57" s="95"/>
      <c r="P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</row>
    <row r="58" spans="1:73">
      <c r="O58" s="95"/>
      <c r="P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</row>
    <row r="59" spans="1:73">
      <c r="O59" s="95"/>
      <c r="P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</row>
    <row r="60" spans="1:73">
      <c r="O60" s="95"/>
      <c r="P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</row>
    <row r="61" spans="1:73">
      <c r="O61" s="95"/>
      <c r="P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</row>
    <row r="62" spans="1:73">
      <c r="O62" s="95"/>
      <c r="P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</row>
    <row r="63" spans="1:73">
      <c r="O63" s="95"/>
      <c r="P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</row>
    <row r="64" spans="1:73">
      <c r="O64" s="95"/>
      <c r="P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</row>
    <row r="65" spans="15:73">
      <c r="O65" s="95"/>
      <c r="P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</row>
    <row r="66" spans="15:73">
      <c r="O66" s="95"/>
      <c r="P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</row>
    <row r="67" spans="15:73">
      <c r="O67" s="95"/>
      <c r="P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</row>
    <row r="68" spans="15:73">
      <c r="O68" s="95"/>
      <c r="P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</row>
    <row r="69" spans="15:73">
      <c r="O69" s="95"/>
      <c r="P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</row>
    <row r="70" spans="15:73">
      <c r="O70" s="95"/>
      <c r="P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</row>
    <row r="71" spans="15:73">
      <c r="O71" s="95"/>
      <c r="P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</row>
    <row r="72" spans="15:73">
      <c r="O72" s="95"/>
      <c r="P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</row>
    <row r="73" spans="15:73">
      <c r="O73" s="95"/>
      <c r="P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</row>
    <row r="74" spans="15:73">
      <c r="O74" s="95"/>
      <c r="P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</row>
    <row r="75" spans="15:73">
      <c r="O75" s="95"/>
      <c r="P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</row>
    <row r="76" spans="15:73">
      <c r="O76" s="95"/>
      <c r="P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</row>
    <row r="77" spans="15:73"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</row>
    <row r="78" spans="15:73"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</row>
    <row r="79" spans="15:73"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</row>
    <row r="80" spans="15:73"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</row>
    <row r="81" spans="15:73"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</row>
    <row r="82" spans="15:73"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</row>
    <row r="83" spans="15:73"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</row>
    <row r="84" spans="15:73"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</row>
    <row r="85" spans="15:73"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</row>
    <row r="86" spans="15:73"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</row>
    <row r="87" spans="15:73"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</row>
    <row r="88" spans="15:73"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</row>
    <row r="89" spans="15:73"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</row>
    <row r="90" spans="15:73"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</row>
    <row r="91" spans="15:73"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</row>
    <row r="92" spans="15:73"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</row>
    <row r="93" spans="15:73"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</row>
    <row r="94" spans="15:73"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</row>
    <row r="95" spans="15:73"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</row>
    <row r="96" spans="15:73"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</row>
    <row r="97" spans="15:73"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</row>
    <row r="98" spans="15:73"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</row>
    <row r="99" spans="15:73"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</row>
    <row r="100" spans="15:73"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</row>
    <row r="101" spans="15:73"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</row>
    <row r="102" spans="15:73"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</row>
    <row r="103" spans="15:73"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</row>
    <row r="104" spans="15:73"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</row>
    <row r="105" spans="15:73"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</row>
    <row r="106" spans="15:73"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</row>
    <row r="107" spans="15:73"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</row>
    <row r="108" spans="15:73"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</row>
    <row r="109" spans="15:73"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</row>
    <row r="110" spans="15:73"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</row>
    <row r="111" spans="15:73"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</row>
    <row r="112" spans="15:73"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</row>
    <row r="113" spans="15:73"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</row>
    <row r="114" spans="15:73"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</row>
    <row r="115" spans="15:73"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</row>
    <row r="116" spans="15:73"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</row>
    <row r="117" spans="15:73"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</row>
    <row r="118" spans="15:73"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</row>
    <row r="119" spans="15:73"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</row>
    <row r="120" spans="15:73"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</row>
    <row r="121" spans="15:73"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</row>
    <row r="122" spans="15:73"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</row>
    <row r="123" spans="15:73"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</row>
    <row r="124" spans="15:73"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</row>
    <row r="125" spans="15:73"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</row>
    <row r="126" spans="15:73"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</row>
    <row r="127" spans="15:73"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</row>
    <row r="128" spans="15:73"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</row>
    <row r="129" spans="15:73"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</row>
    <row r="130" spans="15:73"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</row>
    <row r="131" spans="15:73"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</row>
    <row r="132" spans="15:73"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</row>
    <row r="133" spans="15:73"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</row>
    <row r="134" spans="15:73"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</row>
    <row r="135" spans="15:73"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</row>
    <row r="136" spans="15:73"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</row>
    <row r="137" spans="15:73"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</row>
    <row r="138" spans="15:73"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</row>
    <row r="139" spans="15:73"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</row>
    <row r="140" spans="15:73"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</row>
    <row r="141" spans="15:73"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</row>
    <row r="142" spans="15:73"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</row>
    <row r="143" spans="15:73"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</row>
    <row r="144" spans="15:73"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</row>
    <row r="145" spans="15:73"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</row>
    <row r="146" spans="15:73"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</row>
    <row r="147" spans="15:73"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</row>
    <row r="148" spans="15:73"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</row>
    <row r="149" spans="15:73"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</row>
    <row r="150" spans="15:73"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</row>
    <row r="151" spans="15:73"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</row>
    <row r="152" spans="15:73"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</row>
    <row r="153" spans="15:73"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</row>
    <row r="154" spans="15:73"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</row>
    <row r="155" spans="15:73"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</row>
    <row r="156" spans="15:73"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</row>
    <row r="157" spans="15:73"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</row>
    <row r="158" spans="15:73"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</row>
    <row r="159" spans="15:73"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</row>
    <row r="160" spans="15:73"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</row>
    <row r="161" spans="15:73"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</row>
    <row r="162" spans="15:73"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</row>
    <row r="163" spans="15:73"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</row>
    <row r="164" spans="15:73"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</row>
    <row r="165" spans="15:73"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</row>
    <row r="166" spans="15:73"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</row>
    <row r="167" spans="15:73"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</row>
    <row r="168" spans="15:73"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</row>
    <row r="169" spans="15:73"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</row>
    <row r="170" spans="15:73"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</row>
    <row r="171" spans="15:73"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</row>
    <row r="172" spans="15:73"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</row>
    <row r="173" spans="15:73"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</row>
    <row r="174" spans="15:73"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</row>
    <row r="175" spans="15:73"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</row>
    <row r="176" spans="15:73"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</row>
    <row r="177" spans="15:73"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</row>
    <row r="178" spans="15:73"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</row>
    <row r="179" spans="15:73"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</row>
    <row r="180" spans="15:73"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</row>
    <row r="181" spans="15:73"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</row>
    <row r="182" spans="15:73"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</row>
    <row r="183" spans="15:73"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</row>
    <row r="184" spans="15:73"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</row>
    <row r="185" spans="15:73"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</row>
    <row r="186" spans="15:73"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</row>
    <row r="187" spans="15:73"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</row>
    <row r="188" spans="15:73"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</row>
    <row r="189" spans="15:73"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</row>
    <row r="190" spans="15:73"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</row>
    <row r="191" spans="15:73"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</row>
    <row r="192" spans="15:73"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</row>
    <row r="193" spans="15:73"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</row>
    <row r="194" spans="15:73"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</row>
    <row r="195" spans="15:73"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</row>
    <row r="196" spans="15:73"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</row>
    <row r="197" spans="15:73"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</row>
    <row r="198" spans="15:73"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</row>
    <row r="199" spans="15:73"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</row>
    <row r="200" spans="15:73"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</row>
    <row r="201" spans="15:73"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</row>
    <row r="202" spans="15:73"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</row>
    <row r="203" spans="15:73"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</row>
    <row r="204" spans="15:73"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</row>
    <row r="205" spans="15:73"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</row>
    <row r="206" spans="15:73"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</row>
    <row r="207" spans="15:73"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</row>
    <row r="208" spans="15:73"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</row>
    <row r="209" spans="15:73"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</row>
    <row r="210" spans="15:73"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</row>
    <row r="211" spans="15:73"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</row>
    <row r="212" spans="15:73"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</row>
    <row r="213" spans="15:73"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</row>
    <row r="214" spans="15:73"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</row>
    <row r="215" spans="15:73"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</row>
    <row r="216" spans="15:73"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</row>
    <row r="217" spans="15:73"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</row>
    <row r="218" spans="15:73"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</row>
    <row r="219" spans="15:73"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</row>
    <row r="220" spans="15:73"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</row>
    <row r="221" spans="15:73"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</row>
    <row r="222" spans="15:73"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</row>
    <row r="223" spans="15:73"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</row>
    <row r="224" spans="15:73"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</row>
    <row r="225" spans="15:73"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</row>
    <row r="226" spans="15:73"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</row>
    <row r="227" spans="15:73"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</row>
    <row r="228" spans="15:73"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</row>
    <row r="229" spans="15:73"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</row>
    <row r="230" spans="15:73"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</row>
    <row r="231" spans="15:73"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</row>
    <row r="232" spans="15:73"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</row>
    <row r="233" spans="15:73"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</row>
    <row r="234" spans="15:73"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</row>
    <row r="235" spans="15:73"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</row>
    <row r="236" spans="15:73"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</row>
    <row r="237" spans="15:73"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</row>
    <row r="238" spans="15:73"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</row>
    <row r="239" spans="15:73"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</row>
    <row r="240" spans="15:73"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</row>
    <row r="241" spans="15:73"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</row>
    <row r="242" spans="15:73"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</row>
    <row r="243" spans="15:73"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</row>
    <row r="244" spans="15:73"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</row>
    <row r="245" spans="15:73"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</row>
    <row r="246" spans="15:73"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</row>
    <row r="247" spans="15:73"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</row>
    <row r="248" spans="15:73"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</row>
    <row r="249" spans="15:73"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</row>
    <row r="250" spans="15:73"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</row>
    <row r="251" spans="15:73"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</row>
    <row r="252" spans="15:73"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</row>
    <row r="253" spans="15:73"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</row>
    <row r="254" spans="15:73"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</row>
    <row r="255" spans="15:73"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</row>
    <row r="256" spans="15:73"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</row>
    <row r="257" spans="15:73"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</row>
    <row r="258" spans="15:73"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</row>
    <row r="259" spans="15:73"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</row>
    <row r="260" spans="15:73"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</row>
    <row r="261" spans="15:73"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</row>
    <row r="262" spans="15:73"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</row>
    <row r="263" spans="15:73"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</row>
    <row r="264" spans="15:73"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</row>
    <row r="265" spans="15:73"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</row>
    <row r="266" spans="15:73"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</row>
    <row r="267" spans="15:73"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</row>
    <row r="268" spans="15:73"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</row>
    <row r="269" spans="15:73"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</row>
    <row r="270" spans="15:73"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</row>
    <row r="271" spans="15:73"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</row>
    <row r="272" spans="15:73"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</row>
    <row r="273" spans="15:73"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</row>
    <row r="274" spans="15:73"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</row>
    <row r="275" spans="15:73"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</row>
    <row r="276" spans="15:73"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  <c r="BO276" s="95"/>
      <c r="BP276" s="95"/>
      <c r="BQ276" s="95"/>
      <c r="BR276" s="95"/>
      <c r="BS276" s="95"/>
      <c r="BT276" s="95"/>
      <c r="BU276" s="95"/>
    </row>
    <row r="277" spans="15:73"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  <c r="BO277" s="95"/>
      <c r="BP277" s="95"/>
      <c r="BQ277" s="95"/>
      <c r="BR277" s="95"/>
      <c r="BS277" s="95"/>
      <c r="BT277" s="95"/>
      <c r="BU277" s="95"/>
    </row>
    <row r="278" spans="15:73"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  <c r="BO278" s="95"/>
      <c r="BP278" s="95"/>
      <c r="BQ278" s="95"/>
      <c r="BR278" s="95"/>
      <c r="BS278" s="95"/>
      <c r="BT278" s="95"/>
      <c r="BU278" s="95"/>
    </row>
    <row r="279" spans="15:73"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</row>
    <row r="280" spans="15:73"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</row>
    <row r="281" spans="15:73"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</row>
    <row r="282" spans="15:73"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</row>
    <row r="283" spans="15:73"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</row>
    <row r="284" spans="15:73"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</row>
    <row r="285" spans="15:73"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</row>
    <row r="286" spans="15:73"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</row>
    <row r="287" spans="15:73"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</row>
    <row r="288" spans="15:73"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</row>
    <row r="289" spans="15:73"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</row>
    <row r="290" spans="15:73"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</row>
    <row r="291" spans="15:73"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</row>
    <row r="292" spans="15:73"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</row>
    <row r="293" spans="15:73"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</row>
    <row r="294" spans="15:73"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</row>
    <row r="295" spans="15:73"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</row>
    <row r="296" spans="15:73"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</row>
    <row r="297" spans="15:73"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</row>
    <row r="298" spans="15:73"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</row>
    <row r="299" spans="15:73"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</row>
    <row r="300" spans="15:73"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</row>
    <row r="301" spans="15:73"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</row>
    <row r="302" spans="15:73"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</row>
    <row r="303" spans="15:73"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</row>
    <row r="304" spans="15:73"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</row>
    <row r="305" spans="15:73"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</row>
    <row r="306" spans="15:73"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</row>
    <row r="307" spans="15:73"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</row>
    <row r="308" spans="15:73"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</row>
    <row r="309" spans="15:73"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</row>
    <row r="310" spans="15:73"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</row>
    <row r="311" spans="15:73"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</row>
    <row r="312" spans="15:73"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</row>
    <row r="313" spans="15:73"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</row>
    <row r="314" spans="15:73"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</row>
    <row r="315" spans="15:73"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</row>
    <row r="316" spans="15:73"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</row>
    <row r="317" spans="15:73"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</row>
    <row r="318" spans="15:73"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</row>
    <row r="319" spans="15:73"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</row>
    <row r="320" spans="15:73"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</row>
    <row r="321" spans="15:73"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</row>
    <row r="322" spans="15:73"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</row>
    <row r="323" spans="15:73"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</row>
    <row r="324" spans="15:73"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</row>
    <row r="325" spans="15:73"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</row>
    <row r="326" spans="15:73"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</row>
    <row r="327" spans="15:73"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</row>
    <row r="328" spans="15:73"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</row>
    <row r="329" spans="15:73"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</row>
    <row r="330" spans="15:73"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</row>
    <row r="331" spans="15:73"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</row>
    <row r="332" spans="15:73"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</row>
    <row r="333" spans="15:73"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</row>
    <row r="334" spans="15:73"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</row>
    <row r="335" spans="15:73"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</row>
    <row r="336" spans="15:73"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</row>
    <row r="337" spans="15:73"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</row>
    <row r="338" spans="15:73"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</row>
    <row r="339" spans="15:73"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</row>
    <row r="340" spans="15:73"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</row>
    <row r="341" spans="15:73"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</row>
    <row r="342" spans="15:73"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</row>
    <row r="343" spans="15:73"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</row>
    <row r="344" spans="15:73"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</row>
    <row r="345" spans="15:73"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</row>
    <row r="346" spans="15:73"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</row>
    <row r="347" spans="15:73"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</row>
    <row r="348" spans="15:73"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</row>
    <row r="349" spans="15:73"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</row>
    <row r="350" spans="15:73"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</row>
    <row r="351" spans="15:73"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</row>
    <row r="352" spans="15:73"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  <c r="BO352" s="95"/>
      <c r="BP352" s="95"/>
      <c r="BQ352" s="95"/>
      <c r="BR352" s="95"/>
      <c r="BS352" s="95"/>
      <c r="BT352" s="95"/>
      <c r="BU352" s="95"/>
    </row>
    <row r="353" spans="15:73"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  <c r="BO353" s="95"/>
      <c r="BP353" s="95"/>
      <c r="BQ353" s="95"/>
      <c r="BR353" s="95"/>
      <c r="BS353" s="95"/>
      <c r="BT353" s="95"/>
      <c r="BU353" s="95"/>
    </row>
    <row r="354" spans="15:73"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</row>
    <row r="355" spans="15:73"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</row>
    <row r="356" spans="15:73"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</row>
    <row r="357" spans="15:73"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  <c r="BO357" s="95"/>
      <c r="BP357" s="95"/>
      <c r="BQ357" s="95"/>
      <c r="BR357" s="95"/>
      <c r="BS357" s="95"/>
      <c r="BT357" s="95"/>
      <c r="BU357" s="95"/>
    </row>
    <row r="358" spans="15:73"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  <c r="BO358" s="95"/>
      <c r="BP358" s="95"/>
      <c r="BQ358" s="95"/>
      <c r="BR358" s="95"/>
      <c r="BS358" s="95"/>
      <c r="BT358" s="95"/>
      <c r="BU358" s="95"/>
    </row>
    <row r="359" spans="15:73"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</row>
    <row r="360" spans="15:73"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</row>
    <row r="361" spans="15:73"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</row>
    <row r="362" spans="15:73"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  <c r="BO362" s="95"/>
      <c r="BP362" s="95"/>
      <c r="BQ362" s="95"/>
      <c r="BR362" s="95"/>
      <c r="BS362" s="95"/>
      <c r="BT362" s="95"/>
      <c r="BU362" s="95"/>
    </row>
    <row r="363" spans="15:73"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  <c r="BO363" s="95"/>
      <c r="BP363" s="95"/>
      <c r="BQ363" s="95"/>
      <c r="BR363" s="95"/>
      <c r="BS363" s="95"/>
      <c r="BT363" s="95"/>
      <c r="BU363" s="95"/>
    </row>
    <row r="364" spans="15:73"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  <c r="BO364" s="95"/>
      <c r="BP364" s="95"/>
      <c r="BQ364" s="95"/>
      <c r="BR364" s="95"/>
      <c r="BS364" s="95"/>
      <c r="BT364" s="95"/>
      <c r="BU364" s="95"/>
    </row>
    <row r="365" spans="15:73"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  <c r="BO365" s="95"/>
      <c r="BP365" s="95"/>
      <c r="BQ365" s="95"/>
      <c r="BR365" s="95"/>
      <c r="BS365" s="95"/>
      <c r="BT365" s="95"/>
      <c r="BU365" s="95"/>
    </row>
    <row r="366" spans="15:73"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  <c r="BO366" s="95"/>
      <c r="BP366" s="95"/>
      <c r="BQ366" s="95"/>
      <c r="BR366" s="95"/>
      <c r="BS366" s="95"/>
      <c r="BT366" s="95"/>
      <c r="BU366" s="95"/>
    </row>
    <row r="367" spans="15:73"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  <c r="BO367" s="95"/>
      <c r="BP367" s="95"/>
      <c r="BQ367" s="95"/>
      <c r="BR367" s="95"/>
      <c r="BS367" s="95"/>
      <c r="BT367" s="95"/>
      <c r="BU367" s="95"/>
    </row>
    <row r="368" spans="15:73"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  <c r="BO368" s="95"/>
      <c r="BP368" s="95"/>
      <c r="BQ368" s="95"/>
      <c r="BR368" s="95"/>
      <c r="BS368" s="95"/>
      <c r="BT368" s="95"/>
      <c r="BU368" s="95"/>
    </row>
    <row r="369" spans="15:73"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  <c r="BO369" s="95"/>
      <c r="BP369" s="95"/>
      <c r="BQ369" s="95"/>
      <c r="BR369" s="95"/>
      <c r="BS369" s="95"/>
      <c r="BT369" s="95"/>
      <c r="BU369" s="95"/>
    </row>
    <row r="370" spans="15:73"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  <c r="BO370" s="95"/>
      <c r="BP370" s="95"/>
      <c r="BQ370" s="95"/>
      <c r="BR370" s="95"/>
      <c r="BS370" s="95"/>
      <c r="BT370" s="95"/>
      <c r="BU370" s="95"/>
    </row>
    <row r="371" spans="15:73"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  <c r="BO371" s="95"/>
      <c r="BP371" s="95"/>
      <c r="BQ371" s="95"/>
      <c r="BR371" s="95"/>
      <c r="BS371" s="95"/>
      <c r="BT371" s="95"/>
      <c r="BU371" s="95"/>
    </row>
    <row r="372" spans="15:73"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  <c r="BO372" s="95"/>
      <c r="BP372" s="95"/>
      <c r="BQ372" s="95"/>
      <c r="BR372" s="95"/>
      <c r="BS372" s="95"/>
      <c r="BT372" s="95"/>
      <c r="BU372" s="95"/>
    </row>
    <row r="373" spans="15:73"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  <c r="BO373" s="95"/>
      <c r="BP373" s="95"/>
      <c r="BQ373" s="95"/>
      <c r="BR373" s="95"/>
      <c r="BS373" s="95"/>
      <c r="BT373" s="95"/>
      <c r="BU373" s="95"/>
    </row>
    <row r="374" spans="15:73"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</row>
    <row r="375" spans="15:73"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</row>
    <row r="376" spans="15:73"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</row>
    <row r="377" spans="15:73"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</row>
    <row r="378" spans="15:73"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</row>
    <row r="379" spans="15:73"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</row>
    <row r="380" spans="15:73"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</row>
    <row r="381" spans="15:73"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</row>
    <row r="382" spans="15:73"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</row>
    <row r="383" spans="15:73"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</row>
    <row r="384" spans="15:73"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</row>
    <row r="385" spans="15:73"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</row>
    <row r="386" spans="15:73"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</row>
    <row r="387" spans="15:73"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</row>
    <row r="388" spans="15:73"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</row>
    <row r="389" spans="15:73"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</row>
    <row r="390" spans="15:73"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</row>
    <row r="391" spans="15:73"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</row>
    <row r="392" spans="15:73"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</row>
    <row r="393" spans="15:73"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</row>
    <row r="394" spans="15:73"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</row>
    <row r="395" spans="15:73"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</row>
    <row r="396" spans="15:73"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</row>
    <row r="397" spans="15:73"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</row>
    <row r="398" spans="15:73"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</row>
    <row r="399" spans="15:73"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</row>
    <row r="400" spans="15:73"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</row>
    <row r="401" spans="15:73"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</row>
    <row r="402" spans="15:73"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</row>
    <row r="403" spans="15:73"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</row>
    <row r="404" spans="15:73"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</row>
    <row r="405" spans="15:73"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</row>
    <row r="406" spans="15:73"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</row>
    <row r="407" spans="15:73"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</row>
    <row r="408" spans="15:73"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</row>
    <row r="409" spans="15:73"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</row>
    <row r="410" spans="15:73"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</row>
    <row r="411" spans="15:73"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  <c r="BO411" s="95"/>
      <c r="BP411" s="95"/>
      <c r="BQ411" s="95"/>
      <c r="BR411" s="95"/>
      <c r="BS411" s="95"/>
      <c r="BT411" s="95"/>
      <c r="BU411" s="95"/>
    </row>
    <row r="412" spans="15:73"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  <c r="BO412" s="95"/>
      <c r="BP412" s="95"/>
      <c r="BQ412" s="95"/>
      <c r="BR412" s="95"/>
      <c r="BS412" s="95"/>
      <c r="BT412" s="95"/>
      <c r="BU412" s="95"/>
    </row>
    <row r="413" spans="15:73"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  <c r="BO413" s="95"/>
      <c r="BP413" s="95"/>
      <c r="BQ413" s="95"/>
      <c r="BR413" s="95"/>
      <c r="BS413" s="95"/>
      <c r="BT413" s="95"/>
      <c r="BU413" s="95"/>
    </row>
    <row r="414" spans="15:73"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  <c r="BO414" s="95"/>
      <c r="BP414" s="95"/>
      <c r="BQ414" s="95"/>
      <c r="BR414" s="95"/>
      <c r="BS414" s="95"/>
      <c r="BT414" s="95"/>
      <c r="BU414" s="95"/>
    </row>
    <row r="415" spans="15:73"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  <c r="BO415" s="95"/>
      <c r="BP415" s="95"/>
      <c r="BQ415" s="95"/>
      <c r="BR415" s="95"/>
      <c r="BS415" s="95"/>
      <c r="BT415" s="95"/>
      <c r="BU415" s="95"/>
    </row>
    <row r="416" spans="15:73"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  <c r="BO416" s="95"/>
      <c r="BP416" s="95"/>
      <c r="BQ416" s="95"/>
      <c r="BR416" s="95"/>
      <c r="BS416" s="95"/>
      <c r="BT416" s="95"/>
      <c r="BU416" s="95"/>
    </row>
    <row r="417" spans="15:73"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  <c r="BO417" s="95"/>
      <c r="BP417" s="95"/>
      <c r="BQ417" s="95"/>
      <c r="BR417" s="95"/>
      <c r="BS417" s="95"/>
      <c r="BT417" s="95"/>
      <c r="BU417" s="95"/>
    </row>
    <row r="418" spans="15:73"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  <c r="BO418" s="95"/>
      <c r="BP418" s="95"/>
      <c r="BQ418" s="95"/>
      <c r="BR418" s="95"/>
      <c r="BS418" s="95"/>
      <c r="BT418" s="95"/>
      <c r="BU418" s="95"/>
    </row>
    <row r="419" spans="15:73"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  <c r="BO419" s="95"/>
      <c r="BP419" s="95"/>
      <c r="BQ419" s="95"/>
      <c r="BR419" s="95"/>
      <c r="BS419" s="95"/>
      <c r="BT419" s="95"/>
      <c r="BU419" s="95"/>
    </row>
    <row r="420" spans="15:73"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  <c r="BO420" s="95"/>
      <c r="BP420" s="95"/>
      <c r="BQ420" s="95"/>
      <c r="BR420" s="95"/>
      <c r="BS420" s="95"/>
      <c r="BT420" s="95"/>
      <c r="BU420" s="95"/>
    </row>
    <row r="421" spans="15:73"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  <c r="BO421" s="95"/>
      <c r="BP421" s="95"/>
      <c r="BQ421" s="95"/>
      <c r="BR421" s="95"/>
      <c r="BS421" s="95"/>
      <c r="BT421" s="95"/>
      <c r="BU421" s="95"/>
    </row>
    <row r="422" spans="15:73"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  <c r="BO422" s="95"/>
      <c r="BP422" s="95"/>
      <c r="BQ422" s="95"/>
      <c r="BR422" s="95"/>
      <c r="BS422" s="95"/>
      <c r="BT422" s="95"/>
      <c r="BU422" s="95"/>
    </row>
    <row r="423" spans="15:73"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  <c r="BO423" s="95"/>
      <c r="BP423" s="95"/>
      <c r="BQ423" s="95"/>
      <c r="BR423" s="95"/>
      <c r="BS423" s="95"/>
      <c r="BT423" s="95"/>
      <c r="BU423" s="95"/>
    </row>
    <row r="424" spans="15:73"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  <c r="BO424" s="95"/>
      <c r="BP424" s="95"/>
      <c r="BQ424" s="95"/>
      <c r="BR424" s="95"/>
      <c r="BS424" s="95"/>
      <c r="BT424" s="95"/>
      <c r="BU424" s="95"/>
    </row>
    <row r="425" spans="15:73"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  <c r="BO425" s="95"/>
      <c r="BP425" s="95"/>
      <c r="BQ425" s="95"/>
      <c r="BR425" s="95"/>
      <c r="BS425" s="95"/>
      <c r="BT425" s="95"/>
      <c r="BU425" s="95"/>
    </row>
    <row r="426" spans="15:73"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  <c r="BO426" s="95"/>
      <c r="BP426" s="95"/>
      <c r="BQ426" s="95"/>
      <c r="BR426" s="95"/>
      <c r="BS426" s="95"/>
      <c r="BT426" s="95"/>
      <c r="BU426" s="95"/>
    </row>
    <row r="427" spans="15:73"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  <c r="BO427" s="95"/>
      <c r="BP427" s="95"/>
      <c r="BQ427" s="95"/>
      <c r="BR427" s="95"/>
      <c r="BS427" s="95"/>
      <c r="BT427" s="95"/>
      <c r="BU427" s="95"/>
    </row>
    <row r="428" spans="15:73"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  <c r="BO428" s="95"/>
      <c r="BP428" s="95"/>
      <c r="BQ428" s="95"/>
      <c r="BR428" s="95"/>
      <c r="BS428" s="95"/>
      <c r="BT428" s="95"/>
      <c r="BU428" s="95"/>
    </row>
    <row r="429" spans="15:73"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  <c r="BG429" s="95"/>
      <c r="BH429" s="95"/>
      <c r="BI429" s="95"/>
      <c r="BJ429" s="95"/>
      <c r="BK429" s="95"/>
      <c r="BL429" s="95"/>
      <c r="BM429" s="95"/>
      <c r="BN429" s="95"/>
      <c r="BO429" s="95"/>
      <c r="BP429" s="95"/>
      <c r="BQ429" s="95"/>
      <c r="BR429" s="95"/>
      <c r="BS429" s="95"/>
      <c r="BT429" s="95"/>
      <c r="BU429" s="95"/>
    </row>
    <row r="430" spans="15:73"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  <c r="BG430" s="95"/>
      <c r="BH430" s="95"/>
      <c r="BI430" s="95"/>
      <c r="BJ430" s="95"/>
      <c r="BK430" s="95"/>
      <c r="BL430" s="95"/>
      <c r="BM430" s="95"/>
      <c r="BN430" s="95"/>
      <c r="BO430" s="95"/>
      <c r="BP430" s="95"/>
      <c r="BQ430" s="95"/>
      <c r="BR430" s="95"/>
      <c r="BS430" s="95"/>
      <c r="BT430" s="95"/>
      <c r="BU430" s="95"/>
    </row>
    <row r="431" spans="15:73"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  <c r="BO431" s="95"/>
      <c r="BP431" s="95"/>
      <c r="BQ431" s="95"/>
      <c r="BR431" s="95"/>
      <c r="BS431" s="95"/>
      <c r="BT431" s="95"/>
      <c r="BU431" s="95"/>
    </row>
    <row r="432" spans="15:73"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  <c r="BO432" s="95"/>
      <c r="BP432" s="95"/>
      <c r="BQ432" s="95"/>
      <c r="BR432" s="95"/>
      <c r="BS432" s="95"/>
      <c r="BT432" s="95"/>
      <c r="BU432" s="95"/>
    </row>
    <row r="433" spans="15:73"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  <c r="BO433" s="95"/>
      <c r="BP433" s="95"/>
      <c r="BQ433" s="95"/>
      <c r="BR433" s="95"/>
      <c r="BS433" s="95"/>
      <c r="BT433" s="95"/>
      <c r="BU433" s="95"/>
    </row>
    <row r="434" spans="15:73"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  <c r="BO434" s="95"/>
      <c r="BP434" s="95"/>
      <c r="BQ434" s="95"/>
      <c r="BR434" s="95"/>
      <c r="BS434" s="95"/>
      <c r="BT434" s="95"/>
      <c r="BU434" s="95"/>
    </row>
    <row r="435" spans="15:73"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  <c r="BG435" s="95"/>
      <c r="BH435" s="95"/>
      <c r="BI435" s="95"/>
      <c r="BJ435" s="95"/>
      <c r="BK435" s="95"/>
      <c r="BL435" s="95"/>
      <c r="BM435" s="95"/>
      <c r="BN435" s="95"/>
      <c r="BO435" s="95"/>
      <c r="BP435" s="95"/>
      <c r="BQ435" s="95"/>
      <c r="BR435" s="95"/>
      <c r="BS435" s="95"/>
      <c r="BT435" s="95"/>
      <c r="BU435" s="95"/>
    </row>
    <row r="436" spans="15:73"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  <c r="BG436" s="95"/>
      <c r="BH436" s="95"/>
      <c r="BI436" s="95"/>
      <c r="BJ436" s="95"/>
      <c r="BK436" s="95"/>
      <c r="BL436" s="95"/>
      <c r="BM436" s="95"/>
      <c r="BN436" s="95"/>
      <c r="BO436" s="95"/>
      <c r="BP436" s="95"/>
      <c r="BQ436" s="95"/>
      <c r="BR436" s="95"/>
      <c r="BS436" s="95"/>
      <c r="BT436" s="95"/>
      <c r="BU436" s="95"/>
    </row>
    <row r="437" spans="15:73"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  <c r="BG437" s="95"/>
      <c r="BH437" s="95"/>
      <c r="BI437" s="95"/>
      <c r="BJ437" s="95"/>
      <c r="BK437" s="95"/>
      <c r="BL437" s="95"/>
      <c r="BM437" s="95"/>
      <c r="BN437" s="95"/>
      <c r="BO437" s="95"/>
      <c r="BP437" s="95"/>
      <c r="BQ437" s="95"/>
      <c r="BR437" s="95"/>
      <c r="BS437" s="95"/>
      <c r="BT437" s="95"/>
      <c r="BU437" s="95"/>
    </row>
    <row r="438" spans="15:73"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  <c r="BG438" s="95"/>
      <c r="BH438" s="95"/>
      <c r="BI438" s="95"/>
      <c r="BJ438" s="95"/>
      <c r="BK438" s="95"/>
      <c r="BL438" s="95"/>
      <c r="BM438" s="95"/>
      <c r="BN438" s="95"/>
      <c r="BO438" s="95"/>
      <c r="BP438" s="95"/>
      <c r="BQ438" s="95"/>
      <c r="BR438" s="95"/>
      <c r="BS438" s="95"/>
      <c r="BT438" s="95"/>
      <c r="BU438" s="95"/>
    </row>
    <row r="439" spans="15:73"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  <c r="BG439" s="95"/>
      <c r="BH439" s="95"/>
      <c r="BI439" s="95"/>
      <c r="BJ439" s="95"/>
      <c r="BK439" s="95"/>
      <c r="BL439" s="95"/>
      <c r="BM439" s="95"/>
      <c r="BN439" s="95"/>
      <c r="BO439" s="95"/>
      <c r="BP439" s="95"/>
      <c r="BQ439" s="95"/>
      <c r="BR439" s="95"/>
      <c r="BS439" s="95"/>
      <c r="BT439" s="95"/>
      <c r="BU439" s="95"/>
    </row>
    <row r="440" spans="15:73"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  <c r="BO440" s="95"/>
      <c r="BP440" s="95"/>
      <c r="BQ440" s="95"/>
      <c r="BR440" s="95"/>
      <c r="BS440" s="95"/>
      <c r="BT440" s="95"/>
      <c r="BU440" s="95"/>
    </row>
    <row r="441" spans="15:73"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  <c r="BO441" s="95"/>
      <c r="BP441" s="95"/>
      <c r="BQ441" s="95"/>
      <c r="BR441" s="95"/>
      <c r="BS441" s="95"/>
      <c r="BT441" s="95"/>
      <c r="BU441" s="95"/>
    </row>
    <row r="442" spans="15:73"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  <c r="BO442" s="95"/>
      <c r="BP442" s="95"/>
      <c r="BQ442" s="95"/>
      <c r="BR442" s="95"/>
      <c r="BS442" s="95"/>
      <c r="BT442" s="95"/>
      <c r="BU442" s="95"/>
    </row>
    <row r="443" spans="15:73"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  <c r="BO443" s="95"/>
      <c r="BP443" s="95"/>
      <c r="BQ443" s="95"/>
      <c r="BR443" s="95"/>
      <c r="BS443" s="95"/>
      <c r="BT443" s="95"/>
      <c r="BU443" s="95"/>
    </row>
    <row r="444" spans="15:73"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  <c r="BO444" s="95"/>
      <c r="BP444" s="95"/>
      <c r="BQ444" s="95"/>
      <c r="BR444" s="95"/>
      <c r="BS444" s="95"/>
      <c r="BT444" s="95"/>
      <c r="BU444" s="95"/>
    </row>
    <row r="445" spans="15:73"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  <c r="BG445" s="95"/>
      <c r="BH445" s="95"/>
      <c r="BI445" s="95"/>
      <c r="BJ445" s="95"/>
      <c r="BK445" s="95"/>
      <c r="BL445" s="95"/>
      <c r="BM445" s="95"/>
      <c r="BN445" s="95"/>
      <c r="BO445" s="95"/>
      <c r="BP445" s="95"/>
      <c r="BQ445" s="95"/>
      <c r="BR445" s="95"/>
      <c r="BS445" s="95"/>
      <c r="BT445" s="95"/>
      <c r="BU445" s="95"/>
    </row>
    <row r="446" spans="15:73"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  <c r="BH446" s="95"/>
      <c r="BI446" s="95"/>
      <c r="BJ446" s="95"/>
      <c r="BK446" s="95"/>
      <c r="BL446" s="95"/>
      <c r="BM446" s="95"/>
      <c r="BN446" s="95"/>
      <c r="BO446" s="95"/>
      <c r="BP446" s="95"/>
      <c r="BQ446" s="95"/>
      <c r="BR446" s="95"/>
      <c r="BS446" s="95"/>
      <c r="BT446" s="95"/>
      <c r="BU446" s="95"/>
    </row>
    <row r="447" spans="15:73"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  <c r="BG447" s="95"/>
      <c r="BH447" s="95"/>
      <c r="BI447" s="95"/>
      <c r="BJ447" s="95"/>
      <c r="BK447" s="95"/>
      <c r="BL447" s="95"/>
      <c r="BM447" s="95"/>
      <c r="BN447" s="95"/>
      <c r="BO447" s="95"/>
      <c r="BP447" s="95"/>
      <c r="BQ447" s="95"/>
      <c r="BR447" s="95"/>
      <c r="BS447" s="95"/>
      <c r="BT447" s="95"/>
      <c r="BU447" s="95"/>
    </row>
    <row r="448" spans="15:73"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  <c r="BO448" s="95"/>
      <c r="BP448" s="95"/>
      <c r="BQ448" s="95"/>
      <c r="BR448" s="95"/>
      <c r="BS448" s="95"/>
      <c r="BT448" s="95"/>
      <c r="BU448" s="95"/>
    </row>
    <row r="449" spans="15:73"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  <c r="BG449" s="95"/>
      <c r="BH449" s="95"/>
      <c r="BI449" s="95"/>
      <c r="BJ449" s="95"/>
      <c r="BK449" s="95"/>
      <c r="BL449" s="95"/>
      <c r="BM449" s="95"/>
      <c r="BN449" s="95"/>
      <c r="BO449" s="95"/>
      <c r="BP449" s="95"/>
      <c r="BQ449" s="95"/>
      <c r="BR449" s="95"/>
      <c r="BS449" s="95"/>
      <c r="BT449" s="95"/>
      <c r="BU449" s="95"/>
    </row>
    <row r="450" spans="15:73"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  <c r="BO450" s="95"/>
      <c r="BP450" s="95"/>
      <c r="BQ450" s="95"/>
      <c r="BR450" s="95"/>
      <c r="BS450" s="95"/>
      <c r="BT450" s="95"/>
      <c r="BU450" s="95"/>
    </row>
    <row r="451" spans="15:73"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  <c r="BO451" s="95"/>
      <c r="BP451" s="95"/>
      <c r="BQ451" s="95"/>
      <c r="BR451" s="95"/>
      <c r="BS451" s="95"/>
      <c r="BT451" s="95"/>
      <c r="BU451" s="95"/>
    </row>
    <row r="452" spans="15:73"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  <c r="BO452" s="95"/>
      <c r="BP452" s="95"/>
      <c r="BQ452" s="95"/>
      <c r="BR452" s="95"/>
      <c r="BS452" s="95"/>
      <c r="BT452" s="95"/>
      <c r="BU452" s="95"/>
    </row>
    <row r="453" spans="15:73"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  <c r="BO453" s="95"/>
      <c r="BP453" s="95"/>
      <c r="BQ453" s="95"/>
      <c r="BR453" s="95"/>
      <c r="BS453" s="95"/>
      <c r="BT453" s="95"/>
      <c r="BU453" s="95"/>
    </row>
    <row r="454" spans="15:73"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  <c r="BO454" s="95"/>
      <c r="BP454" s="95"/>
      <c r="BQ454" s="95"/>
      <c r="BR454" s="95"/>
      <c r="BS454" s="95"/>
      <c r="BT454" s="95"/>
      <c r="BU454" s="95"/>
    </row>
    <row r="455" spans="15:73"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  <c r="BG455" s="95"/>
      <c r="BH455" s="95"/>
      <c r="BI455" s="95"/>
      <c r="BJ455" s="95"/>
      <c r="BK455" s="95"/>
      <c r="BL455" s="95"/>
      <c r="BM455" s="95"/>
      <c r="BN455" s="95"/>
      <c r="BO455" s="95"/>
      <c r="BP455" s="95"/>
      <c r="BQ455" s="95"/>
      <c r="BR455" s="95"/>
      <c r="BS455" s="95"/>
      <c r="BT455" s="95"/>
      <c r="BU455" s="95"/>
    </row>
    <row r="456" spans="15:73"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  <c r="BG456" s="95"/>
      <c r="BH456" s="95"/>
      <c r="BI456" s="95"/>
      <c r="BJ456" s="95"/>
      <c r="BK456" s="95"/>
      <c r="BL456" s="95"/>
      <c r="BM456" s="95"/>
      <c r="BN456" s="95"/>
      <c r="BO456" s="95"/>
      <c r="BP456" s="95"/>
      <c r="BQ456" s="95"/>
      <c r="BR456" s="95"/>
      <c r="BS456" s="95"/>
      <c r="BT456" s="95"/>
      <c r="BU456" s="95"/>
    </row>
    <row r="457" spans="15:73"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  <c r="BG457" s="95"/>
      <c r="BH457" s="95"/>
      <c r="BI457" s="95"/>
      <c r="BJ457" s="95"/>
      <c r="BK457" s="95"/>
      <c r="BL457" s="95"/>
      <c r="BM457" s="95"/>
      <c r="BN457" s="95"/>
      <c r="BO457" s="95"/>
      <c r="BP457" s="95"/>
      <c r="BQ457" s="95"/>
      <c r="BR457" s="95"/>
      <c r="BS457" s="95"/>
      <c r="BT457" s="95"/>
      <c r="BU457" s="95"/>
    </row>
    <row r="458" spans="15:73"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  <c r="BG458" s="95"/>
      <c r="BH458" s="95"/>
      <c r="BI458" s="95"/>
      <c r="BJ458" s="95"/>
      <c r="BK458" s="95"/>
      <c r="BL458" s="95"/>
      <c r="BM458" s="95"/>
      <c r="BN458" s="95"/>
      <c r="BO458" s="95"/>
      <c r="BP458" s="95"/>
      <c r="BQ458" s="95"/>
      <c r="BR458" s="95"/>
      <c r="BS458" s="95"/>
      <c r="BT458" s="95"/>
      <c r="BU458" s="95"/>
    </row>
    <row r="459" spans="15:73"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  <c r="BG459" s="95"/>
      <c r="BH459" s="95"/>
      <c r="BI459" s="95"/>
      <c r="BJ459" s="95"/>
      <c r="BK459" s="95"/>
      <c r="BL459" s="95"/>
      <c r="BM459" s="95"/>
      <c r="BN459" s="95"/>
      <c r="BO459" s="95"/>
      <c r="BP459" s="95"/>
      <c r="BQ459" s="95"/>
      <c r="BR459" s="95"/>
      <c r="BS459" s="95"/>
      <c r="BT459" s="95"/>
      <c r="BU459" s="95"/>
    </row>
    <row r="460" spans="15:73"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  <c r="BG460" s="95"/>
      <c r="BH460" s="95"/>
      <c r="BI460" s="95"/>
      <c r="BJ460" s="95"/>
      <c r="BK460" s="95"/>
      <c r="BL460" s="95"/>
      <c r="BM460" s="95"/>
      <c r="BN460" s="95"/>
      <c r="BO460" s="95"/>
      <c r="BP460" s="95"/>
      <c r="BQ460" s="95"/>
      <c r="BR460" s="95"/>
      <c r="BS460" s="95"/>
      <c r="BT460" s="95"/>
      <c r="BU460" s="95"/>
    </row>
    <row r="461" spans="15:73"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  <c r="BG461" s="95"/>
      <c r="BH461" s="95"/>
      <c r="BI461" s="95"/>
      <c r="BJ461" s="95"/>
      <c r="BK461" s="95"/>
      <c r="BL461" s="95"/>
      <c r="BM461" s="95"/>
      <c r="BN461" s="95"/>
      <c r="BO461" s="95"/>
      <c r="BP461" s="95"/>
      <c r="BQ461" s="95"/>
      <c r="BR461" s="95"/>
      <c r="BS461" s="95"/>
      <c r="BT461" s="95"/>
      <c r="BU461" s="95"/>
    </row>
    <row r="462" spans="15:73"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  <c r="BG462" s="95"/>
      <c r="BH462" s="95"/>
      <c r="BI462" s="95"/>
      <c r="BJ462" s="95"/>
      <c r="BK462" s="95"/>
      <c r="BL462" s="95"/>
      <c r="BM462" s="95"/>
      <c r="BN462" s="95"/>
      <c r="BO462" s="95"/>
      <c r="BP462" s="95"/>
      <c r="BQ462" s="95"/>
      <c r="BR462" s="95"/>
      <c r="BS462" s="95"/>
      <c r="BT462" s="95"/>
      <c r="BU462" s="95"/>
    </row>
    <row r="463" spans="15:73"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  <c r="BG463" s="95"/>
      <c r="BH463" s="95"/>
      <c r="BI463" s="95"/>
      <c r="BJ463" s="95"/>
      <c r="BK463" s="95"/>
      <c r="BL463" s="95"/>
      <c r="BM463" s="95"/>
      <c r="BN463" s="95"/>
      <c r="BO463" s="95"/>
      <c r="BP463" s="95"/>
      <c r="BQ463" s="95"/>
      <c r="BR463" s="95"/>
      <c r="BS463" s="95"/>
      <c r="BT463" s="95"/>
      <c r="BU463" s="95"/>
    </row>
    <row r="464" spans="15:73"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  <c r="BG464" s="95"/>
      <c r="BH464" s="95"/>
      <c r="BI464" s="95"/>
      <c r="BJ464" s="95"/>
      <c r="BK464" s="95"/>
      <c r="BL464" s="95"/>
      <c r="BM464" s="95"/>
      <c r="BN464" s="95"/>
      <c r="BO464" s="95"/>
      <c r="BP464" s="95"/>
      <c r="BQ464" s="95"/>
      <c r="BR464" s="95"/>
      <c r="BS464" s="95"/>
      <c r="BT464" s="95"/>
      <c r="BU464" s="95"/>
    </row>
    <row r="465" spans="15:73"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  <c r="BE465" s="95"/>
      <c r="BF465" s="95"/>
      <c r="BG465" s="95"/>
      <c r="BH465" s="95"/>
      <c r="BI465" s="95"/>
      <c r="BJ465" s="95"/>
      <c r="BK465" s="95"/>
      <c r="BL465" s="95"/>
      <c r="BM465" s="95"/>
      <c r="BN465" s="95"/>
      <c r="BO465" s="95"/>
      <c r="BP465" s="95"/>
      <c r="BQ465" s="95"/>
      <c r="BR465" s="95"/>
      <c r="BS465" s="95"/>
      <c r="BT465" s="95"/>
      <c r="BU465" s="95"/>
    </row>
    <row r="466" spans="15:73"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  <c r="BE466" s="95"/>
      <c r="BF466" s="95"/>
      <c r="BG466" s="95"/>
      <c r="BH466" s="95"/>
      <c r="BI466" s="95"/>
      <c r="BJ466" s="95"/>
      <c r="BK466" s="95"/>
      <c r="BL466" s="95"/>
      <c r="BM466" s="95"/>
      <c r="BN466" s="95"/>
      <c r="BO466" s="95"/>
      <c r="BP466" s="95"/>
      <c r="BQ466" s="95"/>
      <c r="BR466" s="95"/>
      <c r="BS466" s="95"/>
      <c r="BT466" s="95"/>
      <c r="BU466" s="95"/>
    </row>
    <row r="467" spans="15:73"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  <c r="BE467" s="95"/>
      <c r="BF467" s="95"/>
      <c r="BG467" s="95"/>
      <c r="BH467" s="95"/>
      <c r="BI467" s="95"/>
      <c r="BJ467" s="95"/>
      <c r="BK467" s="95"/>
      <c r="BL467" s="95"/>
      <c r="BM467" s="95"/>
      <c r="BN467" s="95"/>
      <c r="BO467" s="95"/>
      <c r="BP467" s="95"/>
      <c r="BQ467" s="95"/>
      <c r="BR467" s="95"/>
      <c r="BS467" s="95"/>
      <c r="BT467" s="95"/>
      <c r="BU467" s="95"/>
    </row>
    <row r="468" spans="15:73"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  <c r="BE468" s="95"/>
      <c r="BF468" s="95"/>
      <c r="BG468" s="95"/>
      <c r="BH468" s="95"/>
      <c r="BI468" s="95"/>
      <c r="BJ468" s="95"/>
      <c r="BK468" s="95"/>
      <c r="BL468" s="95"/>
      <c r="BM468" s="95"/>
      <c r="BN468" s="95"/>
      <c r="BO468" s="95"/>
      <c r="BP468" s="95"/>
      <c r="BQ468" s="95"/>
      <c r="BR468" s="95"/>
      <c r="BS468" s="95"/>
      <c r="BT468" s="95"/>
      <c r="BU468" s="95"/>
    </row>
    <row r="469" spans="15:73"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  <c r="BE469" s="95"/>
      <c r="BF469" s="95"/>
      <c r="BG469" s="95"/>
      <c r="BH469" s="95"/>
      <c r="BI469" s="95"/>
      <c r="BJ469" s="95"/>
      <c r="BK469" s="95"/>
      <c r="BL469" s="95"/>
      <c r="BM469" s="95"/>
      <c r="BN469" s="95"/>
      <c r="BO469" s="95"/>
      <c r="BP469" s="95"/>
      <c r="BQ469" s="95"/>
      <c r="BR469" s="95"/>
      <c r="BS469" s="95"/>
      <c r="BT469" s="95"/>
      <c r="BU469" s="95"/>
    </row>
    <row r="470" spans="15:73"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  <c r="BG470" s="95"/>
      <c r="BH470" s="95"/>
      <c r="BI470" s="95"/>
      <c r="BJ470" s="95"/>
      <c r="BK470" s="95"/>
      <c r="BL470" s="95"/>
      <c r="BM470" s="95"/>
      <c r="BN470" s="95"/>
      <c r="BO470" s="95"/>
      <c r="BP470" s="95"/>
      <c r="BQ470" s="95"/>
      <c r="BR470" s="95"/>
      <c r="BS470" s="95"/>
      <c r="BT470" s="95"/>
      <c r="BU470" s="95"/>
    </row>
    <row r="471" spans="15:73"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  <c r="BG471" s="95"/>
      <c r="BH471" s="95"/>
      <c r="BI471" s="95"/>
      <c r="BJ471" s="95"/>
      <c r="BK471" s="95"/>
      <c r="BL471" s="95"/>
      <c r="BM471" s="95"/>
      <c r="BN471" s="95"/>
      <c r="BO471" s="95"/>
      <c r="BP471" s="95"/>
      <c r="BQ471" s="95"/>
      <c r="BR471" s="95"/>
      <c r="BS471" s="95"/>
      <c r="BT471" s="95"/>
      <c r="BU471" s="95"/>
    </row>
    <row r="472" spans="15:73"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  <c r="BG472" s="95"/>
      <c r="BH472" s="95"/>
      <c r="BI472" s="95"/>
      <c r="BJ472" s="95"/>
      <c r="BK472" s="95"/>
      <c r="BL472" s="95"/>
      <c r="BM472" s="95"/>
      <c r="BN472" s="95"/>
      <c r="BO472" s="95"/>
      <c r="BP472" s="95"/>
      <c r="BQ472" s="95"/>
      <c r="BR472" s="95"/>
      <c r="BS472" s="95"/>
      <c r="BT472" s="95"/>
      <c r="BU472" s="95"/>
    </row>
    <row r="473" spans="15:73"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  <c r="BG473" s="95"/>
      <c r="BH473" s="95"/>
      <c r="BI473" s="95"/>
      <c r="BJ473" s="95"/>
      <c r="BK473" s="95"/>
      <c r="BL473" s="95"/>
      <c r="BM473" s="95"/>
      <c r="BN473" s="95"/>
      <c r="BO473" s="95"/>
      <c r="BP473" s="95"/>
      <c r="BQ473" s="95"/>
      <c r="BR473" s="95"/>
      <c r="BS473" s="95"/>
      <c r="BT473" s="95"/>
      <c r="BU473" s="95"/>
    </row>
    <row r="474" spans="15:73"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  <c r="BG474" s="95"/>
      <c r="BH474" s="95"/>
      <c r="BI474" s="95"/>
      <c r="BJ474" s="95"/>
      <c r="BK474" s="95"/>
      <c r="BL474" s="95"/>
      <c r="BM474" s="95"/>
      <c r="BN474" s="95"/>
      <c r="BO474" s="95"/>
      <c r="BP474" s="95"/>
      <c r="BQ474" s="95"/>
      <c r="BR474" s="95"/>
      <c r="BS474" s="95"/>
      <c r="BT474" s="95"/>
      <c r="BU474" s="95"/>
    </row>
    <row r="475" spans="15:73"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  <c r="BE475" s="95"/>
      <c r="BF475" s="95"/>
      <c r="BG475" s="95"/>
      <c r="BH475" s="95"/>
      <c r="BI475" s="95"/>
      <c r="BJ475" s="95"/>
      <c r="BK475" s="95"/>
      <c r="BL475" s="95"/>
      <c r="BM475" s="95"/>
      <c r="BN475" s="95"/>
      <c r="BO475" s="95"/>
      <c r="BP475" s="95"/>
      <c r="BQ475" s="95"/>
      <c r="BR475" s="95"/>
      <c r="BS475" s="95"/>
      <c r="BT475" s="95"/>
      <c r="BU475" s="95"/>
    </row>
    <row r="476" spans="15:73"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  <c r="BE476" s="95"/>
      <c r="BF476" s="95"/>
      <c r="BG476" s="95"/>
      <c r="BH476" s="95"/>
      <c r="BI476" s="95"/>
      <c r="BJ476" s="95"/>
      <c r="BK476" s="95"/>
      <c r="BL476" s="95"/>
      <c r="BM476" s="95"/>
      <c r="BN476" s="95"/>
      <c r="BO476" s="95"/>
      <c r="BP476" s="95"/>
      <c r="BQ476" s="95"/>
      <c r="BR476" s="95"/>
      <c r="BS476" s="95"/>
      <c r="BT476" s="95"/>
      <c r="BU476" s="95"/>
    </row>
    <row r="477" spans="15:73"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  <c r="BE477" s="95"/>
      <c r="BF477" s="95"/>
      <c r="BG477" s="95"/>
      <c r="BH477" s="95"/>
      <c r="BI477" s="95"/>
      <c r="BJ477" s="95"/>
      <c r="BK477" s="95"/>
      <c r="BL477" s="95"/>
      <c r="BM477" s="95"/>
      <c r="BN477" s="95"/>
      <c r="BO477" s="95"/>
      <c r="BP477" s="95"/>
      <c r="BQ477" s="95"/>
      <c r="BR477" s="95"/>
      <c r="BS477" s="95"/>
      <c r="BT477" s="95"/>
      <c r="BU477" s="95"/>
    </row>
    <row r="478" spans="15:73"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  <c r="BE478" s="95"/>
      <c r="BF478" s="95"/>
      <c r="BG478" s="95"/>
      <c r="BH478" s="95"/>
      <c r="BI478" s="95"/>
      <c r="BJ478" s="95"/>
      <c r="BK478" s="95"/>
      <c r="BL478" s="95"/>
      <c r="BM478" s="95"/>
      <c r="BN478" s="95"/>
      <c r="BO478" s="95"/>
      <c r="BP478" s="95"/>
      <c r="BQ478" s="95"/>
      <c r="BR478" s="95"/>
      <c r="BS478" s="95"/>
      <c r="BT478" s="95"/>
      <c r="BU478" s="95"/>
    </row>
    <row r="479" spans="15:73"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  <c r="BE479" s="95"/>
      <c r="BF479" s="95"/>
      <c r="BG479" s="95"/>
      <c r="BH479" s="95"/>
      <c r="BI479" s="95"/>
      <c r="BJ479" s="95"/>
      <c r="BK479" s="95"/>
      <c r="BL479" s="95"/>
      <c r="BM479" s="95"/>
      <c r="BN479" s="95"/>
      <c r="BO479" s="95"/>
      <c r="BP479" s="95"/>
      <c r="BQ479" s="95"/>
      <c r="BR479" s="95"/>
      <c r="BS479" s="95"/>
      <c r="BT479" s="95"/>
      <c r="BU479" s="95"/>
    </row>
    <row r="480" spans="15:73"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  <c r="BG480" s="95"/>
      <c r="BH480" s="95"/>
      <c r="BI480" s="95"/>
      <c r="BJ480" s="95"/>
      <c r="BK480" s="95"/>
      <c r="BL480" s="95"/>
      <c r="BM480" s="95"/>
      <c r="BN480" s="95"/>
      <c r="BO480" s="95"/>
      <c r="BP480" s="95"/>
      <c r="BQ480" s="95"/>
      <c r="BR480" s="95"/>
      <c r="BS480" s="95"/>
      <c r="BT480" s="95"/>
      <c r="BU480" s="95"/>
    </row>
    <row r="481" spans="15:73"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  <c r="BG481" s="95"/>
      <c r="BH481" s="95"/>
      <c r="BI481" s="95"/>
      <c r="BJ481" s="95"/>
      <c r="BK481" s="95"/>
      <c r="BL481" s="95"/>
      <c r="BM481" s="95"/>
      <c r="BN481" s="95"/>
      <c r="BO481" s="95"/>
      <c r="BP481" s="95"/>
      <c r="BQ481" s="95"/>
      <c r="BR481" s="95"/>
      <c r="BS481" s="95"/>
      <c r="BT481" s="95"/>
      <c r="BU481" s="95"/>
    </row>
    <row r="482" spans="15:73"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  <c r="BG482" s="95"/>
      <c r="BH482" s="95"/>
      <c r="BI482" s="95"/>
      <c r="BJ482" s="95"/>
      <c r="BK482" s="95"/>
      <c r="BL482" s="95"/>
      <c r="BM482" s="95"/>
      <c r="BN482" s="95"/>
      <c r="BO482" s="95"/>
      <c r="BP482" s="95"/>
      <c r="BQ482" s="95"/>
      <c r="BR482" s="95"/>
      <c r="BS482" s="95"/>
      <c r="BT482" s="95"/>
      <c r="BU482" s="95"/>
    </row>
    <row r="483" spans="15:73"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  <c r="BG483" s="95"/>
      <c r="BH483" s="95"/>
      <c r="BI483" s="95"/>
      <c r="BJ483" s="95"/>
      <c r="BK483" s="95"/>
      <c r="BL483" s="95"/>
      <c r="BM483" s="95"/>
      <c r="BN483" s="95"/>
      <c r="BO483" s="95"/>
      <c r="BP483" s="95"/>
      <c r="BQ483" s="95"/>
      <c r="BR483" s="95"/>
      <c r="BS483" s="95"/>
      <c r="BT483" s="95"/>
      <c r="BU483" s="95"/>
    </row>
    <row r="484" spans="15:73"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  <c r="BE484" s="95"/>
      <c r="BF484" s="95"/>
      <c r="BG484" s="95"/>
      <c r="BH484" s="95"/>
      <c r="BI484" s="95"/>
      <c r="BJ484" s="95"/>
      <c r="BK484" s="95"/>
      <c r="BL484" s="95"/>
      <c r="BM484" s="95"/>
      <c r="BN484" s="95"/>
      <c r="BO484" s="95"/>
      <c r="BP484" s="95"/>
      <c r="BQ484" s="95"/>
      <c r="BR484" s="95"/>
      <c r="BS484" s="95"/>
      <c r="BT484" s="95"/>
      <c r="BU484" s="95"/>
    </row>
    <row r="485" spans="15:73"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  <c r="BG485" s="95"/>
      <c r="BH485" s="95"/>
      <c r="BI485" s="95"/>
      <c r="BJ485" s="95"/>
      <c r="BK485" s="95"/>
      <c r="BL485" s="95"/>
      <c r="BM485" s="95"/>
      <c r="BN485" s="95"/>
      <c r="BO485" s="95"/>
      <c r="BP485" s="95"/>
      <c r="BQ485" s="95"/>
      <c r="BR485" s="95"/>
      <c r="BS485" s="95"/>
      <c r="BT485" s="95"/>
      <c r="BU485" s="95"/>
    </row>
    <row r="486" spans="15:73"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  <c r="BE486" s="95"/>
      <c r="BF486" s="95"/>
      <c r="BG486" s="95"/>
      <c r="BH486" s="95"/>
      <c r="BI486" s="95"/>
      <c r="BJ486" s="95"/>
      <c r="BK486" s="95"/>
      <c r="BL486" s="95"/>
      <c r="BM486" s="95"/>
      <c r="BN486" s="95"/>
      <c r="BO486" s="95"/>
      <c r="BP486" s="95"/>
      <c r="BQ486" s="95"/>
      <c r="BR486" s="95"/>
      <c r="BS486" s="95"/>
      <c r="BT486" s="95"/>
      <c r="BU486" s="95"/>
    </row>
    <row r="487" spans="15:73"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  <c r="BE487" s="95"/>
      <c r="BF487" s="95"/>
      <c r="BG487" s="95"/>
      <c r="BH487" s="95"/>
      <c r="BI487" s="95"/>
      <c r="BJ487" s="95"/>
      <c r="BK487" s="95"/>
      <c r="BL487" s="95"/>
      <c r="BM487" s="95"/>
      <c r="BN487" s="95"/>
      <c r="BO487" s="95"/>
      <c r="BP487" s="95"/>
      <c r="BQ487" s="95"/>
      <c r="BR487" s="95"/>
      <c r="BS487" s="95"/>
      <c r="BT487" s="95"/>
      <c r="BU487" s="95"/>
    </row>
    <row r="488" spans="15:73"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  <c r="BE488" s="95"/>
      <c r="BF488" s="95"/>
      <c r="BG488" s="95"/>
      <c r="BH488" s="95"/>
      <c r="BI488" s="95"/>
      <c r="BJ488" s="95"/>
      <c r="BK488" s="95"/>
      <c r="BL488" s="95"/>
      <c r="BM488" s="95"/>
      <c r="BN488" s="95"/>
      <c r="BO488" s="95"/>
      <c r="BP488" s="95"/>
      <c r="BQ488" s="95"/>
      <c r="BR488" s="95"/>
      <c r="BS488" s="95"/>
      <c r="BT488" s="95"/>
      <c r="BU488" s="95"/>
    </row>
    <row r="489" spans="15:73"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  <c r="BE489" s="95"/>
      <c r="BF489" s="95"/>
      <c r="BG489" s="95"/>
      <c r="BH489" s="95"/>
      <c r="BI489" s="95"/>
      <c r="BJ489" s="95"/>
      <c r="BK489" s="95"/>
      <c r="BL489" s="95"/>
      <c r="BM489" s="95"/>
      <c r="BN489" s="95"/>
      <c r="BO489" s="95"/>
      <c r="BP489" s="95"/>
      <c r="BQ489" s="95"/>
      <c r="BR489" s="95"/>
      <c r="BS489" s="95"/>
      <c r="BT489" s="95"/>
      <c r="BU489" s="95"/>
    </row>
    <row r="490" spans="15:73"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  <c r="BE490" s="95"/>
      <c r="BF490" s="95"/>
      <c r="BG490" s="95"/>
      <c r="BH490" s="95"/>
      <c r="BI490" s="95"/>
      <c r="BJ490" s="95"/>
      <c r="BK490" s="95"/>
      <c r="BL490" s="95"/>
      <c r="BM490" s="95"/>
      <c r="BN490" s="95"/>
      <c r="BO490" s="95"/>
      <c r="BP490" s="95"/>
      <c r="BQ490" s="95"/>
      <c r="BR490" s="95"/>
      <c r="BS490" s="95"/>
      <c r="BT490" s="95"/>
      <c r="BU490" s="95"/>
    </row>
    <row r="491" spans="15:73"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  <c r="BE491" s="95"/>
      <c r="BF491" s="95"/>
      <c r="BG491" s="95"/>
      <c r="BH491" s="95"/>
      <c r="BI491" s="95"/>
      <c r="BJ491" s="95"/>
      <c r="BK491" s="95"/>
      <c r="BL491" s="95"/>
      <c r="BM491" s="95"/>
      <c r="BN491" s="95"/>
      <c r="BO491" s="95"/>
      <c r="BP491" s="95"/>
      <c r="BQ491" s="95"/>
      <c r="BR491" s="95"/>
      <c r="BS491" s="95"/>
      <c r="BT491" s="95"/>
      <c r="BU491" s="95"/>
    </row>
    <row r="492" spans="15:73"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  <c r="BE492" s="95"/>
      <c r="BF492" s="95"/>
      <c r="BG492" s="95"/>
      <c r="BH492" s="95"/>
      <c r="BI492" s="95"/>
      <c r="BJ492" s="95"/>
      <c r="BK492" s="95"/>
      <c r="BL492" s="95"/>
      <c r="BM492" s="95"/>
      <c r="BN492" s="95"/>
      <c r="BO492" s="95"/>
      <c r="BP492" s="95"/>
      <c r="BQ492" s="95"/>
      <c r="BR492" s="95"/>
      <c r="BS492" s="95"/>
      <c r="BT492" s="95"/>
      <c r="BU492" s="95"/>
    </row>
    <row r="493" spans="15:73"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  <c r="BE493" s="95"/>
      <c r="BF493" s="95"/>
      <c r="BG493" s="95"/>
      <c r="BH493" s="95"/>
      <c r="BI493" s="95"/>
      <c r="BJ493" s="95"/>
      <c r="BK493" s="95"/>
      <c r="BL493" s="95"/>
      <c r="BM493" s="95"/>
      <c r="BN493" s="95"/>
      <c r="BO493" s="95"/>
      <c r="BP493" s="95"/>
      <c r="BQ493" s="95"/>
      <c r="BR493" s="95"/>
      <c r="BS493" s="95"/>
      <c r="BT493" s="95"/>
      <c r="BU493" s="95"/>
    </row>
    <row r="494" spans="15:73"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5"/>
      <c r="BN494" s="95"/>
      <c r="BO494" s="95"/>
      <c r="BP494" s="95"/>
      <c r="BQ494" s="95"/>
      <c r="BR494" s="95"/>
      <c r="BS494" s="95"/>
      <c r="BT494" s="95"/>
      <c r="BU494" s="95"/>
    </row>
    <row r="495" spans="15:73"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  <c r="BE495" s="95"/>
      <c r="BF495" s="95"/>
      <c r="BG495" s="95"/>
      <c r="BH495" s="95"/>
      <c r="BI495" s="95"/>
      <c r="BJ495" s="95"/>
      <c r="BK495" s="95"/>
      <c r="BL495" s="95"/>
      <c r="BM495" s="95"/>
      <c r="BN495" s="95"/>
      <c r="BO495" s="95"/>
      <c r="BP495" s="95"/>
      <c r="BQ495" s="95"/>
      <c r="BR495" s="95"/>
      <c r="BS495" s="95"/>
      <c r="BT495" s="95"/>
      <c r="BU495" s="95"/>
    </row>
    <row r="496" spans="15:73"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  <c r="BE496" s="95"/>
      <c r="BF496" s="95"/>
      <c r="BG496" s="95"/>
      <c r="BH496" s="95"/>
      <c r="BI496" s="95"/>
      <c r="BJ496" s="95"/>
      <c r="BK496" s="95"/>
      <c r="BL496" s="95"/>
      <c r="BM496" s="95"/>
      <c r="BN496" s="95"/>
      <c r="BO496" s="95"/>
      <c r="BP496" s="95"/>
      <c r="BQ496" s="95"/>
      <c r="BR496" s="95"/>
      <c r="BS496" s="95"/>
      <c r="BT496" s="95"/>
      <c r="BU496" s="95"/>
    </row>
    <row r="497" spans="15:73"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  <c r="BE497" s="95"/>
      <c r="BF497" s="95"/>
      <c r="BG497" s="95"/>
      <c r="BH497" s="95"/>
      <c r="BI497" s="95"/>
      <c r="BJ497" s="95"/>
      <c r="BK497" s="95"/>
      <c r="BL497" s="95"/>
      <c r="BM497" s="95"/>
      <c r="BN497" s="95"/>
      <c r="BO497" s="95"/>
      <c r="BP497" s="95"/>
      <c r="BQ497" s="95"/>
      <c r="BR497" s="95"/>
      <c r="BS497" s="95"/>
      <c r="BT497" s="95"/>
      <c r="BU497" s="95"/>
    </row>
    <row r="498" spans="15:73"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  <c r="BE498" s="95"/>
      <c r="BF498" s="95"/>
      <c r="BG498" s="95"/>
      <c r="BH498" s="95"/>
      <c r="BI498" s="95"/>
      <c r="BJ498" s="95"/>
      <c r="BK498" s="95"/>
      <c r="BL498" s="95"/>
      <c r="BM498" s="95"/>
      <c r="BN498" s="95"/>
      <c r="BO498" s="95"/>
      <c r="BP498" s="95"/>
      <c r="BQ498" s="95"/>
      <c r="BR498" s="95"/>
      <c r="BS498" s="95"/>
      <c r="BT498" s="95"/>
      <c r="BU498" s="95"/>
    </row>
    <row r="499" spans="15:73"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  <c r="BG499" s="95"/>
      <c r="BH499" s="95"/>
      <c r="BI499" s="95"/>
      <c r="BJ499" s="95"/>
      <c r="BK499" s="95"/>
      <c r="BL499" s="95"/>
      <c r="BM499" s="95"/>
      <c r="BN499" s="95"/>
      <c r="BO499" s="95"/>
      <c r="BP499" s="95"/>
      <c r="BQ499" s="95"/>
      <c r="BR499" s="95"/>
      <c r="BS499" s="95"/>
      <c r="BT499" s="95"/>
      <c r="BU499" s="95"/>
    </row>
    <row r="500" spans="15:73"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  <c r="BE500" s="95"/>
      <c r="BF500" s="95"/>
      <c r="BG500" s="95"/>
      <c r="BH500" s="95"/>
      <c r="BI500" s="95"/>
      <c r="BJ500" s="95"/>
      <c r="BK500" s="95"/>
      <c r="BL500" s="95"/>
      <c r="BM500" s="95"/>
      <c r="BN500" s="95"/>
      <c r="BO500" s="95"/>
      <c r="BP500" s="95"/>
      <c r="BQ500" s="95"/>
      <c r="BR500" s="95"/>
      <c r="BS500" s="95"/>
      <c r="BT500" s="95"/>
      <c r="BU500" s="95"/>
    </row>
    <row r="501" spans="15:73"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  <c r="BE501" s="95"/>
      <c r="BF501" s="95"/>
      <c r="BG501" s="95"/>
      <c r="BH501" s="95"/>
      <c r="BI501" s="95"/>
      <c r="BJ501" s="95"/>
      <c r="BK501" s="95"/>
      <c r="BL501" s="95"/>
      <c r="BM501" s="95"/>
      <c r="BN501" s="95"/>
      <c r="BO501" s="95"/>
      <c r="BP501" s="95"/>
      <c r="BQ501" s="95"/>
      <c r="BR501" s="95"/>
      <c r="BS501" s="95"/>
      <c r="BT501" s="95"/>
      <c r="BU501" s="95"/>
    </row>
    <row r="502" spans="15:73"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  <c r="BE502" s="95"/>
      <c r="BF502" s="95"/>
      <c r="BG502" s="95"/>
      <c r="BH502" s="95"/>
      <c r="BI502" s="95"/>
      <c r="BJ502" s="95"/>
      <c r="BK502" s="95"/>
      <c r="BL502" s="95"/>
      <c r="BM502" s="95"/>
      <c r="BN502" s="95"/>
      <c r="BO502" s="95"/>
      <c r="BP502" s="95"/>
      <c r="BQ502" s="95"/>
      <c r="BR502" s="95"/>
      <c r="BS502" s="95"/>
      <c r="BT502" s="95"/>
      <c r="BU502" s="95"/>
    </row>
    <row r="503" spans="15:73"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  <c r="BE503" s="95"/>
      <c r="BF503" s="95"/>
      <c r="BG503" s="95"/>
      <c r="BH503" s="95"/>
      <c r="BI503" s="95"/>
      <c r="BJ503" s="95"/>
      <c r="BK503" s="95"/>
      <c r="BL503" s="95"/>
      <c r="BM503" s="95"/>
      <c r="BN503" s="95"/>
      <c r="BO503" s="95"/>
      <c r="BP503" s="95"/>
      <c r="BQ503" s="95"/>
      <c r="BR503" s="95"/>
      <c r="BS503" s="95"/>
      <c r="BT503" s="95"/>
      <c r="BU503" s="95"/>
    </row>
    <row r="504" spans="15:73"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  <c r="BE504" s="95"/>
      <c r="BF504" s="95"/>
      <c r="BG504" s="95"/>
      <c r="BH504" s="95"/>
      <c r="BI504" s="95"/>
      <c r="BJ504" s="95"/>
      <c r="BK504" s="95"/>
      <c r="BL504" s="95"/>
      <c r="BM504" s="95"/>
      <c r="BN504" s="95"/>
      <c r="BO504" s="95"/>
      <c r="BP504" s="95"/>
      <c r="BQ504" s="95"/>
      <c r="BR504" s="95"/>
      <c r="BS504" s="95"/>
      <c r="BT504" s="95"/>
      <c r="BU504" s="95"/>
    </row>
    <row r="505" spans="15:73"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  <c r="BE505" s="95"/>
      <c r="BF505" s="95"/>
      <c r="BG505" s="95"/>
      <c r="BH505" s="95"/>
      <c r="BI505" s="95"/>
      <c r="BJ505" s="95"/>
      <c r="BK505" s="95"/>
      <c r="BL505" s="95"/>
      <c r="BM505" s="95"/>
      <c r="BN505" s="95"/>
      <c r="BO505" s="95"/>
      <c r="BP505" s="95"/>
      <c r="BQ505" s="95"/>
      <c r="BR505" s="95"/>
      <c r="BS505" s="95"/>
      <c r="BT505" s="95"/>
      <c r="BU505" s="95"/>
    </row>
    <row r="506" spans="15:73"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  <c r="BE506" s="95"/>
      <c r="BF506" s="95"/>
      <c r="BG506" s="95"/>
      <c r="BH506" s="95"/>
      <c r="BI506" s="95"/>
      <c r="BJ506" s="95"/>
      <c r="BK506" s="95"/>
      <c r="BL506" s="95"/>
      <c r="BM506" s="95"/>
      <c r="BN506" s="95"/>
      <c r="BO506" s="95"/>
      <c r="BP506" s="95"/>
      <c r="BQ506" s="95"/>
      <c r="BR506" s="95"/>
      <c r="BS506" s="95"/>
      <c r="BT506" s="95"/>
      <c r="BU506" s="95"/>
    </row>
    <row r="507" spans="15:73"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  <c r="BE507" s="95"/>
      <c r="BF507" s="95"/>
      <c r="BG507" s="95"/>
      <c r="BH507" s="95"/>
      <c r="BI507" s="95"/>
      <c r="BJ507" s="95"/>
      <c r="BK507" s="95"/>
      <c r="BL507" s="95"/>
      <c r="BM507" s="95"/>
      <c r="BN507" s="95"/>
      <c r="BO507" s="95"/>
      <c r="BP507" s="95"/>
      <c r="BQ507" s="95"/>
      <c r="BR507" s="95"/>
      <c r="BS507" s="95"/>
      <c r="BT507" s="95"/>
      <c r="BU507" s="95"/>
    </row>
    <row r="508" spans="15:73"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  <c r="BG508" s="95"/>
      <c r="BH508" s="95"/>
      <c r="BI508" s="95"/>
      <c r="BJ508" s="95"/>
      <c r="BK508" s="95"/>
      <c r="BL508" s="95"/>
      <c r="BM508" s="95"/>
      <c r="BN508" s="95"/>
      <c r="BO508" s="95"/>
      <c r="BP508" s="95"/>
      <c r="BQ508" s="95"/>
      <c r="BR508" s="95"/>
      <c r="BS508" s="95"/>
      <c r="BT508" s="95"/>
      <c r="BU508" s="95"/>
    </row>
    <row r="509" spans="15:73"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  <c r="BG509" s="95"/>
      <c r="BH509" s="95"/>
      <c r="BI509" s="95"/>
      <c r="BJ509" s="95"/>
      <c r="BK509" s="95"/>
      <c r="BL509" s="95"/>
      <c r="BM509" s="95"/>
      <c r="BN509" s="95"/>
      <c r="BO509" s="95"/>
      <c r="BP509" s="95"/>
      <c r="BQ509" s="95"/>
      <c r="BR509" s="95"/>
      <c r="BS509" s="95"/>
      <c r="BT509" s="95"/>
      <c r="BU509" s="95"/>
    </row>
    <row r="510" spans="15:73"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  <c r="BG510" s="95"/>
      <c r="BH510" s="95"/>
      <c r="BI510" s="95"/>
      <c r="BJ510" s="95"/>
      <c r="BK510" s="95"/>
      <c r="BL510" s="95"/>
      <c r="BM510" s="95"/>
      <c r="BN510" s="95"/>
      <c r="BO510" s="95"/>
      <c r="BP510" s="95"/>
      <c r="BQ510" s="95"/>
      <c r="BR510" s="95"/>
      <c r="BS510" s="95"/>
      <c r="BT510" s="95"/>
      <c r="BU510" s="95"/>
    </row>
    <row r="511" spans="15:73"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  <c r="BG511" s="95"/>
      <c r="BH511" s="95"/>
      <c r="BI511" s="95"/>
      <c r="BJ511" s="95"/>
      <c r="BK511" s="95"/>
      <c r="BL511" s="95"/>
      <c r="BM511" s="95"/>
      <c r="BN511" s="95"/>
      <c r="BO511" s="95"/>
      <c r="BP511" s="95"/>
      <c r="BQ511" s="95"/>
      <c r="BR511" s="95"/>
      <c r="BS511" s="95"/>
      <c r="BT511" s="95"/>
      <c r="BU511" s="95"/>
    </row>
    <row r="512" spans="15:73"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  <c r="BG512" s="95"/>
      <c r="BH512" s="95"/>
      <c r="BI512" s="95"/>
      <c r="BJ512" s="95"/>
      <c r="BK512" s="95"/>
      <c r="BL512" s="95"/>
      <c r="BM512" s="95"/>
      <c r="BN512" s="95"/>
      <c r="BO512" s="95"/>
      <c r="BP512" s="95"/>
      <c r="BQ512" s="95"/>
      <c r="BR512" s="95"/>
      <c r="BS512" s="95"/>
      <c r="BT512" s="95"/>
      <c r="BU512" s="95"/>
    </row>
    <row r="513" spans="15:73"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  <c r="BG513" s="95"/>
      <c r="BH513" s="95"/>
      <c r="BI513" s="95"/>
      <c r="BJ513" s="95"/>
      <c r="BK513" s="95"/>
      <c r="BL513" s="95"/>
      <c r="BM513" s="95"/>
      <c r="BN513" s="95"/>
      <c r="BO513" s="95"/>
      <c r="BP513" s="95"/>
      <c r="BQ513" s="95"/>
      <c r="BR513" s="95"/>
      <c r="BS513" s="95"/>
      <c r="BT513" s="95"/>
      <c r="BU513" s="95"/>
    </row>
    <row r="514" spans="15:73"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  <c r="BG514" s="95"/>
      <c r="BH514" s="95"/>
      <c r="BI514" s="95"/>
      <c r="BJ514" s="95"/>
      <c r="BK514" s="95"/>
      <c r="BL514" s="95"/>
      <c r="BM514" s="95"/>
      <c r="BN514" s="95"/>
      <c r="BO514" s="95"/>
      <c r="BP514" s="95"/>
      <c r="BQ514" s="95"/>
      <c r="BR514" s="95"/>
      <c r="BS514" s="95"/>
      <c r="BT514" s="95"/>
      <c r="BU514" s="95"/>
    </row>
    <row r="515" spans="15:73"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  <c r="BG515" s="95"/>
      <c r="BH515" s="95"/>
      <c r="BI515" s="95"/>
      <c r="BJ515" s="95"/>
      <c r="BK515" s="95"/>
      <c r="BL515" s="95"/>
      <c r="BM515" s="95"/>
      <c r="BN515" s="95"/>
      <c r="BO515" s="95"/>
      <c r="BP515" s="95"/>
      <c r="BQ515" s="95"/>
      <c r="BR515" s="95"/>
      <c r="BS515" s="95"/>
      <c r="BT515" s="95"/>
      <c r="BU515" s="95"/>
    </row>
    <row r="516" spans="15:73"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  <c r="BE516" s="95"/>
      <c r="BF516" s="95"/>
      <c r="BG516" s="95"/>
      <c r="BH516" s="95"/>
      <c r="BI516" s="95"/>
      <c r="BJ516" s="95"/>
      <c r="BK516" s="95"/>
      <c r="BL516" s="95"/>
      <c r="BM516" s="95"/>
      <c r="BN516" s="95"/>
      <c r="BO516" s="95"/>
      <c r="BP516" s="95"/>
      <c r="BQ516" s="95"/>
      <c r="BR516" s="95"/>
      <c r="BS516" s="95"/>
      <c r="BT516" s="95"/>
      <c r="BU516" s="95"/>
    </row>
    <row r="517" spans="15:73"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  <c r="BE517" s="95"/>
      <c r="BF517" s="95"/>
      <c r="BG517" s="95"/>
      <c r="BH517" s="95"/>
      <c r="BI517" s="95"/>
      <c r="BJ517" s="95"/>
      <c r="BK517" s="95"/>
      <c r="BL517" s="95"/>
      <c r="BM517" s="95"/>
      <c r="BN517" s="95"/>
      <c r="BO517" s="95"/>
      <c r="BP517" s="95"/>
      <c r="BQ517" s="95"/>
      <c r="BR517" s="95"/>
      <c r="BS517" s="95"/>
      <c r="BT517" s="95"/>
      <c r="BU517" s="95"/>
    </row>
    <row r="518" spans="15:73"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  <c r="BE518" s="95"/>
      <c r="BF518" s="95"/>
      <c r="BG518" s="95"/>
      <c r="BH518" s="95"/>
      <c r="BI518" s="95"/>
      <c r="BJ518" s="95"/>
      <c r="BK518" s="95"/>
      <c r="BL518" s="95"/>
      <c r="BM518" s="95"/>
      <c r="BN518" s="95"/>
      <c r="BO518" s="95"/>
      <c r="BP518" s="95"/>
      <c r="BQ518" s="95"/>
      <c r="BR518" s="95"/>
      <c r="BS518" s="95"/>
      <c r="BT518" s="95"/>
      <c r="BU518" s="95"/>
    </row>
    <row r="519" spans="15:73"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  <c r="BE519" s="95"/>
      <c r="BF519" s="95"/>
      <c r="BG519" s="95"/>
      <c r="BH519" s="95"/>
      <c r="BI519" s="95"/>
      <c r="BJ519" s="95"/>
      <c r="BK519" s="95"/>
      <c r="BL519" s="95"/>
      <c r="BM519" s="95"/>
      <c r="BN519" s="95"/>
      <c r="BO519" s="95"/>
      <c r="BP519" s="95"/>
      <c r="BQ519" s="95"/>
      <c r="BR519" s="95"/>
      <c r="BS519" s="95"/>
      <c r="BT519" s="95"/>
      <c r="BU519" s="95"/>
    </row>
    <row r="520" spans="15:73"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  <c r="BE520" s="95"/>
      <c r="BF520" s="95"/>
      <c r="BG520" s="95"/>
      <c r="BH520" s="95"/>
      <c r="BI520" s="95"/>
      <c r="BJ520" s="95"/>
      <c r="BK520" s="95"/>
      <c r="BL520" s="95"/>
      <c r="BM520" s="95"/>
      <c r="BN520" s="95"/>
      <c r="BO520" s="95"/>
      <c r="BP520" s="95"/>
      <c r="BQ520" s="95"/>
      <c r="BR520" s="95"/>
      <c r="BS520" s="95"/>
      <c r="BT520" s="95"/>
      <c r="BU520" s="95"/>
    </row>
    <row r="521" spans="15:73"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  <c r="BE521" s="95"/>
      <c r="BF521" s="95"/>
      <c r="BG521" s="95"/>
      <c r="BH521" s="95"/>
      <c r="BI521" s="95"/>
      <c r="BJ521" s="95"/>
      <c r="BK521" s="95"/>
      <c r="BL521" s="95"/>
      <c r="BM521" s="95"/>
      <c r="BN521" s="95"/>
      <c r="BO521" s="95"/>
      <c r="BP521" s="95"/>
      <c r="BQ521" s="95"/>
      <c r="BR521" s="95"/>
      <c r="BS521" s="95"/>
      <c r="BT521" s="95"/>
      <c r="BU521" s="95"/>
    </row>
    <row r="522" spans="15:73"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  <c r="BE522" s="95"/>
      <c r="BF522" s="95"/>
      <c r="BG522" s="95"/>
      <c r="BH522" s="95"/>
      <c r="BI522" s="95"/>
      <c r="BJ522" s="95"/>
      <c r="BK522" s="95"/>
      <c r="BL522" s="95"/>
      <c r="BM522" s="95"/>
      <c r="BN522" s="95"/>
      <c r="BO522" s="95"/>
      <c r="BP522" s="95"/>
      <c r="BQ522" s="95"/>
      <c r="BR522" s="95"/>
      <c r="BS522" s="95"/>
      <c r="BT522" s="95"/>
      <c r="BU522" s="95"/>
    </row>
    <row r="523" spans="15:73"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  <c r="BE523" s="95"/>
      <c r="BF523" s="95"/>
      <c r="BG523" s="95"/>
      <c r="BH523" s="95"/>
      <c r="BI523" s="95"/>
      <c r="BJ523" s="95"/>
      <c r="BK523" s="95"/>
      <c r="BL523" s="95"/>
      <c r="BM523" s="95"/>
      <c r="BN523" s="95"/>
      <c r="BO523" s="95"/>
      <c r="BP523" s="95"/>
      <c r="BQ523" s="95"/>
      <c r="BR523" s="95"/>
      <c r="BS523" s="95"/>
      <c r="BT523" s="95"/>
      <c r="BU523" s="95"/>
    </row>
    <row r="524" spans="15:73"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  <c r="BE524" s="95"/>
      <c r="BF524" s="95"/>
      <c r="BG524" s="95"/>
      <c r="BH524" s="95"/>
      <c r="BI524" s="95"/>
      <c r="BJ524" s="95"/>
      <c r="BK524" s="95"/>
      <c r="BL524" s="95"/>
      <c r="BM524" s="95"/>
      <c r="BN524" s="95"/>
      <c r="BO524" s="95"/>
      <c r="BP524" s="95"/>
      <c r="BQ524" s="95"/>
      <c r="BR524" s="95"/>
      <c r="BS524" s="95"/>
      <c r="BT524" s="95"/>
      <c r="BU524" s="95"/>
    </row>
    <row r="525" spans="15:73"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  <c r="BE525" s="95"/>
      <c r="BF525" s="95"/>
      <c r="BG525" s="95"/>
      <c r="BH525" s="95"/>
      <c r="BI525" s="95"/>
      <c r="BJ525" s="95"/>
      <c r="BK525" s="95"/>
      <c r="BL525" s="95"/>
      <c r="BM525" s="95"/>
      <c r="BN525" s="95"/>
      <c r="BO525" s="95"/>
      <c r="BP525" s="95"/>
      <c r="BQ525" s="95"/>
      <c r="BR525" s="95"/>
      <c r="BS525" s="95"/>
      <c r="BT525" s="95"/>
      <c r="BU525" s="95"/>
    </row>
    <row r="526" spans="15:73"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  <c r="BE526" s="95"/>
      <c r="BF526" s="95"/>
      <c r="BG526" s="95"/>
      <c r="BH526" s="95"/>
      <c r="BI526" s="95"/>
      <c r="BJ526" s="95"/>
      <c r="BK526" s="95"/>
      <c r="BL526" s="95"/>
      <c r="BM526" s="95"/>
      <c r="BN526" s="95"/>
      <c r="BO526" s="95"/>
      <c r="BP526" s="95"/>
      <c r="BQ526" s="95"/>
      <c r="BR526" s="95"/>
      <c r="BS526" s="95"/>
      <c r="BT526" s="95"/>
      <c r="BU526" s="95"/>
    </row>
    <row r="527" spans="15:73"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  <c r="BE527" s="95"/>
      <c r="BF527" s="95"/>
      <c r="BG527" s="95"/>
      <c r="BH527" s="95"/>
      <c r="BI527" s="95"/>
      <c r="BJ527" s="95"/>
      <c r="BK527" s="95"/>
      <c r="BL527" s="95"/>
      <c r="BM527" s="95"/>
      <c r="BN527" s="95"/>
      <c r="BO527" s="95"/>
      <c r="BP527" s="95"/>
      <c r="BQ527" s="95"/>
      <c r="BR527" s="95"/>
      <c r="BS527" s="95"/>
      <c r="BT527" s="95"/>
      <c r="BU527" s="95"/>
    </row>
    <row r="528" spans="15:73"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  <c r="BE528" s="95"/>
      <c r="BF528" s="95"/>
      <c r="BG528" s="95"/>
      <c r="BH528" s="95"/>
      <c r="BI528" s="95"/>
      <c r="BJ528" s="95"/>
      <c r="BK528" s="95"/>
      <c r="BL528" s="95"/>
      <c r="BM528" s="95"/>
      <c r="BN528" s="95"/>
      <c r="BO528" s="95"/>
      <c r="BP528" s="95"/>
      <c r="BQ528" s="95"/>
      <c r="BR528" s="95"/>
      <c r="BS528" s="95"/>
      <c r="BT528" s="95"/>
      <c r="BU528" s="95"/>
    </row>
    <row r="529" spans="15:73"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  <c r="BE529" s="95"/>
      <c r="BF529" s="95"/>
      <c r="BG529" s="95"/>
      <c r="BH529" s="95"/>
      <c r="BI529" s="95"/>
      <c r="BJ529" s="95"/>
      <c r="BK529" s="95"/>
      <c r="BL529" s="95"/>
      <c r="BM529" s="95"/>
      <c r="BN529" s="95"/>
      <c r="BO529" s="95"/>
      <c r="BP529" s="95"/>
      <c r="BQ529" s="95"/>
      <c r="BR529" s="95"/>
      <c r="BS529" s="95"/>
      <c r="BT529" s="95"/>
      <c r="BU529" s="95"/>
    </row>
    <row r="530" spans="15:73"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  <c r="BE530" s="95"/>
      <c r="BF530" s="95"/>
      <c r="BG530" s="95"/>
      <c r="BH530" s="95"/>
      <c r="BI530" s="95"/>
      <c r="BJ530" s="95"/>
      <c r="BK530" s="95"/>
      <c r="BL530" s="95"/>
      <c r="BM530" s="95"/>
      <c r="BN530" s="95"/>
      <c r="BO530" s="95"/>
      <c r="BP530" s="95"/>
      <c r="BQ530" s="95"/>
      <c r="BR530" s="95"/>
      <c r="BS530" s="95"/>
      <c r="BT530" s="95"/>
      <c r="BU530" s="95"/>
    </row>
    <row r="531" spans="15:73"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  <c r="BE531" s="95"/>
      <c r="BF531" s="95"/>
      <c r="BG531" s="95"/>
      <c r="BH531" s="95"/>
      <c r="BI531" s="95"/>
      <c r="BJ531" s="95"/>
      <c r="BK531" s="95"/>
      <c r="BL531" s="95"/>
      <c r="BM531" s="95"/>
      <c r="BN531" s="95"/>
      <c r="BO531" s="95"/>
      <c r="BP531" s="95"/>
      <c r="BQ531" s="95"/>
      <c r="BR531" s="95"/>
      <c r="BS531" s="95"/>
      <c r="BT531" s="95"/>
      <c r="BU531" s="95"/>
    </row>
    <row r="532" spans="15:73"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  <c r="BE532" s="95"/>
      <c r="BF532" s="95"/>
      <c r="BG532" s="95"/>
      <c r="BH532" s="95"/>
      <c r="BI532" s="95"/>
      <c r="BJ532" s="95"/>
      <c r="BK532" s="95"/>
      <c r="BL532" s="95"/>
      <c r="BM532" s="95"/>
      <c r="BN532" s="95"/>
      <c r="BO532" s="95"/>
      <c r="BP532" s="95"/>
      <c r="BQ532" s="95"/>
      <c r="BR532" s="95"/>
      <c r="BS532" s="95"/>
      <c r="BT532" s="95"/>
      <c r="BU532" s="95"/>
    </row>
    <row r="533" spans="15:73"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  <c r="BE533" s="95"/>
      <c r="BF533" s="95"/>
      <c r="BG533" s="95"/>
      <c r="BH533" s="95"/>
      <c r="BI533" s="95"/>
      <c r="BJ533" s="95"/>
      <c r="BK533" s="95"/>
      <c r="BL533" s="95"/>
      <c r="BM533" s="95"/>
      <c r="BN533" s="95"/>
      <c r="BO533" s="95"/>
      <c r="BP533" s="95"/>
      <c r="BQ533" s="95"/>
      <c r="BR533" s="95"/>
      <c r="BS533" s="95"/>
      <c r="BT533" s="95"/>
      <c r="BU533" s="95"/>
    </row>
    <row r="534" spans="15:73"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  <c r="BE534" s="95"/>
      <c r="BF534" s="95"/>
      <c r="BG534" s="95"/>
      <c r="BH534" s="95"/>
      <c r="BI534" s="95"/>
      <c r="BJ534" s="95"/>
      <c r="BK534" s="95"/>
      <c r="BL534" s="95"/>
      <c r="BM534" s="95"/>
      <c r="BN534" s="95"/>
      <c r="BO534" s="95"/>
      <c r="BP534" s="95"/>
      <c r="BQ534" s="95"/>
      <c r="BR534" s="95"/>
      <c r="BS534" s="95"/>
      <c r="BT534" s="95"/>
      <c r="BU534" s="95"/>
    </row>
    <row r="535" spans="15:73"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  <c r="BE535" s="95"/>
      <c r="BF535" s="95"/>
      <c r="BG535" s="95"/>
      <c r="BH535" s="95"/>
      <c r="BI535" s="95"/>
      <c r="BJ535" s="95"/>
      <c r="BK535" s="95"/>
      <c r="BL535" s="95"/>
      <c r="BM535" s="95"/>
      <c r="BN535" s="95"/>
      <c r="BO535" s="95"/>
      <c r="BP535" s="95"/>
      <c r="BQ535" s="95"/>
      <c r="BR535" s="95"/>
      <c r="BS535" s="95"/>
      <c r="BT535" s="95"/>
      <c r="BU535" s="95"/>
    </row>
    <row r="536" spans="15:73"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  <c r="BE536" s="95"/>
      <c r="BF536" s="95"/>
      <c r="BG536" s="95"/>
      <c r="BH536" s="95"/>
      <c r="BI536" s="95"/>
      <c r="BJ536" s="95"/>
      <c r="BK536" s="95"/>
      <c r="BL536" s="95"/>
      <c r="BM536" s="95"/>
      <c r="BN536" s="95"/>
      <c r="BO536" s="95"/>
      <c r="BP536" s="95"/>
      <c r="BQ536" s="95"/>
      <c r="BR536" s="95"/>
      <c r="BS536" s="95"/>
      <c r="BT536" s="95"/>
      <c r="BU536" s="95"/>
    </row>
    <row r="537" spans="15:73"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  <c r="BE537" s="95"/>
      <c r="BF537" s="95"/>
      <c r="BG537" s="95"/>
      <c r="BH537" s="95"/>
      <c r="BI537" s="95"/>
      <c r="BJ537" s="95"/>
      <c r="BK537" s="95"/>
      <c r="BL537" s="95"/>
      <c r="BM537" s="95"/>
      <c r="BN537" s="95"/>
      <c r="BO537" s="95"/>
      <c r="BP537" s="95"/>
      <c r="BQ537" s="95"/>
      <c r="BR537" s="95"/>
      <c r="BS537" s="95"/>
      <c r="BT537" s="95"/>
      <c r="BU537" s="95"/>
    </row>
    <row r="538" spans="15:73"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  <c r="BE538" s="95"/>
      <c r="BF538" s="95"/>
      <c r="BG538" s="95"/>
      <c r="BH538" s="95"/>
      <c r="BI538" s="95"/>
      <c r="BJ538" s="95"/>
      <c r="BK538" s="95"/>
      <c r="BL538" s="95"/>
      <c r="BM538" s="95"/>
      <c r="BN538" s="95"/>
      <c r="BO538" s="95"/>
      <c r="BP538" s="95"/>
      <c r="BQ538" s="95"/>
      <c r="BR538" s="95"/>
      <c r="BS538" s="95"/>
      <c r="BT538" s="95"/>
      <c r="BU538" s="95"/>
    </row>
    <row r="539" spans="15:73"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  <c r="BE539" s="95"/>
      <c r="BF539" s="95"/>
      <c r="BG539" s="95"/>
      <c r="BH539" s="95"/>
      <c r="BI539" s="95"/>
      <c r="BJ539" s="95"/>
      <c r="BK539" s="95"/>
      <c r="BL539" s="95"/>
      <c r="BM539" s="95"/>
      <c r="BN539" s="95"/>
      <c r="BO539" s="95"/>
      <c r="BP539" s="95"/>
      <c r="BQ539" s="95"/>
      <c r="BR539" s="95"/>
      <c r="BS539" s="95"/>
      <c r="BT539" s="95"/>
      <c r="BU539" s="95"/>
    </row>
    <row r="540" spans="15:73"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  <c r="BE540" s="95"/>
      <c r="BF540" s="95"/>
      <c r="BG540" s="95"/>
      <c r="BH540" s="95"/>
      <c r="BI540" s="95"/>
      <c r="BJ540" s="95"/>
      <c r="BK540" s="95"/>
      <c r="BL540" s="95"/>
      <c r="BM540" s="95"/>
      <c r="BN540" s="95"/>
      <c r="BO540" s="95"/>
      <c r="BP540" s="95"/>
      <c r="BQ540" s="95"/>
      <c r="BR540" s="95"/>
      <c r="BS540" s="95"/>
      <c r="BT540" s="95"/>
      <c r="BU540" s="95"/>
    </row>
    <row r="541" spans="15:73"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  <c r="BE541" s="95"/>
      <c r="BF541" s="95"/>
      <c r="BG541" s="95"/>
      <c r="BH541" s="95"/>
      <c r="BI541" s="95"/>
      <c r="BJ541" s="95"/>
      <c r="BK541" s="95"/>
      <c r="BL541" s="95"/>
      <c r="BM541" s="95"/>
      <c r="BN541" s="95"/>
      <c r="BO541" s="95"/>
      <c r="BP541" s="95"/>
      <c r="BQ541" s="95"/>
      <c r="BR541" s="95"/>
      <c r="BS541" s="95"/>
      <c r="BT541" s="95"/>
      <c r="BU541" s="95"/>
    </row>
    <row r="542" spans="15:73"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  <c r="BE542" s="95"/>
      <c r="BF542" s="95"/>
      <c r="BG542" s="95"/>
      <c r="BH542" s="95"/>
      <c r="BI542" s="95"/>
      <c r="BJ542" s="95"/>
      <c r="BK542" s="95"/>
      <c r="BL542" s="95"/>
      <c r="BM542" s="95"/>
      <c r="BN542" s="95"/>
      <c r="BO542" s="95"/>
      <c r="BP542" s="95"/>
      <c r="BQ542" s="95"/>
      <c r="BR542" s="95"/>
      <c r="BS542" s="95"/>
      <c r="BT542" s="95"/>
      <c r="BU542" s="95"/>
    </row>
    <row r="543" spans="15:73"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  <c r="BE543" s="95"/>
      <c r="BF543" s="95"/>
      <c r="BG543" s="95"/>
      <c r="BH543" s="95"/>
      <c r="BI543" s="95"/>
      <c r="BJ543" s="95"/>
      <c r="BK543" s="95"/>
      <c r="BL543" s="95"/>
      <c r="BM543" s="95"/>
      <c r="BN543" s="95"/>
      <c r="BO543" s="95"/>
      <c r="BP543" s="95"/>
      <c r="BQ543" s="95"/>
      <c r="BR543" s="95"/>
      <c r="BS543" s="95"/>
      <c r="BT543" s="95"/>
      <c r="BU543" s="95"/>
    </row>
    <row r="544" spans="15:73"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  <c r="BE544" s="95"/>
      <c r="BF544" s="95"/>
      <c r="BG544" s="95"/>
      <c r="BH544" s="95"/>
      <c r="BI544" s="95"/>
      <c r="BJ544" s="95"/>
      <c r="BK544" s="95"/>
      <c r="BL544" s="95"/>
      <c r="BM544" s="95"/>
      <c r="BN544" s="95"/>
      <c r="BO544" s="95"/>
      <c r="BP544" s="95"/>
      <c r="BQ544" s="95"/>
      <c r="BR544" s="95"/>
      <c r="BS544" s="95"/>
      <c r="BT544" s="95"/>
      <c r="BU544" s="95"/>
    </row>
    <row r="545" spans="15:73"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  <c r="AT545" s="95"/>
      <c r="AU545" s="95"/>
      <c r="AV545" s="95"/>
      <c r="AW545" s="95"/>
      <c r="AX545" s="95"/>
      <c r="AY545" s="95"/>
      <c r="AZ545" s="95"/>
      <c r="BA545" s="95"/>
      <c r="BB545" s="95"/>
      <c r="BC545" s="95"/>
      <c r="BD545" s="95"/>
      <c r="BE545" s="95"/>
      <c r="BF545" s="95"/>
      <c r="BG545" s="95"/>
      <c r="BH545" s="95"/>
      <c r="BI545" s="95"/>
      <c r="BJ545" s="95"/>
      <c r="BK545" s="95"/>
      <c r="BL545" s="95"/>
      <c r="BM545" s="95"/>
      <c r="BN545" s="95"/>
      <c r="BO545" s="95"/>
      <c r="BP545" s="95"/>
      <c r="BQ545" s="95"/>
      <c r="BR545" s="95"/>
      <c r="BS545" s="95"/>
      <c r="BT545" s="95"/>
      <c r="BU545" s="95"/>
    </row>
    <row r="546" spans="15:73"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95"/>
      <c r="AX546" s="95"/>
      <c r="AY546" s="95"/>
      <c r="AZ546" s="95"/>
      <c r="BA546" s="95"/>
      <c r="BB546" s="95"/>
      <c r="BC546" s="95"/>
      <c r="BD546" s="95"/>
      <c r="BE546" s="95"/>
      <c r="BF546" s="95"/>
      <c r="BG546" s="95"/>
      <c r="BH546" s="95"/>
      <c r="BI546" s="95"/>
      <c r="BJ546" s="95"/>
      <c r="BK546" s="95"/>
      <c r="BL546" s="95"/>
      <c r="BM546" s="95"/>
      <c r="BN546" s="95"/>
      <c r="BO546" s="95"/>
      <c r="BP546" s="95"/>
      <c r="BQ546" s="95"/>
      <c r="BR546" s="95"/>
      <c r="BS546" s="95"/>
      <c r="BT546" s="95"/>
      <c r="BU546" s="95"/>
    </row>
  </sheetData>
  <dataConsolidate link="1"/>
  <phoneticPr fontId="35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1"/>
  <sheetViews>
    <sheetView showGridLines="0" topLeftCell="A10" zoomScale="70" zoomScaleNormal="70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" bestFit="1" customWidth="1"/>
    <col min="4" max="4" width="11" bestFit="1" customWidth="1"/>
    <col min="5" max="5" width="11.5546875" bestFit="1" customWidth="1"/>
    <col min="6" max="6" width="1.6640625" customWidth="1"/>
    <col min="7" max="9" width="11.554687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76" t="s">
        <v>58</v>
      </c>
      <c r="C2" s="176"/>
      <c r="D2" s="176"/>
      <c r="E2" s="176"/>
      <c r="F2" s="15"/>
      <c r="G2" s="176" t="s">
        <v>59</v>
      </c>
      <c r="H2" s="176"/>
      <c r="I2" s="176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4">
      <c r="A5" s="15"/>
      <c r="B5" s="177" t="s">
        <v>67</v>
      </c>
      <c r="C5" s="177"/>
      <c r="D5" s="177"/>
      <c r="E5" s="177"/>
      <c r="F5" s="177"/>
      <c r="G5" s="177"/>
      <c r="H5" s="177"/>
      <c r="I5" s="177"/>
      <c r="J5" s="177"/>
    </row>
    <row r="6" spans="1:12" ht="13.8">
      <c r="A6" s="15" t="s">
        <v>34</v>
      </c>
      <c r="B6" s="42">
        <v>340.786</v>
      </c>
      <c r="C6" s="43">
        <f>C23</f>
        <v>51814.455000000002</v>
      </c>
      <c r="D6" s="43">
        <f>D23</f>
        <v>654.51012091299992</v>
      </c>
      <c r="E6" s="32">
        <f>E23</f>
        <v>52809.751120913003</v>
      </c>
      <c r="F6" s="43"/>
      <c r="G6" s="43">
        <f>G23</f>
        <v>38958.712443149998</v>
      </c>
      <c r="H6" s="43">
        <f>H23</f>
        <v>13540.111898224999</v>
      </c>
      <c r="I6" s="43">
        <f>I23</f>
        <v>52498.824231143997</v>
      </c>
      <c r="J6" s="43">
        <f>J22</f>
        <v>310.92700000000002</v>
      </c>
    </row>
    <row r="7" spans="1:12" ht="16.2">
      <c r="A7" s="15" t="s">
        <v>35</v>
      </c>
      <c r="B7" s="42">
        <f>J6</f>
        <v>310.92700000000002</v>
      </c>
      <c r="C7" s="43">
        <v>52564.07</v>
      </c>
      <c r="D7" s="43">
        <v>625</v>
      </c>
      <c r="E7" s="32">
        <f>SUM(B7:D7)</f>
        <v>53499.997000000003</v>
      </c>
      <c r="F7" s="43"/>
      <c r="G7" s="43">
        <v>38600</v>
      </c>
      <c r="H7" s="43">
        <v>14550</v>
      </c>
      <c r="I7" s="43">
        <f>G7+H7</f>
        <v>53150</v>
      </c>
      <c r="J7" s="43">
        <f>E7-I7</f>
        <v>349.99700000000303</v>
      </c>
    </row>
    <row r="8" spans="1:12" ht="16.2">
      <c r="A8" s="15" t="s">
        <v>36</v>
      </c>
      <c r="B8" s="42">
        <f>J7</f>
        <v>349.99700000000303</v>
      </c>
      <c r="C8" s="43">
        <v>54175</v>
      </c>
      <c r="D8" s="43">
        <v>600</v>
      </c>
      <c r="E8" s="32">
        <f>SUM(B8:D8)</f>
        <v>55124.997000000003</v>
      </c>
      <c r="F8" s="43"/>
      <c r="G8" s="43">
        <v>39425</v>
      </c>
      <c r="H8" s="43">
        <v>15300</v>
      </c>
      <c r="I8" s="43">
        <f>G8+H8</f>
        <v>54725</v>
      </c>
      <c r="J8" s="43">
        <f>E8-I8</f>
        <v>399.99700000000303</v>
      </c>
    </row>
    <row r="9" spans="1:12" ht="13.8">
      <c r="A9" s="15"/>
      <c r="B9" s="44"/>
      <c r="C9" s="44"/>
      <c r="D9" s="44"/>
      <c r="E9" s="44"/>
      <c r="F9" s="44"/>
      <c r="G9" s="43"/>
      <c r="H9" s="44"/>
      <c r="I9" s="44"/>
      <c r="J9" s="44"/>
    </row>
    <row r="10" spans="1:12" ht="13.8">
      <c r="A10" s="35" t="s">
        <v>34</v>
      </c>
      <c r="B10" s="45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38</v>
      </c>
      <c r="B11" s="45">
        <f>B6</f>
        <v>340.786</v>
      </c>
      <c r="C11" s="6">
        <v>4591.6390000000001</v>
      </c>
      <c r="D11" s="6">
        <f>(56544.1*1.10231)/1000</f>
        <v>62.329126870999993</v>
      </c>
      <c r="E11" s="6">
        <f t="shared" ref="E11:E22" si="0">SUM(B11:D11)</f>
        <v>4994.7541268710002</v>
      </c>
      <c r="F11" s="6"/>
      <c r="G11" s="6">
        <f t="shared" ref="G11:G22" si="1">I11-H11</f>
        <v>3492.8224392370003</v>
      </c>
      <c r="H11" s="6">
        <f>(989241.4*1.10231)/1000</f>
        <v>1090.4506876339999</v>
      </c>
      <c r="I11" s="5">
        <f t="shared" ref="I11:I22" si="2">E11-J11</f>
        <v>4583.2731268710004</v>
      </c>
      <c r="J11" s="6">
        <v>411.48099999999999</v>
      </c>
      <c r="K11" s="96"/>
      <c r="L11" s="100"/>
    </row>
    <row r="12" spans="1:12" ht="14.4">
      <c r="A12" s="15" t="s">
        <v>39</v>
      </c>
      <c r="B12" s="45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3282.1252583210003</v>
      </c>
      <c r="H12" s="6">
        <f>(1131886.2*1.10231)/1000</f>
        <v>1247.689477122</v>
      </c>
      <c r="I12" s="5">
        <f t="shared" si="2"/>
        <v>4529.8147354430002</v>
      </c>
      <c r="J12" s="6">
        <v>375.61200000000002</v>
      </c>
      <c r="K12" s="96"/>
      <c r="L12" s="100"/>
    </row>
    <row r="13" spans="1:12" ht="14.4">
      <c r="A13" s="15" t="s">
        <v>41</v>
      </c>
      <c r="B13" s="45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3225.7453203929999</v>
      </c>
      <c r="H13" s="6">
        <f>(1274701.3*1.10231)/1000</f>
        <v>1405.115990003</v>
      </c>
      <c r="I13" s="5">
        <f t="shared" si="2"/>
        <v>4630.8613103959997</v>
      </c>
      <c r="J13" s="6">
        <v>411.30900000000003</v>
      </c>
      <c r="K13" s="96"/>
      <c r="L13" s="100"/>
    </row>
    <row r="14" spans="1:12" ht="14.4">
      <c r="A14" s="15" t="s">
        <v>42</v>
      </c>
      <c r="B14" s="45">
        <f t="shared" si="3"/>
        <v>411.30900000000003</v>
      </c>
      <c r="C14" s="6">
        <v>4533.1530000000002</v>
      </c>
      <c r="D14" s="6">
        <f>(40245.8*1.10231)/1000</f>
        <v>44.363347798</v>
      </c>
      <c r="E14" s="6">
        <f t="shared" si="0"/>
        <v>4988.8253477980006</v>
      </c>
      <c r="F14" s="6"/>
      <c r="G14" s="6">
        <f t="shared" si="1"/>
        <v>3261.1777285130011</v>
      </c>
      <c r="H14" s="6">
        <f>(1176523.5*1.10231)/1000</f>
        <v>1296.8936192849999</v>
      </c>
      <c r="I14" s="5">
        <f t="shared" si="2"/>
        <v>4558.0713477980007</v>
      </c>
      <c r="J14" s="6">
        <v>430.75400000000002</v>
      </c>
      <c r="K14" s="96"/>
      <c r="L14" s="100"/>
    </row>
    <row r="15" spans="1:12" ht="14.4">
      <c r="A15" s="15" t="s">
        <v>43</v>
      </c>
      <c r="B15" s="45">
        <f t="shared" si="3"/>
        <v>430.75400000000002</v>
      </c>
      <c r="C15" s="6">
        <v>4089.9549999999999</v>
      </c>
      <c r="D15" s="6">
        <f>(46708.1*1.10231)/1000</f>
        <v>51.486805710999995</v>
      </c>
      <c r="E15" s="6">
        <f t="shared" si="0"/>
        <v>4572.1958057109996</v>
      </c>
      <c r="F15" s="6"/>
      <c r="G15" s="6">
        <f t="shared" si="1"/>
        <v>3111.5948929989995</v>
      </c>
      <c r="H15" s="6">
        <f>(974975.2*1.10231)/1000</f>
        <v>1074.7249127119999</v>
      </c>
      <c r="I15" s="5">
        <f t="shared" si="2"/>
        <v>4186.3198057109994</v>
      </c>
      <c r="J15" s="6">
        <v>385.87600000000003</v>
      </c>
      <c r="K15" s="96"/>
      <c r="L15" s="100"/>
    </row>
    <row r="16" spans="1:12" ht="14.4">
      <c r="A16" s="15" t="s">
        <v>45</v>
      </c>
      <c r="B16" s="45">
        <f t="shared" si="3"/>
        <v>385.87600000000003</v>
      </c>
      <c r="C16" s="6">
        <v>4549.6310000000003</v>
      </c>
      <c r="D16" s="6">
        <f>(36595.5*1.10231)/1000</f>
        <v>40.339585604999996</v>
      </c>
      <c r="E16" s="6">
        <f t="shared" si="0"/>
        <v>4975.8465856050007</v>
      </c>
      <c r="F16" s="6"/>
      <c r="G16" s="6">
        <f t="shared" si="1"/>
        <v>3358.6433219240007</v>
      </c>
      <c r="H16" s="6">
        <f>(1121495.1*1.10231)/1000</f>
        <v>1236.2352636810001</v>
      </c>
      <c r="I16" s="5">
        <f t="shared" si="2"/>
        <v>4594.8785856050008</v>
      </c>
      <c r="J16" s="6">
        <v>380.96799999999996</v>
      </c>
      <c r="K16" s="96"/>
      <c r="L16" s="100"/>
    </row>
    <row r="17" spans="1:12" ht="14.4">
      <c r="A17" s="15" t="s">
        <v>46</v>
      </c>
      <c r="B17" s="45">
        <f t="shared" si="3"/>
        <v>380.96799999999996</v>
      </c>
      <c r="C17" s="6">
        <v>4254.5450000000001</v>
      </c>
      <c r="D17" s="6">
        <f>(43906*1.10231)/1000</f>
        <v>48.398022859999998</v>
      </c>
      <c r="E17" s="6">
        <f t="shared" si="0"/>
        <v>4683.9110228600002</v>
      </c>
      <c r="F17" s="6"/>
      <c r="G17" s="6">
        <f t="shared" si="1"/>
        <v>3059.0861262310009</v>
      </c>
      <c r="H17" s="6">
        <f>(1070305.9*1.10231)/1000</f>
        <v>1179.8088966289999</v>
      </c>
      <c r="I17" s="5">
        <f t="shared" si="2"/>
        <v>4238.8950228600006</v>
      </c>
      <c r="J17" s="6">
        <v>445.01600000000002</v>
      </c>
      <c r="K17" s="96"/>
      <c r="L17" s="100"/>
    </row>
    <row r="18" spans="1:12" ht="14.4">
      <c r="A18" s="15" t="s">
        <v>47</v>
      </c>
      <c r="B18" s="45">
        <f t="shared" si="3"/>
        <v>445.01600000000002</v>
      </c>
      <c r="C18" s="6">
        <v>4260.0889999999999</v>
      </c>
      <c r="D18" s="101">
        <f>(77175.9*1.10231)/1000</f>
        <v>85.071766328999985</v>
      </c>
      <c r="E18" s="6">
        <f t="shared" si="0"/>
        <v>4790.1767663289993</v>
      </c>
      <c r="F18" s="6"/>
      <c r="G18" s="6">
        <f t="shared" si="1"/>
        <v>3205.4898923439991</v>
      </c>
      <c r="H18" s="101">
        <f>(1016893.5*1.10231)/1000</f>
        <v>1120.931873985</v>
      </c>
      <c r="I18" s="5">
        <f t="shared" si="2"/>
        <v>4326.4217663289992</v>
      </c>
      <c r="J18" s="6">
        <v>463.755</v>
      </c>
      <c r="K18" s="96"/>
      <c r="L18" s="100"/>
    </row>
    <row r="19" spans="1:12" ht="14.4">
      <c r="A19" s="15" t="s">
        <v>49</v>
      </c>
      <c r="B19" s="45">
        <f t="shared" si="3"/>
        <v>463.755</v>
      </c>
      <c r="C19" s="6">
        <v>4106.5650000000005</v>
      </c>
      <c r="D19" s="101">
        <f>(61421.4*1.10231)/1000</f>
        <v>67.705423433999997</v>
      </c>
      <c r="E19" s="6">
        <f t="shared" si="0"/>
        <v>4638.0254234340009</v>
      </c>
      <c r="F19" s="6"/>
      <c r="G19" s="6">
        <f t="shared" si="1"/>
        <v>3118.3433548350013</v>
      </c>
      <c r="H19" s="101">
        <f>(1054492.9*1.10231)/1000</f>
        <v>1162.3780685989998</v>
      </c>
      <c r="I19" s="5">
        <f t="shared" si="2"/>
        <v>4280.7214234340008</v>
      </c>
      <c r="J19" s="6">
        <v>357.30399999999997</v>
      </c>
      <c r="K19" s="96"/>
    </row>
    <row r="20" spans="1:12" ht="14.4">
      <c r="A20" s="15" t="s">
        <v>50</v>
      </c>
      <c r="B20" s="45">
        <f>J19</f>
        <v>357.30399999999997</v>
      </c>
      <c r="C20" s="6">
        <v>4270.28</v>
      </c>
      <c r="D20" s="101">
        <f>(67308.7*1.10231)/1000</f>
        <v>74.195053096999999</v>
      </c>
      <c r="E20" s="6">
        <f t="shared" si="0"/>
        <v>4701.7790530969996</v>
      </c>
      <c r="F20" s="6"/>
      <c r="G20" s="6">
        <f t="shared" si="1"/>
        <v>3245.3890736799999</v>
      </c>
      <c r="H20" s="101">
        <f>(843380.7*1.10231)/1000</f>
        <v>929.66697941699988</v>
      </c>
      <c r="I20" s="5">
        <f t="shared" si="2"/>
        <v>4175.0560530969997</v>
      </c>
      <c r="J20" s="6">
        <v>526.72299999999996</v>
      </c>
      <c r="K20" s="96"/>
    </row>
    <row r="21" spans="1:12" ht="14.4">
      <c r="A21" s="15" t="s">
        <v>51</v>
      </c>
      <c r="B21" s="45">
        <f>J20</f>
        <v>526.72299999999996</v>
      </c>
      <c r="C21" s="6">
        <v>4147.2370000000001</v>
      </c>
      <c r="D21" s="101">
        <f>(45440.9*1.10231)/1000</f>
        <v>50.089958478999996</v>
      </c>
      <c r="E21" s="6">
        <f t="shared" si="0"/>
        <v>4724.0499584790005</v>
      </c>
      <c r="F21" s="6"/>
      <c r="G21" s="6">
        <f t="shared" si="1"/>
        <v>3479.0613874090009</v>
      </c>
      <c r="H21" s="101">
        <f>(813797*1.10231)/1000</f>
        <v>897.0565710699999</v>
      </c>
      <c r="I21" s="5">
        <f t="shared" si="2"/>
        <v>4376.1179584790007</v>
      </c>
      <c r="J21" s="6">
        <v>347.93200000000002</v>
      </c>
      <c r="K21" s="96"/>
    </row>
    <row r="22" spans="1:12" ht="14.4">
      <c r="A22" s="15" t="s">
        <v>37</v>
      </c>
      <c r="B22" s="45">
        <f>J21</f>
        <v>347.93200000000002</v>
      </c>
      <c r="C22" s="6">
        <v>3925.0389999999998</v>
      </c>
      <c r="D22" s="101">
        <f>(51119.1*1.10231)/1000</f>
        <v>56.349095120999991</v>
      </c>
      <c r="E22" s="6">
        <f t="shared" si="0"/>
        <v>4329.3200951209992</v>
      </c>
      <c r="F22" s="6"/>
      <c r="G22" s="6">
        <f t="shared" si="1"/>
        <v>3119.233647263999</v>
      </c>
      <c r="H22" s="101">
        <f>(815704.7*1.10231)/1000</f>
        <v>899.1594478569998</v>
      </c>
      <c r="I22" s="5">
        <f t="shared" si="2"/>
        <v>4018.3930951209991</v>
      </c>
      <c r="J22" s="6">
        <v>310.92700000000002</v>
      </c>
      <c r="K22" s="104"/>
    </row>
    <row r="23" spans="1:12" ht="14.4">
      <c r="A23" s="15" t="s">
        <v>28</v>
      </c>
      <c r="B23" s="45"/>
      <c r="C23" s="6">
        <f>SUM(C11:C22)</f>
        <v>51814.455000000002</v>
      </c>
      <c r="D23" s="6">
        <f>(593762.3*1.10231)/1000</f>
        <v>654.51012091299992</v>
      </c>
      <c r="E23" s="6">
        <f>B11+C23+D23</f>
        <v>52809.751120913003</v>
      </c>
      <c r="F23" s="6"/>
      <c r="G23" s="6">
        <f>SUM(G11:G22)</f>
        <v>38958.712443149998</v>
      </c>
      <c r="H23" s="32">
        <f>(12283397.5*1.10231)/1000</f>
        <v>13540.111898224999</v>
      </c>
      <c r="I23" s="6">
        <f>SUM(I11:I22)</f>
        <v>52498.824231143997</v>
      </c>
      <c r="J23" s="6"/>
      <c r="K23" s="96"/>
    </row>
    <row r="24" spans="1:12" ht="14.4">
      <c r="A24" s="15"/>
      <c r="B24" s="45"/>
      <c r="C24" s="6"/>
      <c r="D24" s="6"/>
      <c r="E24" s="6"/>
      <c r="F24" s="6"/>
      <c r="G24" s="6"/>
      <c r="H24" s="6"/>
      <c r="I24" s="6"/>
      <c r="J24" s="6"/>
      <c r="K24" s="96"/>
    </row>
    <row r="25" spans="1:12" ht="14.4">
      <c r="A25" s="35" t="s">
        <v>53</v>
      </c>
      <c r="B25" s="45"/>
      <c r="C25" s="6"/>
      <c r="D25" s="6"/>
      <c r="E25" s="6"/>
      <c r="F25" s="6"/>
      <c r="G25" s="6"/>
      <c r="H25" s="6"/>
      <c r="I25" s="6"/>
      <c r="J25" s="6"/>
      <c r="K25" s="96"/>
    </row>
    <row r="26" spans="1:12" ht="14.4">
      <c r="A26" s="15" t="s">
        <v>38</v>
      </c>
      <c r="B26" s="45">
        <f>J22</f>
        <v>310.92700000000002</v>
      </c>
      <c r="C26" s="6">
        <v>4603.3959999999997</v>
      </c>
      <c r="D26" s="6">
        <f>(52509.6*1.10231)/1000</f>
        <v>57.88185717599999</v>
      </c>
      <c r="E26" s="6">
        <f t="shared" ref="E26:E34" si="4">SUM(B26:D26)</f>
        <v>4972.2048571759997</v>
      </c>
      <c r="F26" s="6"/>
      <c r="G26" s="6">
        <f t="shared" ref="G26:G34" si="5">I26-H26</f>
        <v>3639.9264505289998</v>
      </c>
      <c r="H26" s="6">
        <f>(865513.7*1.10231)/1000</f>
        <v>954.06440664699983</v>
      </c>
      <c r="I26" s="5">
        <f t="shared" ref="I26:I34" si="6">E26-J26</f>
        <v>4593.9908571759997</v>
      </c>
      <c r="J26" s="6">
        <v>378.214</v>
      </c>
      <c r="K26" s="96"/>
    </row>
    <row r="27" spans="1:12" ht="14.4">
      <c r="A27" s="15" t="s">
        <v>39</v>
      </c>
      <c r="B27" s="45">
        <f t="shared" ref="B27:B32" si="7">J26</f>
        <v>378.214</v>
      </c>
      <c r="C27" s="6">
        <v>4469.9660000000003</v>
      </c>
      <c r="D27" s="6">
        <f>(53341.5*1.10231)/1000</f>
        <v>58.798868864999996</v>
      </c>
      <c r="E27" s="6">
        <f t="shared" si="4"/>
        <v>4906.9788688650005</v>
      </c>
      <c r="F27" s="6"/>
      <c r="G27" s="6">
        <f t="shared" si="5"/>
        <v>3367.700833154001</v>
      </c>
      <c r="H27" s="6">
        <f>(1079708.1*1.10231)/1000</f>
        <v>1190.173035711</v>
      </c>
      <c r="I27" s="5">
        <f t="shared" si="6"/>
        <v>4557.873868865001</v>
      </c>
      <c r="J27" s="6">
        <v>349.10500000000002</v>
      </c>
      <c r="K27" s="96"/>
    </row>
    <row r="28" spans="1:12" ht="14.4">
      <c r="A28" s="15" t="s">
        <v>41</v>
      </c>
      <c r="B28" s="45">
        <f t="shared" si="7"/>
        <v>349.10500000000002</v>
      </c>
      <c r="C28" s="6">
        <v>4437.4089999999997</v>
      </c>
      <c r="D28" s="6">
        <f>(32194.3*1.10231)/1000</f>
        <v>35.488098832999995</v>
      </c>
      <c r="E28" s="6">
        <f t="shared" si="4"/>
        <v>4822.0020988329989</v>
      </c>
      <c r="F28" s="6"/>
      <c r="G28" s="6">
        <f t="shared" si="5"/>
        <v>3173.9462998459985</v>
      </c>
      <c r="H28" s="6">
        <f>(1081527.7*1.10231)/1000</f>
        <v>1192.1787989869997</v>
      </c>
      <c r="I28" s="5">
        <f t="shared" si="6"/>
        <v>4366.1250988329984</v>
      </c>
      <c r="J28" s="6">
        <v>455.87700000000001</v>
      </c>
      <c r="K28" s="96"/>
    </row>
    <row r="29" spans="1:12" ht="14.4">
      <c r="A29" s="15" t="s">
        <v>42</v>
      </c>
      <c r="B29" s="45">
        <f t="shared" si="7"/>
        <v>455.87700000000001</v>
      </c>
      <c r="C29" s="6">
        <v>4540.9090000000006</v>
      </c>
      <c r="D29" s="6">
        <f>(87357.8*1.10231)/1000</f>
        <v>96.295376517999983</v>
      </c>
      <c r="E29" s="6">
        <f t="shared" si="4"/>
        <v>5093.081376518001</v>
      </c>
      <c r="F29" s="6"/>
      <c r="G29" s="6">
        <f t="shared" si="5"/>
        <v>3101.8863894670012</v>
      </c>
      <c r="H29" s="6">
        <f>(1404622.1*1.10231)/1000</f>
        <v>1548.3289870509998</v>
      </c>
      <c r="I29" s="5">
        <f t="shared" si="6"/>
        <v>4650.215376518001</v>
      </c>
      <c r="J29" s="6">
        <v>442.86599999999999</v>
      </c>
      <c r="K29" s="96"/>
    </row>
    <row r="30" spans="1:12" ht="13.8">
      <c r="A30" s="15" t="s">
        <v>43</v>
      </c>
      <c r="B30" s="45">
        <f t="shared" si="7"/>
        <v>442.86599999999999</v>
      </c>
      <c r="C30" s="6">
        <v>4197.5839999999998</v>
      </c>
      <c r="D30" s="6">
        <f>(40187.2*1.10231)/1000</f>
        <v>44.298752431999993</v>
      </c>
      <c r="E30" s="6">
        <f t="shared" si="4"/>
        <v>4684.7487524319995</v>
      </c>
      <c r="F30" s="6"/>
      <c r="G30" s="6">
        <f t="shared" si="5"/>
        <v>3189.261751647</v>
      </c>
      <c r="H30" s="6">
        <f>(925173.5*1.10231)/1000</f>
        <v>1019.828000785</v>
      </c>
      <c r="I30" s="5">
        <f t="shared" si="6"/>
        <v>4209.0897524319998</v>
      </c>
      <c r="J30" s="6">
        <v>475.65899999999999</v>
      </c>
      <c r="K30" s="112"/>
    </row>
    <row r="31" spans="1:12" ht="14.4">
      <c r="A31" s="15" t="s">
        <v>45</v>
      </c>
      <c r="B31" s="45">
        <f t="shared" si="7"/>
        <v>475.65899999999999</v>
      </c>
      <c r="C31" s="6">
        <v>4698.1610000000001</v>
      </c>
      <c r="D31" s="6">
        <f>(43410.1*1.10231)/1000</f>
        <v>47.851387330999991</v>
      </c>
      <c r="E31" s="6">
        <f t="shared" si="4"/>
        <v>5221.671387331</v>
      </c>
      <c r="F31" s="6"/>
      <c r="G31" s="6">
        <f t="shared" si="5"/>
        <v>3369.7769356149997</v>
      </c>
      <c r="H31" s="6">
        <f>(1336143.6*1.10231)/1000</f>
        <v>1472.8444517160001</v>
      </c>
      <c r="I31" s="5">
        <f t="shared" si="6"/>
        <v>4842.6213873309998</v>
      </c>
      <c r="J31" s="6">
        <v>379.04999999999995</v>
      </c>
      <c r="K31" s="113"/>
    </row>
    <row r="32" spans="1:12" ht="14.4">
      <c r="A32" s="15" t="s">
        <v>46</v>
      </c>
      <c r="B32" s="45">
        <f t="shared" si="7"/>
        <v>379.04999999999995</v>
      </c>
      <c r="C32" s="6">
        <v>4433.6350000000002</v>
      </c>
      <c r="D32" s="6">
        <f>(25951.8*1.10231)/1000</f>
        <v>28.606928657999998</v>
      </c>
      <c r="E32" s="6">
        <f t="shared" si="4"/>
        <v>4841.291928658</v>
      </c>
      <c r="F32" s="6"/>
      <c r="G32" s="6">
        <f t="shared" si="5"/>
        <v>3019.334526696</v>
      </c>
      <c r="H32" s="6">
        <f>(1128650.2*1.10231)/1000</f>
        <v>1244.1224019619999</v>
      </c>
      <c r="I32" s="5">
        <f t="shared" si="6"/>
        <v>4263.4569286579999</v>
      </c>
      <c r="J32" s="6">
        <v>577.83499999999992</v>
      </c>
      <c r="K32" s="113"/>
    </row>
    <row r="33" spans="1:11" ht="14.4">
      <c r="A33" s="15" t="s">
        <v>47</v>
      </c>
      <c r="B33" s="45">
        <f>J32</f>
        <v>577.83499999999992</v>
      </c>
      <c r="C33" s="6">
        <v>4461.268</v>
      </c>
      <c r="D33" s="6">
        <f>(50047.9*1.10231)/1000</f>
        <v>55.168300648999995</v>
      </c>
      <c r="E33" s="6">
        <f t="shared" si="4"/>
        <v>5094.2713006490003</v>
      </c>
      <c r="F33" s="6"/>
      <c r="G33" s="6">
        <f t="shared" si="5"/>
        <v>3474.6210888970008</v>
      </c>
      <c r="H33" s="6">
        <f>(1080559.2*1.10231)/1000</f>
        <v>1191.1112117519997</v>
      </c>
      <c r="I33" s="5">
        <f t="shared" si="6"/>
        <v>4665.7323006490005</v>
      </c>
      <c r="J33" s="6">
        <v>428.53899999999999</v>
      </c>
      <c r="K33" s="113"/>
    </row>
    <row r="34" spans="1:11" ht="14.4">
      <c r="A34" s="15" t="s">
        <v>49</v>
      </c>
      <c r="B34" s="45">
        <f>J33</f>
        <v>428.53899999999999</v>
      </c>
      <c r="C34" s="6">
        <v>4152.3280000000004</v>
      </c>
      <c r="D34" s="6">
        <f>(47135.7*1.10231)/1000</f>
        <v>51.958153466999988</v>
      </c>
      <c r="E34" s="6">
        <f t="shared" si="4"/>
        <v>4632.8251534669998</v>
      </c>
      <c r="F34" s="6"/>
      <c r="G34" s="6">
        <f t="shared" si="5"/>
        <v>2878.4011494959996</v>
      </c>
      <c r="H34" s="6">
        <f>(1259954.1*1.10231)/1000</f>
        <v>1388.860003971</v>
      </c>
      <c r="I34" s="5">
        <f t="shared" si="6"/>
        <v>4267.2611534669995</v>
      </c>
      <c r="J34" s="6">
        <v>365.56400000000002</v>
      </c>
      <c r="K34" s="113"/>
    </row>
    <row r="35" spans="1:11" ht="14.4">
      <c r="A35" s="15" t="s">
        <v>50</v>
      </c>
      <c r="B35" s="45">
        <f>J34</f>
        <v>365.56400000000002</v>
      </c>
      <c r="C35" s="6">
        <v>4362.93</v>
      </c>
      <c r="D35" s="6">
        <f>(44990.2*1.10231)/1000</f>
        <v>49.593147361999989</v>
      </c>
      <c r="E35" s="6">
        <f t="shared" ref="E35" si="8">SUM(B35:D35)</f>
        <v>4778.0871473620009</v>
      </c>
      <c r="F35" s="6"/>
      <c r="G35" s="6">
        <f t="shared" ref="G35" si="9">I35-H35</f>
        <v>3114.3274682730016</v>
      </c>
      <c r="H35" s="6">
        <f>(1083371.9*1.10231)/1000</f>
        <v>1194.2116790889997</v>
      </c>
      <c r="I35" s="5">
        <f t="shared" ref="I35" si="10">E35-J35</f>
        <v>4308.5391473620011</v>
      </c>
      <c r="J35" s="6">
        <v>469.548</v>
      </c>
      <c r="K35" s="113"/>
    </row>
    <row r="36" spans="1:11" ht="13.8">
      <c r="A36" s="14" t="s">
        <v>51</v>
      </c>
      <c r="B36" s="118">
        <f>J35</f>
        <v>469.548</v>
      </c>
      <c r="C36" s="119">
        <v>4029.8919999999998</v>
      </c>
      <c r="D36" s="119">
        <f>(49385.1*1.10231)/1000</f>
        <v>54.437689580999994</v>
      </c>
      <c r="E36" s="119">
        <f t="shared" ref="E36" si="11">SUM(B36:D36)</f>
        <v>4553.8776895809997</v>
      </c>
      <c r="F36" s="119"/>
      <c r="G36" s="119">
        <f t="shared" ref="G36" si="12">I36-H36</f>
        <v>3059.2082030979991</v>
      </c>
      <c r="H36" s="119">
        <f>(1068509.3*1.10231)/1000</f>
        <v>1177.828486483</v>
      </c>
      <c r="I36" s="120">
        <f t="shared" ref="I36" si="13">E36-J36</f>
        <v>4237.0366895809993</v>
      </c>
      <c r="J36" s="119">
        <v>316.84100000000001</v>
      </c>
    </row>
    <row r="37" spans="1:11" ht="16.2">
      <c r="A37" s="46" t="s">
        <v>68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1" ht="14.4">
      <c r="A38" s="15" t="s">
        <v>69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1" ht="13.8">
      <c r="A39" s="20" t="s">
        <v>57</v>
      </c>
      <c r="B39" s="41">
        <f>Contents!A16</f>
        <v>45215</v>
      </c>
      <c r="C39" s="38"/>
      <c r="D39" s="33"/>
      <c r="E39" s="33"/>
      <c r="F39" s="33"/>
      <c r="G39" s="33"/>
      <c r="H39" s="33"/>
      <c r="I39" s="33"/>
      <c r="J39" s="33"/>
    </row>
    <row r="40" spans="1:11">
      <c r="B40" s="47"/>
      <c r="C40" s="48"/>
      <c r="D40" s="47"/>
      <c r="E40" s="93"/>
      <c r="F40" s="47"/>
      <c r="G40" s="47"/>
      <c r="H40" s="49"/>
      <c r="I40" s="93"/>
      <c r="J40" s="47"/>
    </row>
    <row r="41" spans="1:11">
      <c r="B41" s="47"/>
      <c r="C41" s="47"/>
      <c r="D41" s="47"/>
      <c r="E41" s="47"/>
      <c r="F41" s="47"/>
      <c r="G41" s="47"/>
      <c r="H41" s="47"/>
      <c r="I41" s="47"/>
      <c r="J41" s="47"/>
    </row>
  </sheetData>
  <mergeCells count="3">
    <mergeCell ref="G2:I2"/>
    <mergeCell ref="B5:J5"/>
    <mergeCell ref="B2:E2"/>
  </mergeCells>
  <phoneticPr fontId="35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41"/>
  <sheetViews>
    <sheetView showGridLines="0" topLeftCell="A5" zoomScale="70" zoomScaleNormal="70" workbookViewId="0">
      <selection activeCell="H23" sqref="H23"/>
    </sheetView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1.33203125" bestFit="1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14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3.8">
      <c r="A2" s="15"/>
      <c r="B2" s="176" t="s">
        <v>58</v>
      </c>
      <c r="C2" s="176"/>
      <c r="D2" s="176"/>
      <c r="E2" s="176"/>
      <c r="F2" s="15"/>
      <c r="G2" s="176" t="s">
        <v>59</v>
      </c>
      <c r="H2" s="176"/>
      <c r="I2" s="176"/>
      <c r="J2" s="174"/>
      <c r="K2" s="174"/>
      <c r="L2" s="15"/>
    </row>
    <row r="3" spans="1:14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74" t="s">
        <v>64</v>
      </c>
      <c r="H3" s="174"/>
      <c r="I3" s="174"/>
      <c r="J3" s="17" t="s">
        <v>72</v>
      </c>
      <c r="K3" s="17" t="s">
        <v>63</v>
      </c>
      <c r="L3" s="17" t="s">
        <v>60</v>
      </c>
    </row>
    <row r="4" spans="1:14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14" ht="14.4">
      <c r="A5" s="15"/>
      <c r="B5" s="178" t="s">
        <v>75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4" ht="16.2">
      <c r="A6" s="15" t="s">
        <v>76</v>
      </c>
      <c r="B6" s="44">
        <v>2131.2330000000002</v>
      </c>
      <c r="C6" s="44">
        <f>C23</f>
        <v>26155.173000000003</v>
      </c>
      <c r="D6" s="44">
        <f>D23</f>
        <v>302.9653281816</v>
      </c>
      <c r="E6" s="44">
        <f>E23</f>
        <v>28589.371328181602</v>
      </c>
      <c r="F6" s="44"/>
      <c r="G6" s="44">
        <f>K6-J6</f>
        <v>24827.303827434</v>
      </c>
      <c r="H6" s="44">
        <v>10378.75</v>
      </c>
      <c r="I6" s="32">
        <f>G6-H6</f>
        <v>14448.553827434</v>
      </c>
      <c r="J6" s="44">
        <f>J23</f>
        <v>1770.9195007476001</v>
      </c>
      <c r="K6" s="44">
        <f>E6-L6</f>
        <v>26598.223328181601</v>
      </c>
      <c r="L6" s="44">
        <f>L22</f>
        <v>1991.1480000000001</v>
      </c>
    </row>
    <row r="7" spans="1:14" ht="16.2">
      <c r="A7" s="15" t="s">
        <v>77</v>
      </c>
      <c r="B7" s="44">
        <f>L6</f>
        <v>1991.1480000000001</v>
      </c>
      <c r="C7" s="44">
        <v>26265</v>
      </c>
      <c r="D7" s="44">
        <v>375</v>
      </c>
      <c r="E7" s="44">
        <f>SUM(B7:D7)</f>
        <v>28631.148000000001</v>
      </c>
      <c r="F7" s="44"/>
      <c r="G7" s="44">
        <f>SUM(H7:I7)</f>
        <v>26500</v>
      </c>
      <c r="H7" s="44">
        <v>12100</v>
      </c>
      <c r="I7" s="32">
        <v>14400</v>
      </c>
      <c r="J7" s="44">
        <v>370</v>
      </c>
      <c r="K7" s="44">
        <f>G7+J7</f>
        <v>26870</v>
      </c>
      <c r="L7" s="44">
        <f>E7-K7</f>
        <v>1761.148000000001</v>
      </c>
    </row>
    <row r="8" spans="1:14" ht="16.2">
      <c r="A8" s="15" t="s">
        <v>36</v>
      </c>
      <c r="B8" s="44">
        <f>L7</f>
        <v>1761.148000000001</v>
      </c>
      <c r="C8" s="44">
        <v>27025</v>
      </c>
      <c r="D8" s="44">
        <v>400</v>
      </c>
      <c r="E8" s="44">
        <f>SUM(B8:D8)</f>
        <v>29186.148000000001</v>
      </c>
      <c r="F8" s="44"/>
      <c r="G8" s="44">
        <f>SUM(H8:I8)</f>
        <v>27100</v>
      </c>
      <c r="H8" s="44">
        <v>12800</v>
      </c>
      <c r="I8" s="32">
        <v>14300</v>
      </c>
      <c r="J8" s="44">
        <v>350</v>
      </c>
      <c r="K8" s="44">
        <f>G8+J8</f>
        <v>27450</v>
      </c>
      <c r="L8" s="44">
        <f>E8-K8</f>
        <v>1736.148000000001</v>
      </c>
    </row>
    <row r="9" spans="1:14" ht="13.8">
      <c r="A9" s="15"/>
      <c r="B9" s="44"/>
      <c r="C9" s="44"/>
      <c r="D9" s="44"/>
      <c r="E9" s="44"/>
      <c r="F9" s="44"/>
      <c r="G9" s="44"/>
      <c r="H9" s="44"/>
      <c r="I9" s="90"/>
      <c r="J9" s="44"/>
      <c r="K9" s="44"/>
      <c r="L9" s="44"/>
    </row>
    <row r="10" spans="1:14" ht="13.8">
      <c r="A10" s="35" t="s">
        <v>34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15" t="s">
        <v>38</v>
      </c>
      <c r="B11" s="5">
        <f>B6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2071.2935508996002</v>
      </c>
      <c r="H11" s="13">
        <v>832.42700000000002</v>
      </c>
      <c r="I11" s="6">
        <f t="shared" ref="I11:I22" si="2">G11-H11</f>
        <v>1238.8665508996</v>
      </c>
      <c r="J11" s="6">
        <f>(25859.9*2204.622)/1000000</f>
        <v>57.011304457800001</v>
      </c>
      <c r="K11" s="6">
        <f t="shared" ref="K11:K22" si="3">E11-L11</f>
        <v>2128.3048553574004</v>
      </c>
      <c r="L11" s="5">
        <v>2386.337</v>
      </c>
      <c r="N11" s="100"/>
    </row>
    <row r="12" spans="1:14" ht="13.8">
      <c r="A12" s="15" t="s">
        <v>39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13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00"/>
    </row>
    <row r="13" spans="1:14" ht="13.8">
      <c r="A13" s="15" t="s">
        <v>41</v>
      </c>
      <c r="B13" s="5">
        <f t="shared" si="4"/>
        <v>2405.9630000000002</v>
      </c>
      <c r="C13" s="6">
        <v>2324.183</v>
      </c>
      <c r="D13" s="6">
        <f>(14315.6*2204.622)/1000000</f>
        <v>31.560486703199999</v>
      </c>
      <c r="E13" s="6">
        <f t="shared" si="0"/>
        <v>4761.7064867032004</v>
      </c>
      <c r="F13" s="53"/>
      <c r="G13" s="5">
        <f>K13-J13</f>
        <v>2130.6668117588006</v>
      </c>
      <c r="H13" s="13">
        <v>938.34100000000001</v>
      </c>
      <c r="I13" s="6">
        <f t="shared" si="2"/>
        <v>1192.3258117588007</v>
      </c>
      <c r="J13" s="6">
        <f>(74910.2*2204.622)/1000000</f>
        <v>165.14867494439997</v>
      </c>
      <c r="K13" s="6">
        <f t="shared" si="3"/>
        <v>2295.8154867032003</v>
      </c>
      <c r="L13" s="5">
        <v>2465.8910000000001</v>
      </c>
      <c r="N13" s="100"/>
    </row>
    <row r="14" spans="1:14" ht="13.8">
      <c r="A14" s="15" t="s">
        <v>42</v>
      </c>
      <c r="B14" s="5">
        <f t="shared" si="4"/>
        <v>2465.8910000000001</v>
      </c>
      <c r="C14" s="6">
        <v>2277.355</v>
      </c>
      <c r="D14" s="6">
        <f>(7350.9*2204.622)/1000000</f>
        <v>16.2059558598</v>
      </c>
      <c r="E14" s="6">
        <f t="shared" si="0"/>
        <v>4759.4519558598004</v>
      </c>
      <c r="F14" s="53"/>
      <c r="G14" s="5">
        <f t="shared" si="1"/>
        <v>1975.3277087556003</v>
      </c>
      <c r="H14" s="122">
        <v>791.48900000000003</v>
      </c>
      <c r="I14" s="6">
        <f t="shared" si="2"/>
        <v>1183.8387087556002</v>
      </c>
      <c r="J14" s="6">
        <f>(128911.1*2204.622)/1000000</f>
        <v>284.2002471042</v>
      </c>
      <c r="K14" s="6">
        <f t="shared" si="3"/>
        <v>2259.5279558598004</v>
      </c>
      <c r="L14" s="5">
        <v>2499.924</v>
      </c>
      <c r="N14" s="100"/>
    </row>
    <row r="15" spans="1:14" ht="13.8">
      <c r="A15" s="15" t="s">
        <v>43</v>
      </c>
      <c r="B15" s="5">
        <f t="shared" si="4"/>
        <v>2499.924</v>
      </c>
      <c r="C15" s="6">
        <v>2064.1990000000001</v>
      </c>
      <c r="D15" s="6">
        <f>(9698.9*2204.622)/1000000</f>
        <v>21.382408315799996</v>
      </c>
      <c r="E15" s="6">
        <f t="shared" si="0"/>
        <v>4585.5054083157993</v>
      </c>
      <c r="F15" s="53"/>
      <c r="G15" s="5">
        <f t="shared" si="1"/>
        <v>1784.6374709481993</v>
      </c>
      <c r="H15" s="122">
        <v>758.13099999999997</v>
      </c>
      <c r="I15" s="6">
        <f t="shared" si="2"/>
        <v>1026.5064709481994</v>
      </c>
      <c r="J15" s="6">
        <f>(106485.8*2204.622)/1000000</f>
        <v>234.76093736760001</v>
      </c>
      <c r="K15" s="6">
        <f t="shared" si="3"/>
        <v>2019.3984083157993</v>
      </c>
      <c r="L15" s="5">
        <v>2566.107</v>
      </c>
      <c r="N15" s="100"/>
    </row>
    <row r="16" spans="1:14" ht="13.8">
      <c r="A16" s="15" t="s">
        <v>45</v>
      </c>
      <c r="B16" s="5">
        <f t="shared" si="4"/>
        <v>2566.107</v>
      </c>
      <c r="C16" s="6">
        <v>2277.5410000000002</v>
      </c>
      <c r="D16" s="6">
        <f>(10065.2*2204.622)/1000000</f>
        <v>22.189961354400001</v>
      </c>
      <c r="E16" s="6">
        <f t="shared" ref="E16:E22" si="5">SUM(B16:D16)</f>
        <v>4865.8379613544002</v>
      </c>
      <c r="F16" s="53"/>
      <c r="G16" s="5">
        <f t="shared" si="1"/>
        <v>2155.9277832030002</v>
      </c>
      <c r="H16" s="122">
        <v>919.11900000000003</v>
      </c>
      <c r="I16" s="6">
        <f t="shared" si="2"/>
        <v>1236.8087832030001</v>
      </c>
      <c r="J16" s="6">
        <f>(125278.7*2204.622)/1000000</f>
        <v>276.19217815139996</v>
      </c>
      <c r="K16" s="6">
        <f t="shared" si="3"/>
        <v>2432.1199613543999</v>
      </c>
      <c r="L16" s="5">
        <v>2433.7180000000003</v>
      </c>
      <c r="N16" s="100"/>
    </row>
    <row r="17" spans="1:14" ht="13.8">
      <c r="A17" s="15" t="s">
        <v>46</v>
      </c>
      <c r="B17" s="5">
        <f t="shared" si="4"/>
        <v>2433.7180000000003</v>
      </c>
      <c r="C17" s="6">
        <v>2143.1179999999999</v>
      </c>
      <c r="D17" s="6">
        <f>(10661.9*2204.622)/1000000</f>
        <v>23.505459301799998</v>
      </c>
      <c r="E17" s="6">
        <f t="shared" si="5"/>
        <v>4600.3414593018006</v>
      </c>
      <c r="F17" s="53"/>
      <c r="G17" s="5">
        <f t="shared" si="1"/>
        <v>2018.5597328586007</v>
      </c>
      <c r="H17" s="123">
        <v>842.00099999999998</v>
      </c>
      <c r="I17" s="6">
        <f t="shared" si="2"/>
        <v>1176.5587328586007</v>
      </c>
      <c r="J17" s="6">
        <f>(71485.6*2204.622)/1000000</f>
        <v>157.59872644319998</v>
      </c>
      <c r="K17" s="6">
        <f t="shared" si="3"/>
        <v>2176.1584593018006</v>
      </c>
      <c r="L17" s="5">
        <v>2424.183</v>
      </c>
      <c r="N17" s="100"/>
    </row>
    <row r="18" spans="1:14" ht="13.8">
      <c r="A18" s="15" t="s">
        <v>47</v>
      </c>
      <c r="B18" s="5">
        <f t="shared" si="4"/>
        <v>2424.183</v>
      </c>
      <c r="C18" s="6">
        <v>2158.7739999999999</v>
      </c>
      <c r="D18" s="101">
        <f>(11291.8*2204.622)/1000000</f>
        <v>24.894150699599997</v>
      </c>
      <c r="E18" s="6">
        <f t="shared" si="5"/>
        <v>4607.8511506996001</v>
      </c>
      <c r="F18" s="53"/>
      <c r="G18" s="5">
        <f t="shared" si="1"/>
        <v>2149.5948740757999</v>
      </c>
      <c r="H18" s="123">
        <v>855.74599999999998</v>
      </c>
      <c r="I18" s="6">
        <f>G18-H18</f>
        <v>1293.8488740757998</v>
      </c>
      <c r="J18" s="101">
        <f>(33512.9*2204.622)/1000000</f>
        <v>73.8832766238</v>
      </c>
      <c r="K18" s="6">
        <f t="shared" si="3"/>
        <v>2223.4781506996001</v>
      </c>
      <c r="L18" s="5">
        <v>2384.373</v>
      </c>
      <c r="N18" s="100"/>
    </row>
    <row r="19" spans="1:14" ht="13.8">
      <c r="A19" s="15" t="s">
        <v>49</v>
      </c>
      <c r="B19" s="5">
        <f t="shared" si="4"/>
        <v>2384.373</v>
      </c>
      <c r="C19" s="6">
        <v>2068.578</v>
      </c>
      <c r="D19" s="101">
        <f>(10963.6*2204.622)/1000000</f>
        <v>24.170593759199999</v>
      </c>
      <c r="E19" s="6">
        <f t="shared" si="5"/>
        <v>4477.1215937591996</v>
      </c>
      <c r="F19" s="53"/>
      <c r="G19" s="5">
        <f t="shared" si="1"/>
        <v>2088.6787772001999</v>
      </c>
      <c r="H19" s="123">
        <v>809.79899999999998</v>
      </c>
      <c r="I19" s="6">
        <f t="shared" si="2"/>
        <v>1278.8797772001999</v>
      </c>
      <c r="J19" s="101">
        <f>(33084.5*2204.622)/1000000</f>
        <v>72.938816559000003</v>
      </c>
      <c r="K19" s="6">
        <f t="shared" si="3"/>
        <v>2161.6175937591997</v>
      </c>
      <c r="L19" s="5">
        <v>2315.5039999999999</v>
      </c>
    </row>
    <row r="20" spans="1:14" ht="13.8">
      <c r="A20" s="15" t="s">
        <v>50</v>
      </c>
      <c r="B20" s="5">
        <f t="shared" si="4"/>
        <v>2315.5039999999999</v>
      </c>
      <c r="C20" s="6">
        <v>2169.9299999999998</v>
      </c>
      <c r="D20" s="101">
        <f>(11379.9*2204.622)/1000000</f>
        <v>25.088377897799997</v>
      </c>
      <c r="E20" s="6">
        <f t="shared" si="5"/>
        <v>4510.5223778977988</v>
      </c>
      <c r="F20" s="53"/>
      <c r="G20" s="5">
        <f t="shared" si="1"/>
        <v>2125.602306053599</v>
      </c>
      <c r="H20" s="123">
        <v>956.48800000000006</v>
      </c>
      <c r="I20" s="6">
        <f t="shared" si="2"/>
        <v>1169.114306053599</v>
      </c>
      <c r="J20" s="101">
        <f>(53581.1*2204.622)/1000000</f>
        <v>118.12607184419998</v>
      </c>
      <c r="K20" s="6">
        <f t="shared" si="3"/>
        <v>2243.728377897799</v>
      </c>
      <c r="L20" s="5">
        <v>2266.7939999999999</v>
      </c>
    </row>
    <row r="21" spans="1:14" ht="13.8">
      <c r="A21" s="15" t="s">
        <v>51</v>
      </c>
      <c r="B21" s="5">
        <f t="shared" si="4"/>
        <v>2266.7939999999999</v>
      </c>
      <c r="C21" s="6">
        <v>2095.5810000000001</v>
      </c>
      <c r="D21" s="101">
        <f>(9635.1*2204.622)/1000000</f>
        <v>21.241753432199999</v>
      </c>
      <c r="E21" s="6">
        <f t="shared" si="5"/>
        <v>4383.6167534322003</v>
      </c>
      <c r="F21" s="53"/>
      <c r="G21" s="5">
        <f t="shared" si="1"/>
        <v>2223.0527249938004</v>
      </c>
      <c r="H21" s="123">
        <v>924.71799999999996</v>
      </c>
      <c r="I21" s="6">
        <f t="shared" si="2"/>
        <v>1298.3347249938006</v>
      </c>
      <c r="J21" s="101">
        <f>(25787.2*2204.622)/1000000</f>
        <v>56.8510284384</v>
      </c>
      <c r="K21" s="6">
        <f t="shared" si="3"/>
        <v>2279.9037534322006</v>
      </c>
      <c r="L21" s="5">
        <v>2103.7129999999997</v>
      </c>
    </row>
    <row r="22" spans="1:14" ht="13.8">
      <c r="A22" s="15" t="s">
        <v>37</v>
      </c>
      <c r="B22" s="5">
        <f t="shared" si="4"/>
        <v>2103.7129999999997</v>
      </c>
      <c r="C22" s="6">
        <v>1992.9639999999999</v>
      </c>
      <c r="D22" s="101">
        <f>(10328.5*2204.622)/1000000</f>
        <v>22.770438327000001</v>
      </c>
      <c r="E22" s="6">
        <f t="shared" si="5"/>
        <v>4119.4474383269999</v>
      </c>
      <c r="F22" s="53"/>
      <c r="G22" s="5">
        <f t="shared" si="1"/>
        <v>2083.3701238157996</v>
      </c>
      <c r="H22" s="123">
        <v>932.48199999999997</v>
      </c>
      <c r="I22" s="6">
        <f t="shared" si="2"/>
        <v>1150.8881238157996</v>
      </c>
      <c r="J22" s="101">
        <f>(20379.6*2204.622)/1000000</f>
        <v>44.929314511199998</v>
      </c>
      <c r="K22" s="6">
        <f t="shared" si="3"/>
        <v>2128.2994383269997</v>
      </c>
      <c r="L22" s="5">
        <v>1991.1480000000001</v>
      </c>
    </row>
    <row r="23" spans="1:14" ht="13.8">
      <c r="A23" s="15" t="s">
        <v>28</v>
      </c>
      <c r="B23" s="5"/>
      <c r="C23" s="6">
        <f>SUM(C11:C22)</f>
        <v>26155.173000000003</v>
      </c>
      <c r="D23" s="6">
        <f>(137422.8*2204.622)/1000000</f>
        <v>302.9653281816</v>
      </c>
      <c r="E23" s="6">
        <f>B11+C23+D23</f>
        <v>28589.371328181602</v>
      </c>
      <c r="F23" s="5"/>
      <c r="G23" s="5">
        <f>SUM(G11:G22)</f>
        <v>24827.303827433996</v>
      </c>
      <c r="H23" s="123">
        <f>SUM(H11:H22)</f>
        <v>10378.7537128</v>
      </c>
      <c r="I23" s="6">
        <f>SUM(I11:I22)</f>
        <v>14448.550114633999</v>
      </c>
      <c r="J23" s="6">
        <f>(803275.8*2204.622)/1000000</f>
        <v>1770.9195007476001</v>
      </c>
      <c r="K23" s="5">
        <f>SUM(K11:K22)</f>
        <v>26598.223328181601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5" t="s">
        <v>53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38</v>
      </c>
      <c r="B26" s="5">
        <f>L22</f>
        <v>1991.1480000000001</v>
      </c>
      <c r="C26" s="6">
        <v>2338.085</v>
      </c>
      <c r="D26" s="6">
        <f>(13491.4*2204.622)/1000000</f>
        <v>29.7434372508</v>
      </c>
      <c r="E26" s="6">
        <f t="shared" ref="E26:E33" si="6">SUM(B26:D26)</f>
        <v>4358.9764372507998</v>
      </c>
      <c r="F26" s="5"/>
      <c r="G26" s="5">
        <f t="shared" ref="G26:G33" si="7">K26-J26</f>
        <v>2241.8177746275996</v>
      </c>
      <c r="H26" s="124">
        <v>906.40899999999999</v>
      </c>
      <c r="I26" s="6">
        <f t="shared" ref="I26:I32" si="8">G26-H26</f>
        <v>1335.4087746275995</v>
      </c>
      <c r="J26" s="6">
        <f>(10675.6*2204.622)/1000000</f>
        <v>23.5356626232</v>
      </c>
      <c r="K26" s="6">
        <f t="shared" ref="K26:K32" si="9">E26-L26</f>
        <v>2265.3534372507997</v>
      </c>
      <c r="L26" s="5">
        <v>2093.623</v>
      </c>
    </row>
    <row r="27" spans="1:14" ht="13.8">
      <c r="A27" s="15" t="s">
        <v>39</v>
      </c>
      <c r="B27" s="5">
        <f t="shared" ref="B27:B33" si="10"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2183.7493667224003</v>
      </c>
      <c r="H27" s="124">
        <v>943.34199999999998</v>
      </c>
      <c r="I27" s="6">
        <f t="shared" si="8"/>
        <v>1240.4073667224002</v>
      </c>
      <c r="J27" s="6">
        <f>(10635.4*2204.622)/1000000</f>
        <v>23.447036818799997</v>
      </c>
      <c r="K27" s="6">
        <f t="shared" si="9"/>
        <v>2207.1964035412002</v>
      </c>
      <c r="L27" s="5">
        <v>2112.2809999999999</v>
      </c>
    </row>
    <row r="28" spans="1:14" ht="13.8">
      <c r="A28" s="15" t="s">
        <v>41</v>
      </c>
      <c r="B28" s="5">
        <f t="shared" si="10"/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1989.2481907986005</v>
      </c>
      <c r="H28" s="124">
        <v>885.65899999999999</v>
      </c>
      <c r="I28" s="6">
        <f t="shared" si="8"/>
        <v>1103.5891907986006</v>
      </c>
      <c r="J28" s="6">
        <f>(15806.1*2204.622)/1000000</f>
        <v>34.846475794199996</v>
      </c>
      <c r="K28" s="6">
        <f t="shared" si="9"/>
        <v>2024.0946665928004</v>
      </c>
      <c r="L28" s="5">
        <v>2306.1469999999999</v>
      </c>
    </row>
    <row r="29" spans="1:14" ht="13.8">
      <c r="A29" s="15" t="s">
        <v>42</v>
      </c>
      <c r="B29" s="5">
        <f t="shared" si="10"/>
        <v>2306.1469999999999</v>
      </c>
      <c r="C29" s="6">
        <v>2252.3119999999999</v>
      </c>
      <c r="D29" s="6">
        <f>(11450.2*2204.622)/1000000</f>
        <v>25.243362824400002</v>
      </c>
      <c r="E29" s="6">
        <f t="shared" si="6"/>
        <v>4583.7023628243996</v>
      </c>
      <c r="F29" s="5"/>
      <c r="G29" s="5">
        <f t="shared" si="7"/>
        <v>2211.8930392041998</v>
      </c>
      <c r="H29" s="124">
        <v>940.87400000000002</v>
      </c>
      <c r="I29" s="6">
        <f t="shared" si="8"/>
        <v>1271.0190392041998</v>
      </c>
      <c r="J29" s="6">
        <f>(6989.1*2204.622)/1000000</f>
        <v>15.408323620199999</v>
      </c>
      <c r="K29" s="6">
        <f t="shared" si="9"/>
        <v>2227.3013628243998</v>
      </c>
      <c r="L29" s="5">
        <v>2356.4009999999998</v>
      </c>
    </row>
    <row r="30" spans="1:14" ht="13.8">
      <c r="A30" s="15" t="s">
        <v>43</v>
      </c>
      <c r="B30" s="5">
        <f t="shared" si="10"/>
        <v>2356.4009999999998</v>
      </c>
      <c r="C30" s="6">
        <v>2091.2179999999998</v>
      </c>
      <c r="D30" s="6">
        <f>(15213.2*2204.622)/1000000</f>
        <v>33.539355410399999</v>
      </c>
      <c r="E30" s="6">
        <f t="shared" si="6"/>
        <v>4481.1583554104</v>
      </c>
      <c r="F30" s="5"/>
      <c r="G30" s="5">
        <f t="shared" si="7"/>
        <v>2091.4034745958002</v>
      </c>
      <c r="H30" s="124">
        <v>909.98699999999997</v>
      </c>
      <c r="I30" s="6">
        <f t="shared" si="8"/>
        <v>1181.4164745958001</v>
      </c>
      <c r="J30" s="6">
        <f>(11774.3*2204.622)/1000000</f>
        <v>25.957880814599999</v>
      </c>
      <c r="K30" s="6">
        <f t="shared" si="9"/>
        <v>2117.3613554103999</v>
      </c>
      <c r="L30" s="5">
        <v>2363.797</v>
      </c>
    </row>
    <row r="31" spans="1:14" ht="13.8">
      <c r="A31" s="15" t="s">
        <v>45</v>
      </c>
      <c r="B31" s="5">
        <f t="shared" si="10"/>
        <v>2363.797</v>
      </c>
      <c r="C31" s="6">
        <v>2339.5810000000001</v>
      </c>
      <c r="D31" s="6">
        <f>(15180.8*2204.622)/1000000</f>
        <v>33.467925657599999</v>
      </c>
      <c r="E31" s="6">
        <f t="shared" si="6"/>
        <v>4736.8459256576007</v>
      </c>
      <c r="F31" s="5"/>
      <c r="G31" s="5">
        <f t="shared" si="7"/>
        <v>2336.5298038548008</v>
      </c>
      <c r="H31" s="124">
        <v>952.70299999999997</v>
      </c>
      <c r="I31" s="6">
        <f t="shared" si="8"/>
        <v>1383.8268038548008</v>
      </c>
      <c r="J31" s="6">
        <f>(5807.4*2204.622)/1000000</f>
        <v>12.803121802799998</v>
      </c>
      <c r="K31" s="6">
        <f t="shared" si="9"/>
        <v>2349.3329256576008</v>
      </c>
      <c r="L31" s="5">
        <v>2387.5129999999999</v>
      </c>
    </row>
    <row r="32" spans="1:14" ht="13.8">
      <c r="A32" s="15" t="s">
        <v>46</v>
      </c>
      <c r="B32" s="5">
        <f t="shared" si="10"/>
        <v>2387.5129999999999</v>
      </c>
      <c r="C32" s="6">
        <v>2236.3009999999999</v>
      </c>
      <c r="D32" s="6">
        <f>(15750.7*2204.622)/1000000</f>
        <v>34.724339735400001</v>
      </c>
      <c r="E32" s="6">
        <f t="shared" si="6"/>
        <v>4658.5383397353999</v>
      </c>
      <c r="F32" s="5"/>
      <c r="G32" s="5">
        <f t="shared" si="7"/>
        <v>2058.2364235171999</v>
      </c>
      <c r="H32" s="124">
        <v>926.59799999999996</v>
      </c>
      <c r="I32" s="6">
        <f t="shared" si="8"/>
        <v>1131.6384235172</v>
      </c>
      <c r="J32" s="6">
        <f>(27498.1*2204.622)/1000000</f>
        <v>60.62291621819999</v>
      </c>
      <c r="K32" s="6">
        <f t="shared" si="9"/>
        <v>2118.8593397353998</v>
      </c>
      <c r="L32" s="5">
        <v>2539.6790000000001</v>
      </c>
    </row>
    <row r="33" spans="1:12" ht="13.8">
      <c r="A33" s="15" t="s">
        <v>47</v>
      </c>
      <c r="B33" s="5">
        <f t="shared" si="10"/>
        <v>2539.6790000000001</v>
      </c>
      <c r="C33" s="6">
        <v>2228.3719999999998</v>
      </c>
      <c r="D33" s="6">
        <f>(24574.7*2204.622)/1000000</f>
        <v>54.177924263399994</v>
      </c>
      <c r="E33" s="6">
        <f t="shared" si="6"/>
        <v>4822.2289242633997</v>
      </c>
      <c r="F33" s="5"/>
      <c r="G33" s="5">
        <f t="shared" si="7"/>
        <v>2385.7924694315993</v>
      </c>
      <c r="H33" s="124">
        <v>1140.8710000000001</v>
      </c>
      <c r="I33" s="6">
        <f>G33-H33</f>
        <v>1244.9214694315992</v>
      </c>
      <c r="J33" s="6">
        <f>(22776.9*2204.622)/1000000</f>
        <v>50.214454831799998</v>
      </c>
      <c r="K33" s="6">
        <f>E33-L33</f>
        <v>2436.0069242633995</v>
      </c>
      <c r="L33" s="5">
        <v>2386.2220000000002</v>
      </c>
    </row>
    <row r="34" spans="1:12" ht="13.8">
      <c r="A34" s="15" t="s">
        <v>49</v>
      </c>
      <c r="B34" s="5">
        <f>L33</f>
        <v>2386.2220000000002</v>
      </c>
      <c r="C34" s="6">
        <v>2074.857</v>
      </c>
      <c r="D34" s="6">
        <f>(7900.8*2204.622)/1000000</f>
        <v>17.418277497600002</v>
      </c>
      <c r="E34" s="6">
        <f>SUM(B34:D34)</f>
        <v>4478.4972774975995</v>
      </c>
      <c r="F34" s="5"/>
      <c r="G34" s="5">
        <f>K34-J34</f>
        <v>2235.5639103903995</v>
      </c>
      <c r="H34" s="124">
        <v>1206.92</v>
      </c>
      <c r="I34" s="6">
        <f>G34-H34</f>
        <v>1028.6439103903995</v>
      </c>
      <c r="J34" s="6">
        <f>(18097.6*2204.622)/1000000</f>
        <v>39.898367107199995</v>
      </c>
      <c r="K34" s="6">
        <f>E34-L34</f>
        <v>2275.4622774975996</v>
      </c>
      <c r="L34" s="5">
        <v>2203.0349999999999</v>
      </c>
    </row>
    <row r="35" spans="1:12" ht="13.8">
      <c r="A35" s="15" t="s">
        <v>50</v>
      </c>
      <c r="B35" s="5">
        <f>L34</f>
        <v>2203.0349999999999</v>
      </c>
      <c r="C35" s="6">
        <v>2180.0360000000001</v>
      </c>
      <c r="D35" s="6">
        <f>(12459.1*2204.622)/1000000</f>
        <v>27.4676059602</v>
      </c>
      <c r="E35" s="6">
        <f>SUM(B35:D35)</f>
        <v>4410.5386059601997</v>
      </c>
      <c r="F35" s="5"/>
      <c r="G35" s="5">
        <f>K35-J35</f>
        <v>2237.1172955073994</v>
      </c>
      <c r="H35" s="124">
        <v>1272.7660000000001</v>
      </c>
      <c r="I35" s="152">
        <f>G35-H35</f>
        <v>964.3512955073993</v>
      </c>
      <c r="J35" s="6">
        <f>(16882.4*2204.622)/1000000</f>
        <v>37.219310452799995</v>
      </c>
      <c r="K35" s="6">
        <f>E35-L35</f>
        <v>2274.3366059601994</v>
      </c>
      <c r="L35" s="5">
        <v>2136.2020000000002</v>
      </c>
    </row>
    <row r="36" spans="1:12" ht="13.8">
      <c r="A36" s="14" t="s">
        <v>51</v>
      </c>
      <c r="B36" s="120">
        <f>L35</f>
        <v>2136.2020000000002</v>
      </c>
      <c r="C36" s="155">
        <v>2014.153</v>
      </c>
      <c r="D36" s="119">
        <f>(21101.4*2204.622)/1000000</f>
        <v>46.520610670800004</v>
      </c>
      <c r="E36" s="119">
        <f>SUM(B36:D36)</f>
        <v>4196.8756106708006</v>
      </c>
      <c r="F36" s="120"/>
      <c r="G36" s="120">
        <f>K36-J36</f>
        <v>2398.3625488780008</v>
      </c>
      <c r="H36" s="119" t="s">
        <v>78</v>
      </c>
      <c r="I36" s="119" t="s">
        <v>78</v>
      </c>
      <c r="J36" s="119">
        <f>(11852.4*2204.622)/1000000</f>
        <v>26.130061792799999</v>
      </c>
      <c r="K36" s="119">
        <f>E36-L36</f>
        <v>2424.4926106708008</v>
      </c>
      <c r="L36" s="120">
        <v>1772.383</v>
      </c>
    </row>
    <row r="37" spans="1:12" ht="16.2">
      <c r="A37" s="46" t="s">
        <v>79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14.4">
      <c r="A38" s="15" t="s">
        <v>69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13.8">
      <c r="A39" s="20" t="s">
        <v>57</v>
      </c>
      <c r="B39" s="41">
        <f>Contents!A16</f>
        <v>45215</v>
      </c>
      <c r="K39" s="39"/>
    </row>
    <row r="40" spans="1:12">
      <c r="E40" s="39"/>
    </row>
    <row r="41" spans="1:12">
      <c r="H41" s="116"/>
    </row>
  </sheetData>
  <mergeCells count="3">
    <mergeCell ref="B5:L5"/>
    <mergeCell ref="G2:I2"/>
    <mergeCell ref="B2:E2"/>
  </mergeCells>
  <phoneticPr fontId="35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3.44140625" customWidth="1"/>
    <col min="5" max="5" width="15.33203125" customWidth="1"/>
    <col min="6" max="6" width="11.44140625" customWidth="1"/>
    <col min="7" max="7" width="11.6640625" customWidth="1"/>
    <col min="8" max="8" width="8.6640625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7.5546875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76" t="s">
        <v>58</v>
      </c>
      <c r="C2" s="176"/>
      <c r="D2" s="176"/>
      <c r="E2" s="176"/>
      <c r="F2" s="78"/>
      <c r="G2" s="176" t="s">
        <v>59</v>
      </c>
      <c r="H2" s="176"/>
      <c r="I2" s="176"/>
      <c r="J2" s="176"/>
      <c r="K2" s="78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62" t="s">
        <v>26</v>
      </c>
      <c r="D4" s="25" t="s">
        <v>71</v>
      </c>
      <c r="E4" s="23" t="s">
        <v>82</v>
      </c>
      <c r="F4" s="24"/>
      <c r="G4" s="23" t="s">
        <v>83</v>
      </c>
      <c r="H4" s="23" t="s">
        <v>30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181" t="s">
        <v>86</v>
      </c>
      <c r="C5" s="181"/>
      <c r="D5" s="181"/>
      <c r="E5" s="181"/>
      <c r="F5" s="181"/>
      <c r="G5" s="181"/>
      <c r="H5" s="181"/>
      <c r="I5" s="181"/>
      <c r="J5" s="181"/>
      <c r="K5" s="181"/>
      <c r="L5" s="15"/>
      <c r="M5" s="15"/>
      <c r="N5" s="15"/>
      <c r="O5" s="15"/>
    </row>
    <row r="6" spans="1:15" ht="13.8">
      <c r="A6" s="15" t="s">
        <v>34</v>
      </c>
      <c r="B6" s="80">
        <v>395.43068871102241</v>
      </c>
      <c r="C6" s="80">
        <v>5323</v>
      </c>
      <c r="D6" s="81">
        <v>24.765738432900992</v>
      </c>
      <c r="E6" s="80">
        <f>B6+C6+D6</f>
        <v>5743.1964271439238</v>
      </c>
      <c r="F6" s="82"/>
      <c r="G6" s="80">
        <v>1556.9839999999999</v>
      </c>
      <c r="H6" s="83">
        <v>292.99103926406997</v>
      </c>
      <c r="I6" s="80">
        <f>J6-G6-H6</f>
        <v>3497.8</v>
      </c>
      <c r="J6" s="80">
        <f>E6-K6</f>
        <v>5347.7750392640701</v>
      </c>
      <c r="K6" s="80">
        <v>395.42138787985368</v>
      </c>
      <c r="L6" s="15"/>
      <c r="M6" s="15"/>
      <c r="N6" s="115"/>
      <c r="O6" s="15"/>
    </row>
    <row r="7" spans="1:15" ht="16.2">
      <c r="A7" s="15" t="s">
        <v>35</v>
      </c>
      <c r="B7" s="80">
        <f>K6</f>
        <v>395.42138787985368</v>
      </c>
      <c r="C7" s="80">
        <v>4415</v>
      </c>
      <c r="D7" s="81">
        <v>101.14</v>
      </c>
      <c r="E7" s="80">
        <f>B7+C7+D7</f>
        <v>4911.561387879854</v>
      </c>
      <c r="F7" s="82"/>
      <c r="G7" s="80">
        <v>1389.82</v>
      </c>
      <c r="H7" s="83">
        <v>185.61</v>
      </c>
      <c r="I7" s="80">
        <f>J7-G7-H7</f>
        <v>2951.1313878798542</v>
      </c>
      <c r="J7" s="80">
        <f>E7-K7</f>
        <v>4526.561387879854</v>
      </c>
      <c r="K7" s="80">
        <v>385</v>
      </c>
      <c r="L7" s="15"/>
      <c r="M7" s="15"/>
      <c r="N7" s="115"/>
      <c r="O7" s="15"/>
    </row>
    <row r="8" spans="1:15" ht="16.2">
      <c r="A8" s="14" t="s">
        <v>36</v>
      </c>
      <c r="B8" s="158">
        <f>K7</f>
        <v>385</v>
      </c>
      <c r="C8" s="158">
        <v>3900</v>
      </c>
      <c r="D8" s="159">
        <v>50</v>
      </c>
      <c r="E8" s="158">
        <f>B8+C8+D8</f>
        <v>4335</v>
      </c>
      <c r="F8" s="160"/>
      <c r="G8" s="158">
        <v>1350</v>
      </c>
      <c r="H8" s="161">
        <v>150</v>
      </c>
      <c r="I8" s="158">
        <v>2505</v>
      </c>
      <c r="J8" s="158">
        <f>SUM(G8:I8)</f>
        <v>4005</v>
      </c>
      <c r="K8" s="158">
        <f>E8-J8</f>
        <v>330</v>
      </c>
      <c r="L8" s="15"/>
      <c r="M8" s="15"/>
      <c r="N8" s="15"/>
      <c r="O8" s="15"/>
    </row>
    <row r="9" spans="1:15" ht="16.2">
      <c r="A9" s="46" t="s">
        <v>87</v>
      </c>
      <c r="B9" s="15"/>
      <c r="C9" s="79"/>
      <c r="D9" s="79"/>
      <c r="E9" s="79"/>
      <c r="F9" s="79"/>
      <c r="G9" s="84"/>
      <c r="H9" s="79"/>
      <c r="I9" s="79"/>
      <c r="J9" s="79"/>
      <c r="K9" s="15"/>
      <c r="L9" s="15"/>
      <c r="M9" s="15"/>
      <c r="N9" s="15"/>
      <c r="O9" s="15"/>
    </row>
    <row r="10" spans="1:15" ht="14.4">
      <c r="A10" s="15" t="s">
        <v>88</v>
      </c>
      <c r="B10" s="33"/>
      <c r="C10" s="38"/>
      <c r="D10" s="15"/>
      <c r="E10" s="33"/>
      <c r="F10" s="33"/>
      <c r="G10" s="33"/>
      <c r="H10" s="33"/>
      <c r="I10" s="33"/>
      <c r="J10" s="33"/>
      <c r="K10" s="15"/>
      <c r="L10" s="15"/>
      <c r="M10" s="15"/>
      <c r="N10" s="15"/>
      <c r="O10" s="15"/>
    </row>
    <row r="11" spans="1:15" ht="14.4">
      <c r="A11" s="15" t="s">
        <v>89</v>
      </c>
      <c r="B11" s="33"/>
      <c r="C11" s="38"/>
      <c r="D11" s="15"/>
      <c r="E11" s="33"/>
      <c r="F11" s="33"/>
      <c r="G11" s="33"/>
      <c r="H11" s="33"/>
      <c r="I11" s="33"/>
      <c r="J11" s="33"/>
      <c r="K11" s="15"/>
      <c r="L11" s="15"/>
      <c r="M11" s="15"/>
      <c r="N11" s="15"/>
      <c r="O11" s="15"/>
    </row>
    <row r="12" spans="1:15" ht="13.8">
      <c r="A12" s="15"/>
      <c r="B12" s="33"/>
      <c r="C12" s="38"/>
      <c r="D12" s="15"/>
      <c r="E12" s="33"/>
      <c r="F12" s="33"/>
      <c r="G12" s="33"/>
      <c r="H12" s="33"/>
      <c r="I12" s="33"/>
      <c r="J12" s="33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76" t="s">
        <v>58</v>
      </c>
      <c r="C15" s="176"/>
      <c r="D15" s="176"/>
      <c r="E15" s="176"/>
      <c r="F15" s="15"/>
      <c r="G15" s="176" t="s">
        <v>59</v>
      </c>
      <c r="H15" s="176"/>
      <c r="I15" s="176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62" t="s">
        <v>26</v>
      </c>
      <c r="D17" s="25" t="s">
        <v>71</v>
      </c>
      <c r="E17" s="23" t="s">
        <v>85</v>
      </c>
      <c r="F17" s="24"/>
      <c r="G17" s="80" t="s">
        <v>90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81" t="s">
        <v>91</v>
      </c>
      <c r="C18" s="181"/>
      <c r="D18" s="181"/>
      <c r="E18" s="181"/>
      <c r="F18" s="181"/>
      <c r="G18" s="181"/>
      <c r="H18" s="181"/>
      <c r="I18" s="181"/>
      <c r="J18" s="181"/>
      <c r="K18" s="15"/>
      <c r="L18" s="15"/>
      <c r="M18" s="15"/>
      <c r="N18" s="15"/>
      <c r="O18" s="15"/>
    </row>
    <row r="19" spans="1:15" ht="13.8">
      <c r="A19" s="15" t="s">
        <v>34</v>
      </c>
      <c r="B19" s="80">
        <v>39.305999999999997</v>
      </c>
      <c r="C19" s="83">
        <v>695</v>
      </c>
      <c r="D19" s="105">
        <v>0.10141264051999997</v>
      </c>
      <c r="E19" s="83">
        <f>B19+C19+D19</f>
        <v>734.40741264052008</v>
      </c>
      <c r="F19" s="82"/>
      <c r="G19" s="83">
        <f>E19-J19-H19</f>
        <v>655.27531148258311</v>
      </c>
      <c r="H19" s="83">
        <v>56.816101157936991</v>
      </c>
      <c r="I19" s="83">
        <f>SUM(G19:H19)</f>
        <v>712.09141264052005</v>
      </c>
      <c r="J19" s="80">
        <v>22.315999999999999</v>
      </c>
      <c r="K19" s="15"/>
      <c r="L19" s="15"/>
      <c r="M19" s="15"/>
      <c r="N19" s="15"/>
      <c r="O19" s="15"/>
    </row>
    <row r="20" spans="1:15" ht="16.2">
      <c r="A20" s="15" t="s">
        <v>35</v>
      </c>
      <c r="B20" s="80">
        <f>J19</f>
        <v>22.315999999999999</v>
      </c>
      <c r="C20" s="83">
        <v>580</v>
      </c>
      <c r="D20" s="81">
        <v>0</v>
      </c>
      <c r="E20" s="83">
        <f>B20+C20+D20</f>
        <v>602.31600000000003</v>
      </c>
      <c r="F20" s="82"/>
      <c r="G20" s="83">
        <f>E20-J20-H20</f>
        <v>502.31600000000003</v>
      </c>
      <c r="H20" s="83">
        <v>60</v>
      </c>
      <c r="I20" s="83">
        <f>SUM(G20:H20)</f>
        <v>562.31600000000003</v>
      </c>
      <c r="J20" s="80">
        <v>40</v>
      </c>
      <c r="K20" s="15"/>
      <c r="L20" s="15"/>
      <c r="M20" s="15"/>
      <c r="N20" s="15"/>
      <c r="O20" s="15"/>
    </row>
    <row r="21" spans="1:15" ht="16.2">
      <c r="A21" s="14" t="s">
        <v>36</v>
      </c>
      <c r="B21" s="158">
        <f>J20</f>
        <v>40</v>
      </c>
      <c r="C21" s="161">
        <v>610</v>
      </c>
      <c r="D21" s="159">
        <v>0</v>
      </c>
      <c r="E21" s="161">
        <f>B21+C21+D21</f>
        <v>650</v>
      </c>
      <c r="F21" s="160"/>
      <c r="G21" s="161">
        <v>555</v>
      </c>
      <c r="H21" s="161">
        <v>60</v>
      </c>
      <c r="I21" s="161">
        <f>SUM(G21:H21)</f>
        <v>615</v>
      </c>
      <c r="J21" s="158">
        <f>E21-I21</f>
        <v>35</v>
      </c>
      <c r="K21" s="15"/>
      <c r="L21" s="15"/>
      <c r="M21" s="15"/>
      <c r="N21" s="15"/>
      <c r="O21" s="15"/>
    </row>
    <row r="22" spans="1:15" ht="16.2">
      <c r="A22" s="46" t="s">
        <v>87</v>
      </c>
      <c r="B22" s="15"/>
      <c r="C22" s="79"/>
      <c r="D22" s="79"/>
      <c r="E22" s="79"/>
      <c r="F22" s="79"/>
      <c r="G22" s="79"/>
      <c r="H22" s="79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82"/>
      <c r="C23" s="82"/>
      <c r="D23" s="82"/>
      <c r="E23" s="82"/>
      <c r="F23" s="82"/>
      <c r="G23" s="82"/>
      <c r="H23" s="82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33"/>
      <c r="C24" s="33"/>
      <c r="D24" s="33"/>
      <c r="E24" s="33"/>
      <c r="F24" s="33"/>
      <c r="G24" s="33"/>
      <c r="H24" s="33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33"/>
      <c r="C25" s="38"/>
      <c r="D25" s="33"/>
      <c r="E25" s="33"/>
      <c r="F25" s="33"/>
      <c r="G25" s="33"/>
      <c r="H25" s="33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76" t="s">
        <v>58</v>
      </c>
      <c r="C27" s="176"/>
      <c r="D27" s="176"/>
      <c r="E27" s="176"/>
      <c r="F27" s="15"/>
      <c r="G27" s="176" t="s">
        <v>59</v>
      </c>
      <c r="H27" s="176"/>
      <c r="I27" s="176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85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81" t="s">
        <v>75</v>
      </c>
      <c r="C30" s="181"/>
      <c r="D30" s="181"/>
      <c r="E30" s="181"/>
      <c r="F30" s="181"/>
      <c r="G30" s="181"/>
      <c r="H30" s="181"/>
      <c r="I30" s="181"/>
      <c r="J30" s="181"/>
      <c r="K30" s="15"/>
      <c r="L30" s="15"/>
      <c r="M30" s="15"/>
      <c r="N30" s="15"/>
      <c r="O30" s="15"/>
    </row>
    <row r="31" spans="1:15" ht="13.8">
      <c r="A31" s="15" t="s">
        <v>34</v>
      </c>
      <c r="B31" s="81">
        <v>48.207999999999998</v>
      </c>
      <c r="C31" s="83">
        <v>430</v>
      </c>
      <c r="D31" s="81">
        <v>24.878063955389997</v>
      </c>
      <c r="E31" s="85">
        <f>B31+C31+D31</f>
        <v>503.08606395538999</v>
      </c>
      <c r="F31" s="82"/>
      <c r="G31" s="83">
        <f>I31-H31</f>
        <v>325.68860562582</v>
      </c>
      <c r="H31" s="83">
        <v>127.69945832956999</v>
      </c>
      <c r="I31" s="83">
        <f>E31-J31</f>
        <v>453.38806395539001</v>
      </c>
      <c r="J31" s="83">
        <v>49.698</v>
      </c>
      <c r="K31" s="15"/>
      <c r="L31" s="15"/>
      <c r="M31" s="15"/>
      <c r="N31" s="15"/>
      <c r="O31" s="15"/>
    </row>
    <row r="32" spans="1:15" ht="16.2">
      <c r="A32" s="15" t="s">
        <v>35</v>
      </c>
      <c r="B32" s="81">
        <f>J31</f>
        <v>49.698</v>
      </c>
      <c r="C32" s="83">
        <v>370</v>
      </c>
      <c r="D32" s="81">
        <v>20</v>
      </c>
      <c r="E32" s="85">
        <f>B32+C32+D32</f>
        <v>439.69799999999998</v>
      </c>
      <c r="F32" s="82"/>
      <c r="G32" s="83">
        <v>310</v>
      </c>
      <c r="H32" s="83">
        <v>80</v>
      </c>
      <c r="I32" s="83">
        <f>SUM(G32:H32)</f>
        <v>390</v>
      </c>
      <c r="J32" s="83">
        <f>E32-I32</f>
        <v>49.697999999999979</v>
      </c>
      <c r="K32" s="15"/>
      <c r="L32" s="15"/>
      <c r="M32" s="15"/>
      <c r="N32" s="15"/>
      <c r="O32" s="15"/>
    </row>
    <row r="33" spans="1:17" ht="16.2">
      <c r="A33" s="14" t="s">
        <v>36</v>
      </c>
      <c r="B33" s="159">
        <f>J32</f>
        <v>49.697999999999979</v>
      </c>
      <c r="C33" s="161">
        <v>365</v>
      </c>
      <c r="D33" s="159">
        <v>20</v>
      </c>
      <c r="E33" s="162">
        <f>B33+C33+D33</f>
        <v>434.69799999999998</v>
      </c>
      <c r="F33" s="160"/>
      <c r="G33" s="161">
        <v>315</v>
      </c>
      <c r="H33" s="161">
        <v>70</v>
      </c>
      <c r="I33" s="161">
        <f>SUM(G33:H33)</f>
        <v>385</v>
      </c>
      <c r="J33" s="161">
        <f>E33-I33</f>
        <v>49.697999999999979</v>
      </c>
      <c r="K33" s="15"/>
      <c r="L33" s="15"/>
      <c r="M33" s="15"/>
      <c r="N33" s="15"/>
      <c r="O33" s="15"/>
    </row>
    <row r="34" spans="1:17" ht="16.2">
      <c r="A34" s="46" t="s">
        <v>87</v>
      </c>
      <c r="B34" s="15"/>
      <c r="C34" s="79"/>
      <c r="D34" s="79"/>
      <c r="E34" s="79"/>
      <c r="F34" s="79"/>
      <c r="G34" s="79"/>
      <c r="H34" s="79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92</v>
      </c>
      <c r="B35" s="33"/>
      <c r="C35" s="38"/>
      <c r="D35" s="33"/>
      <c r="E35" s="33"/>
      <c r="F35" s="33"/>
      <c r="G35" s="33"/>
      <c r="H35" s="33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176" t="s">
        <v>13</v>
      </c>
      <c r="C39" s="176"/>
      <c r="D39" s="17" t="s">
        <v>14</v>
      </c>
      <c r="E39" s="176" t="s">
        <v>15</v>
      </c>
      <c r="F39" s="176"/>
      <c r="G39" s="176"/>
      <c r="H39" s="176"/>
      <c r="I39" s="15"/>
      <c r="J39" s="176" t="s">
        <v>59</v>
      </c>
      <c r="K39" s="176"/>
      <c r="L39" s="176"/>
      <c r="M39" s="176"/>
      <c r="N39" s="176"/>
      <c r="O39" s="78"/>
    </row>
    <row r="40" spans="1:17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9" t="s">
        <v>90</v>
      </c>
      <c r="K40" s="17"/>
      <c r="L40" s="17" t="s">
        <v>22</v>
      </c>
      <c r="M40" s="17"/>
      <c r="N40" s="17"/>
      <c r="O40" s="17" t="s">
        <v>60</v>
      </c>
    </row>
    <row r="41" spans="1:17" ht="13.8">
      <c r="A41" s="21" t="s">
        <v>80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7" ht="14.4">
      <c r="A42" s="15"/>
      <c r="B42" s="179" t="s">
        <v>94</v>
      </c>
      <c r="C42" s="180"/>
      <c r="D42" s="86" t="s">
        <v>95</v>
      </c>
      <c r="E42" s="182" t="s">
        <v>96</v>
      </c>
      <c r="F42" s="181"/>
      <c r="G42" s="181"/>
      <c r="H42" s="181"/>
      <c r="I42" s="181"/>
      <c r="J42" s="181"/>
      <c r="K42" s="181"/>
      <c r="L42" s="181"/>
      <c r="M42" s="181"/>
      <c r="N42" s="181"/>
      <c r="O42" s="180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34</v>
      </c>
      <c r="B44" s="80">
        <v>1580.2</v>
      </c>
      <c r="C44" s="80">
        <v>1540.1</v>
      </c>
      <c r="D44" s="80">
        <f>F44*1000/C44</f>
        <v>4130.4662034932799</v>
      </c>
      <c r="E44" s="80">
        <v>1968.162</v>
      </c>
      <c r="F44" s="80">
        <v>6361.3310000000001</v>
      </c>
      <c r="G44" s="83">
        <v>107.03</v>
      </c>
      <c r="H44" s="80">
        <f>SUM(E44:G44)</f>
        <v>8436.523000000001</v>
      </c>
      <c r="I44" s="80"/>
      <c r="J44" s="80">
        <v>3313.1</v>
      </c>
      <c r="K44" s="80">
        <v>842.43200000000002</v>
      </c>
      <c r="L44" s="83">
        <f t="shared" ref="L44:L45" si="0">N44-J44-K44-M44</f>
        <v>736.59400000000142</v>
      </c>
      <c r="M44" s="83">
        <v>1184.1400000000001</v>
      </c>
      <c r="N44" s="80">
        <f>H44-O44</f>
        <v>6076.2660000000014</v>
      </c>
      <c r="O44" s="80">
        <v>2360.2570000000001</v>
      </c>
      <c r="P44" s="103"/>
      <c r="Q44" s="103"/>
    </row>
    <row r="45" spans="1:17" ht="16.2">
      <c r="A45" s="15" t="s">
        <v>35</v>
      </c>
      <c r="B45" s="80">
        <v>1450.3</v>
      </c>
      <c r="C45" s="80">
        <v>1383.1</v>
      </c>
      <c r="D45" s="80">
        <f>F45*1000/C45</f>
        <v>4007.5865808690623</v>
      </c>
      <c r="E45" s="80">
        <f>O44</f>
        <v>2360.2570000000001</v>
      </c>
      <c r="F45" s="80">
        <v>5542.893</v>
      </c>
      <c r="G45" s="83">
        <v>102.91</v>
      </c>
      <c r="H45" s="80">
        <f>SUM(E45:G45)</f>
        <v>8006.0599999999995</v>
      </c>
      <c r="I45" s="80"/>
      <c r="J45" s="80">
        <v>3201</v>
      </c>
      <c r="K45" s="80">
        <v>794.7</v>
      </c>
      <c r="L45" s="83">
        <f t="shared" si="0"/>
        <v>781.34399999999914</v>
      </c>
      <c r="M45" s="83">
        <v>1195.93</v>
      </c>
      <c r="N45" s="80">
        <f>H45-O45</f>
        <v>5972.9739999999993</v>
      </c>
      <c r="O45" s="80">
        <v>2033.086</v>
      </c>
      <c r="P45" s="103"/>
      <c r="Q45" s="103"/>
    </row>
    <row r="46" spans="1:17" ht="16.2">
      <c r="A46" s="14" t="s">
        <v>36</v>
      </c>
      <c r="B46" s="158">
        <v>1650</v>
      </c>
      <c r="C46" s="158">
        <v>1599.8</v>
      </c>
      <c r="D46" s="158">
        <f>F46*1000/C46</f>
        <v>3905.1506438304791</v>
      </c>
      <c r="E46" s="158">
        <f>O45</f>
        <v>2033.086</v>
      </c>
      <c r="F46" s="158">
        <v>6247.46</v>
      </c>
      <c r="G46" s="161">
        <v>115</v>
      </c>
      <c r="H46" s="158">
        <f>SUM(E46:G46)</f>
        <v>8395.5460000000003</v>
      </c>
      <c r="I46" s="158"/>
      <c r="J46" s="158">
        <v>3318.5819999999999</v>
      </c>
      <c r="K46" s="158">
        <v>850</v>
      </c>
      <c r="L46" s="161">
        <v>729</v>
      </c>
      <c r="M46" s="161">
        <v>1350</v>
      </c>
      <c r="N46" s="158">
        <f>SUM(J46:M46)</f>
        <v>6247.5820000000003</v>
      </c>
      <c r="O46" s="158">
        <f>H46-N46</f>
        <v>2147.9639999999999</v>
      </c>
      <c r="P46" s="103"/>
      <c r="Q46" s="103"/>
    </row>
    <row r="47" spans="1:17" ht="16.2">
      <c r="A47" s="46" t="s">
        <v>87</v>
      </c>
      <c r="B47" s="15"/>
      <c r="C47" s="79"/>
      <c r="D47" s="79"/>
      <c r="E47" s="79"/>
      <c r="F47" s="79"/>
      <c r="G47" s="79"/>
      <c r="H47" s="79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87">
        <f>Contents!A16</f>
        <v>45215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88"/>
      <c r="B51" s="89"/>
      <c r="C51" s="89"/>
      <c r="D51" s="89"/>
      <c r="E51" s="89"/>
      <c r="F51" s="89"/>
      <c r="G51" s="89"/>
      <c r="H51" s="89"/>
      <c r="I51" s="89"/>
      <c r="J51" s="114"/>
      <c r="K51" s="89"/>
      <c r="L51" s="89"/>
      <c r="M51" s="89"/>
      <c r="N51" s="89"/>
      <c r="O51" s="89"/>
    </row>
    <row r="52" spans="1:15" ht="15.6">
      <c r="G52" s="68"/>
      <c r="H52" s="68"/>
    </row>
    <row r="53" spans="1:15" ht="15.6">
      <c r="G53" s="68"/>
      <c r="H53" s="68"/>
    </row>
    <row r="54" spans="1:15" ht="15.6">
      <c r="G54" s="68"/>
      <c r="H54" s="68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35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50"/>
  <sheetViews>
    <sheetView showGridLines="0" zoomScale="70" zoomScaleNormal="70" workbookViewId="0"/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5" width="25.6640625" bestFit="1" customWidth="1"/>
    <col min="6" max="6" width="16.664062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50"/>
      <c r="D3" s="50"/>
      <c r="E3" s="50"/>
      <c r="F3" s="50"/>
      <c r="G3" s="50"/>
    </row>
    <row r="4" spans="1:10" ht="14.4">
      <c r="A4" s="51"/>
      <c r="B4" s="52" t="s">
        <v>106</v>
      </c>
      <c r="C4" s="52" t="s">
        <v>107</v>
      </c>
      <c r="D4" s="52" t="s">
        <v>108</v>
      </c>
      <c r="E4" s="52" t="s">
        <v>108</v>
      </c>
      <c r="F4" s="52" t="s">
        <v>109</v>
      </c>
      <c r="G4" s="52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53">
        <v>11.3</v>
      </c>
      <c r="C6" s="53">
        <v>161</v>
      </c>
      <c r="D6" s="53">
        <v>23.3</v>
      </c>
      <c r="E6" s="53">
        <v>19.3</v>
      </c>
      <c r="F6" s="53">
        <v>22.5</v>
      </c>
      <c r="G6" s="53">
        <v>12.2</v>
      </c>
      <c r="J6" s="69"/>
    </row>
    <row r="7" spans="1:10" ht="13.8">
      <c r="A7" s="15" t="s">
        <v>111</v>
      </c>
      <c r="B7" s="53">
        <v>12.5</v>
      </c>
      <c r="C7" s="53">
        <v>260</v>
      </c>
      <c r="D7" s="53">
        <v>29.1</v>
      </c>
      <c r="E7" s="53">
        <v>24</v>
      </c>
      <c r="F7" s="53">
        <v>31.8</v>
      </c>
      <c r="G7" s="53">
        <v>13.9</v>
      </c>
      <c r="J7" s="69"/>
    </row>
    <row r="8" spans="1:10" ht="13.8">
      <c r="A8" s="15" t="s">
        <v>112</v>
      </c>
      <c r="B8" s="53">
        <v>14.4</v>
      </c>
      <c r="C8" s="53">
        <v>252</v>
      </c>
      <c r="D8" s="53">
        <v>25.4</v>
      </c>
      <c r="E8" s="53">
        <v>26.5</v>
      </c>
      <c r="F8" s="53">
        <v>30.1</v>
      </c>
      <c r="G8" s="53">
        <v>13.8</v>
      </c>
      <c r="J8" s="69"/>
    </row>
    <row r="9" spans="1:10" ht="13.8">
      <c r="A9" s="15" t="s">
        <v>113</v>
      </c>
      <c r="B9" s="53">
        <v>13</v>
      </c>
      <c r="C9" s="53">
        <v>246</v>
      </c>
      <c r="D9" s="53">
        <v>21.4</v>
      </c>
      <c r="E9" s="53">
        <v>20.6</v>
      </c>
      <c r="F9" s="53">
        <v>24.9</v>
      </c>
      <c r="G9" s="53">
        <v>13.8</v>
      </c>
      <c r="J9" s="69"/>
    </row>
    <row r="10" spans="1:10" ht="13.8">
      <c r="A10" s="15" t="s">
        <v>114</v>
      </c>
      <c r="B10" s="53">
        <v>10.1</v>
      </c>
      <c r="C10" s="53">
        <v>194</v>
      </c>
      <c r="D10" s="53">
        <v>21.7</v>
      </c>
      <c r="E10" s="53">
        <v>16.899999999999999</v>
      </c>
      <c r="F10" s="53">
        <v>22</v>
      </c>
      <c r="G10" s="53">
        <v>11.8</v>
      </c>
      <c r="J10" s="69"/>
    </row>
    <row r="11" spans="1:10" ht="13.8">
      <c r="A11" s="15" t="s">
        <v>115</v>
      </c>
      <c r="B11" s="53">
        <v>8.9499999999999993</v>
      </c>
      <c r="C11" s="53">
        <v>227</v>
      </c>
      <c r="D11" s="53">
        <v>19.600000000000001</v>
      </c>
      <c r="E11" s="53">
        <v>15.6</v>
      </c>
      <c r="F11" s="53">
        <v>19.3</v>
      </c>
      <c r="G11" s="53">
        <v>8.9499999999999993</v>
      </c>
      <c r="J11" s="69"/>
    </row>
    <row r="12" spans="1:10" ht="13.8">
      <c r="A12" s="15" t="s">
        <v>116</v>
      </c>
      <c r="B12" s="53">
        <v>9.4700000000000006</v>
      </c>
      <c r="C12" s="53">
        <v>195</v>
      </c>
      <c r="D12" s="53">
        <v>17.399999999999999</v>
      </c>
      <c r="E12" s="53">
        <v>16.600000000000001</v>
      </c>
      <c r="F12" s="53">
        <v>19.7</v>
      </c>
      <c r="G12" s="53">
        <v>8</v>
      </c>
      <c r="J12" s="69"/>
    </row>
    <row r="13" spans="1:10" ht="13.8">
      <c r="A13" s="15" t="s">
        <v>117</v>
      </c>
      <c r="B13" s="53">
        <v>9.33</v>
      </c>
      <c r="C13" s="53">
        <v>142</v>
      </c>
      <c r="D13" s="53">
        <v>17.2</v>
      </c>
      <c r="E13" s="53">
        <v>17.5</v>
      </c>
      <c r="F13" s="53">
        <v>22.9</v>
      </c>
      <c r="G13" s="53">
        <v>9.5299999999999994</v>
      </c>
      <c r="J13" s="69"/>
    </row>
    <row r="14" spans="1:10" ht="13.8">
      <c r="A14" s="15" t="s">
        <v>118</v>
      </c>
      <c r="B14" s="53">
        <v>8.48</v>
      </c>
      <c r="C14" s="53">
        <v>155</v>
      </c>
      <c r="D14" s="53">
        <v>17.399999999999999</v>
      </c>
      <c r="E14" s="53">
        <v>15.8</v>
      </c>
      <c r="F14" s="53">
        <v>21.5</v>
      </c>
      <c r="G14" s="53">
        <v>9.89</v>
      </c>
      <c r="J14" s="69"/>
    </row>
    <row r="15" spans="1:10" ht="13.8">
      <c r="A15" s="15" t="s">
        <v>119</v>
      </c>
      <c r="B15" s="53">
        <v>8.57</v>
      </c>
      <c r="C15" s="53">
        <v>161</v>
      </c>
      <c r="D15" s="53">
        <v>19.5</v>
      </c>
      <c r="E15" s="53">
        <v>14.8</v>
      </c>
      <c r="F15" s="53">
        <v>20.5</v>
      </c>
      <c r="G15" s="53">
        <v>9.15</v>
      </c>
      <c r="J15" s="69"/>
    </row>
    <row r="16" spans="1:10" ht="13.8">
      <c r="A16" s="15" t="s">
        <v>120</v>
      </c>
      <c r="B16" s="53">
        <v>10.8</v>
      </c>
      <c r="C16" s="53">
        <v>194</v>
      </c>
      <c r="D16" s="53">
        <v>21.3</v>
      </c>
      <c r="E16" s="53">
        <v>18.400000000000002</v>
      </c>
      <c r="F16" s="53">
        <v>21</v>
      </c>
      <c r="G16" s="53">
        <v>11.1</v>
      </c>
      <c r="J16" s="69"/>
    </row>
    <row r="17" spans="1:10" ht="13.8">
      <c r="A17" s="15" t="s">
        <v>34</v>
      </c>
      <c r="B17" s="53">
        <v>13.3</v>
      </c>
      <c r="C17" s="53">
        <v>243</v>
      </c>
      <c r="D17" s="121">
        <v>32.9</v>
      </c>
      <c r="E17" s="53">
        <v>32.9</v>
      </c>
      <c r="F17" s="53">
        <v>24.3</v>
      </c>
      <c r="G17" s="53">
        <v>25.9</v>
      </c>
      <c r="J17" s="69"/>
    </row>
    <row r="18" spans="1:10" ht="16.2">
      <c r="A18" s="15" t="s">
        <v>121</v>
      </c>
      <c r="B18" s="53">
        <v>14.2</v>
      </c>
      <c r="C18" s="121">
        <v>306</v>
      </c>
      <c r="D18" s="53">
        <v>27.8</v>
      </c>
      <c r="E18" s="53">
        <v>29.8</v>
      </c>
      <c r="F18" s="53">
        <v>26.8</v>
      </c>
      <c r="G18" s="121">
        <v>17.5</v>
      </c>
      <c r="H18" s="156"/>
      <c r="J18" s="69"/>
    </row>
    <row r="19" spans="1:10" ht="16.2">
      <c r="A19" s="15" t="s">
        <v>122</v>
      </c>
      <c r="B19" s="53">
        <v>12.9</v>
      </c>
      <c r="C19" s="53">
        <v>300</v>
      </c>
      <c r="D19" s="53">
        <v>22.8</v>
      </c>
      <c r="E19" s="53">
        <v>27</v>
      </c>
      <c r="F19" s="53">
        <v>27.5</v>
      </c>
      <c r="G19" s="121">
        <v>12.5</v>
      </c>
      <c r="H19" s="156"/>
      <c r="J19" s="69"/>
    </row>
    <row r="20" spans="1:10" ht="13.8">
      <c r="A20" s="15"/>
      <c r="B20" s="54"/>
      <c r="C20" s="55"/>
      <c r="D20" s="56"/>
      <c r="E20" s="56"/>
      <c r="F20" s="55"/>
      <c r="G20" s="57"/>
      <c r="H20" s="47"/>
      <c r="J20" s="69"/>
    </row>
    <row r="21" spans="1:10" ht="13.8">
      <c r="A21" s="58" t="s">
        <v>34</v>
      </c>
      <c r="B21" s="53"/>
      <c r="C21" s="53"/>
      <c r="D21" s="53"/>
      <c r="E21" s="53"/>
      <c r="F21" s="53"/>
      <c r="G21" s="53"/>
    </row>
    <row r="22" spans="1:10" ht="13.8">
      <c r="A22" s="15" t="s">
        <v>37</v>
      </c>
      <c r="B22" s="53">
        <v>12.2</v>
      </c>
      <c r="C22" s="53">
        <v>235</v>
      </c>
      <c r="D22" s="53">
        <v>30.7</v>
      </c>
      <c r="E22" s="53">
        <v>28.7</v>
      </c>
      <c r="F22" s="53">
        <v>22.2</v>
      </c>
      <c r="G22" s="53">
        <v>19.8</v>
      </c>
    </row>
    <row r="23" spans="1:10" ht="13.8">
      <c r="A23" s="15" t="s">
        <v>38</v>
      </c>
      <c r="B23" s="53">
        <v>11.9</v>
      </c>
      <c r="C23" s="53">
        <v>244</v>
      </c>
      <c r="D23" s="53">
        <v>30.5</v>
      </c>
      <c r="E23" s="53">
        <v>29.6</v>
      </c>
      <c r="F23" s="53">
        <v>23.9</v>
      </c>
      <c r="G23" s="53">
        <v>26.2</v>
      </c>
    </row>
    <row r="24" spans="1:10" ht="13.8">
      <c r="A24" s="15" t="s">
        <v>39</v>
      </c>
      <c r="B24" s="53">
        <v>12.1</v>
      </c>
      <c r="C24" s="53">
        <v>244</v>
      </c>
      <c r="D24" s="53">
        <v>30.3</v>
      </c>
      <c r="E24" s="53">
        <v>31.7</v>
      </c>
      <c r="F24" s="53">
        <v>25.4</v>
      </c>
      <c r="G24" s="53">
        <v>26.1</v>
      </c>
    </row>
    <row r="25" spans="1:10" ht="13.8">
      <c r="A25" s="15" t="s">
        <v>41</v>
      </c>
      <c r="B25" s="53">
        <v>12.5</v>
      </c>
      <c r="C25" s="53">
        <v>239</v>
      </c>
      <c r="D25" s="53">
        <v>31.6</v>
      </c>
      <c r="E25" s="53">
        <v>32.5</v>
      </c>
      <c r="F25" s="53">
        <v>24.1</v>
      </c>
      <c r="G25" s="53">
        <v>31.3</v>
      </c>
    </row>
    <row r="26" spans="1:10" ht="13.8">
      <c r="A26" s="15" t="s">
        <v>42</v>
      </c>
      <c r="B26" s="53">
        <v>12.9</v>
      </c>
      <c r="C26" s="53">
        <v>241</v>
      </c>
      <c r="D26" s="53">
        <v>31</v>
      </c>
      <c r="E26" s="53">
        <v>33.700000000000003</v>
      </c>
      <c r="F26" s="53">
        <v>25.9</v>
      </c>
      <c r="G26" s="53">
        <v>31</v>
      </c>
    </row>
    <row r="27" spans="1:10" ht="13.8">
      <c r="A27" s="15" t="s">
        <v>43</v>
      </c>
      <c r="B27" s="53">
        <v>14.7</v>
      </c>
      <c r="C27" s="53">
        <v>256</v>
      </c>
      <c r="D27" s="53">
        <v>32.200000000000003</v>
      </c>
      <c r="E27" s="53">
        <v>37.5</v>
      </c>
      <c r="F27" s="53">
        <v>24.8</v>
      </c>
      <c r="G27" s="53">
        <v>27.5</v>
      </c>
    </row>
    <row r="28" spans="1:10" ht="13.8">
      <c r="A28" s="15" t="s">
        <v>45</v>
      </c>
      <c r="B28" s="53">
        <v>15.4</v>
      </c>
      <c r="C28" s="53" t="s">
        <v>78</v>
      </c>
      <c r="D28" s="53">
        <v>33.9</v>
      </c>
      <c r="E28" s="53">
        <v>39.200000000000003</v>
      </c>
      <c r="F28" s="53">
        <v>25</v>
      </c>
      <c r="G28" s="53">
        <v>28.9</v>
      </c>
    </row>
    <row r="29" spans="1:10" ht="13.8">
      <c r="A29" s="15" t="s">
        <v>46</v>
      </c>
      <c r="B29" s="53">
        <v>15.8</v>
      </c>
      <c r="C29" s="53" t="s">
        <v>78</v>
      </c>
      <c r="D29" s="53">
        <v>37.1</v>
      </c>
      <c r="E29" s="53">
        <v>41.3</v>
      </c>
      <c r="F29" s="53">
        <v>24.8</v>
      </c>
      <c r="G29" s="53">
        <v>30.2</v>
      </c>
    </row>
    <row r="30" spans="1:10" ht="13.8">
      <c r="A30" s="15" t="s">
        <v>47</v>
      </c>
      <c r="B30" s="53">
        <v>16.100000000000001</v>
      </c>
      <c r="C30" s="53" t="s">
        <v>78</v>
      </c>
      <c r="D30" s="53">
        <v>40.1</v>
      </c>
      <c r="E30" s="53">
        <v>42.9</v>
      </c>
      <c r="F30" s="53">
        <v>25.3</v>
      </c>
      <c r="G30" s="53">
        <v>29.7</v>
      </c>
    </row>
    <row r="31" spans="1:10" ht="13.8">
      <c r="A31" s="15" t="s">
        <v>49</v>
      </c>
      <c r="B31" s="53">
        <v>16.399999999999999</v>
      </c>
      <c r="C31" s="53" t="s">
        <v>78</v>
      </c>
      <c r="D31" s="53">
        <v>40.200000000000003</v>
      </c>
      <c r="E31" s="53">
        <v>45.6</v>
      </c>
      <c r="F31" s="53">
        <v>25.2</v>
      </c>
      <c r="G31" s="53">
        <v>23.9</v>
      </c>
    </row>
    <row r="32" spans="1:10" ht="13.8">
      <c r="A32" s="15" t="s">
        <v>50</v>
      </c>
      <c r="B32" s="53">
        <v>15.5</v>
      </c>
      <c r="C32" s="53">
        <v>360</v>
      </c>
      <c r="D32" s="53">
        <v>36.200000000000003</v>
      </c>
      <c r="E32" s="53">
        <v>42.7</v>
      </c>
      <c r="F32" s="53">
        <v>25.3</v>
      </c>
      <c r="G32" s="53">
        <v>24.2</v>
      </c>
    </row>
    <row r="33" spans="1:7" ht="13.8">
      <c r="A33" s="15" t="s">
        <v>51</v>
      </c>
      <c r="B33" s="53">
        <f>15.3</f>
        <v>15.3</v>
      </c>
      <c r="C33" s="53">
        <f>343</f>
        <v>343</v>
      </c>
      <c r="D33" s="53">
        <f>37.8</f>
        <v>37.799999999999997</v>
      </c>
      <c r="E33" s="53">
        <f>40</f>
        <v>40</v>
      </c>
      <c r="F33" s="53">
        <f>25</f>
        <v>25</v>
      </c>
      <c r="G33" s="53">
        <f>20.8</f>
        <v>20.8</v>
      </c>
    </row>
    <row r="34" spans="1:7" ht="13.8">
      <c r="A34" s="15"/>
      <c r="B34" s="53"/>
      <c r="C34" s="53"/>
      <c r="D34" s="53"/>
      <c r="E34" s="53"/>
      <c r="F34" s="53"/>
      <c r="G34" s="53"/>
    </row>
    <row r="35" spans="1:7" ht="13.8">
      <c r="A35" s="58" t="s">
        <v>53</v>
      </c>
      <c r="B35" s="53"/>
      <c r="C35" s="53"/>
      <c r="D35" s="53"/>
      <c r="E35" s="53"/>
      <c r="F35" s="53"/>
      <c r="G35" s="53"/>
    </row>
    <row r="36" spans="1:7" ht="13.8">
      <c r="A36" s="15" t="s">
        <v>37</v>
      </c>
      <c r="B36" s="53">
        <v>14.1</v>
      </c>
      <c r="C36" s="53">
        <v>361</v>
      </c>
      <c r="D36" s="53">
        <v>32.9</v>
      </c>
      <c r="E36" s="53">
        <v>28.1</v>
      </c>
      <c r="F36" s="53">
        <v>25.7</v>
      </c>
      <c r="G36" s="53">
        <v>18.899999999999999</v>
      </c>
    </row>
    <row r="37" spans="1:7" ht="13.8">
      <c r="A37" s="15" t="s">
        <v>38</v>
      </c>
      <c r="B37" s="53">
        <v>13.5</v>
      </c>
      <c r="C37" s="53">
        <v>338</v>
      </c>
      <c r="D37" s="53">
        <v>29.3</v>
      </c>
      <c r="E37" s="53">
        <v>28.1</v>
      </c>
      <c r="F37" s="53">
        <v>26.6</v>
      </c>
      <c r="G37" s="53">
        <v>18.600000000000001</v>
      </c>
    </row>
    <row r="38" spans="1:7" ht="13.8">
      <c r="A38" s="15" t="s">
        <v>39</v>
      </c>
      <c r="B38" s="53">
        <v>14</v>
      </c>
      <c r="C38" s="53">
        <v>323</v>
      </c>
      <c r="D38" s="53">
        <v>28.4</v>
      </c>
      <c r="E38" s="53">
        <v>29.2</v>
      </c>
      <c r="F38" s="53">
        <v>29.9</v>
      </c>
      <c r="G38" s="53">
        <v>19.5</v>
      </c>
    </row>
    <row r="39" spans="1:7" ht="13.8">
      <c r="A39" s="15" t="s">
        <v>41</v>
      </c>
      <c r="B39" s="53">
        <v>14.4</v>
      </c>
      <c r="C39" s="53">
        <v>329</v>
      </c>
      <c r="D39" s="53">
        <v>29.5</v>
      </c>
      <c r="E39" s="53">
        <v>29.2</v>
      </c>
      <c r="F39" s="53">
        <v>24.1</v>
      </c>
      <c r="G39" s="53">
        <v>18.399999999999999</v>
      </c>
    </row>
    <row r="40" spans="1:7" ht="13.8">
      <c r="A40" s="15" t="s">
        <v>42</v>
      </c>
      <c r="B40" s="53">
        <v>14.5</v>
      </c>
      <c r="C40" s="53">
        <v>316</v>
      </c>
      <c r="D40" s="53">
        <v>28.5</v>
      </c>
      <c r="E40" s="53">
        <v>30.1</v>
      </c>
      <c r="F40" s="53">
        <v>27.9</v>
      </c>
      <c r="G40" s="53">
        <v>17.7</v>
      </c>
    </row>
    <row r="41" spans="1:7" ht="13.8">
      <c r="A41" s="15" t="s">
        <v>43</v>
      </c>
      <c r="B41" s="53">
        <v>15.1</v>
      </c>
      <c r="C41" s="53">
        <v>332</v>
      </c>
      <c r="D41" s="53">
        <v>30.8</v>
      </c>
      <c r="E41" s="53">
        <v>30.7</v>
      </c>
      <c r="F41" s="53">
        <v>27.2</v>
      </c>
      <c r="G41" s="53">
        <v>16.2</v>
      </c>
    </row>
    <row r="42" spans="1:7" ht="13.8">
      <c r="A42" s="15" t="s">
        <v>45</v>
      </c>
      <c r="B42" s="53">
        <v>14.9</v>
      </c>
      <c r="C42" s="53" t="s">
        <v>78</v>
      </c>
      <c r="D42" s="53">
        <v>26.9</v>
      </c>
      <c r="E42" s="53">
        <v>30.9</v>
      </c>
      <c r="F42" s="53">
        <v>26.9</v>
      </c>
      <c r="G42" s="53">
        <v>14.8</v>
      </c>
    </row>
    <row r="43" spans="1:7" ht="13.8">
      <c r="A43" s="15" t="s">
        <v>46</v>
      </c>
      <c r="B43" s="53">
        <v>14.9</v>
      </c>
      <c r="C43" s="53" t="s">
        <v>78</v>
      </c>
      <c r="D43" s="53">
        <v>26.9</v>
      </c>
      <c r="E43" s="53">
        <v>26.8</v>
      </c>
      <c r="F43" s="53">
        <v>27.3</v>
      </c>
      <c r="G43" s="53">
        <v>12.1</v>
      </c>
    </row>
    <row r="44" spans="1:7" ht="13.8">
      <c r="A44" s="15" t="s">
        <v>47</v>
      </c>
      <c r="B44" s="53">
        <v>14.4</v>
      </c>
      <c r="C44" s="53" t="s">
        <v>78</v>
      </c>
      <c r="D44" s="53">
        <v>25</v>
      </c>
      <c r="E44" s="53">
        <v>25.2</v>
      </c>
      <c r="F44" s="53">
        <v>27.9</v>
      </c>
      <c r="G44" s="53">
        <v>12.4</v>
      </c>
    </row>
    <row r="45" spans="1:7" ht="13.8">
      <c r="A45" s="15" t="s">
        <v>49</v>
      </c>
      <c r="B45" s="53">
        <v>14.2</v>
      </c>
      <c r="C45" s="53" t="s">
        <v>78</v>
      </c>
      <c r="D45" s="53">
        <v>20.7</v>
      </c>
      <c r="E45" s="53">
        <v>27.3</v>
      </c>
      <c r="F45" s="53">
        <v>28.3</v>
      </c>
      <c r="G45" s="53">
        <v>13.1</v>
      </c>
    </row>
    <row r="46" spans="1:7" ht="13.8">
      <c r="A46" s="15" t="s">
        <v>50</v>
      </c>
      <c r="B46" s="53">
        <v>14.7</v>
      </c>
      <c r="C46" s="53" t="s">
        <v>78</v>
      </c>
      <c r="D46" s="53">
        <v>25</v>
      </c>
      <c r="E46" s="53">
        <v>27.2</v>
      </c>
      <c r="F46" s="53">
        <v>27.7</v>
      </c>
      <c r="G46" s="53">
        <v>11</v>
      </c>
    </row>
    <row r="47" spans="1:7" ht="13.8">
      <c r="A47" s="14" t="s">
        <v>51</v>
      </c>
      <c r="B47" s="134">
        <v>14.1</v>
      </c>
      <c r="C47" s="134">
        <v>219</v>
      </c>
      <c r="D47" s="134">
        <v>23.6</v>
      </c>
      <c r="E47" s="134">
        <v>28.1</v>
      </c>
      <c r="F47" s="134">
        <v>27.1</v>
      </c>
      <c r="G47" s="134">
        <v>11.2</v>
      </c>
    </row>
    <row r="48" spans="1:7" ht="16.2">
      <c r="A48" s="15" t="s">
        <v>123</v>
      </c>
      <c r="B48" s="15"/>
      <c r="C48" s="15"/>
      <c r="D48" s="15"/>
      <c r="E48" s="15"/>
      <c r="F48" s="15"/>
      <c r="G48" s="15"/>
    </row>
    <row r="49" spans="1:7" ht="14.4">
      <c r="A49" s="15" t="s">
        <v>124</v>
      </c>
      <c r="B49" s="15"/>
      <c r="C49" s="15"/>
      <c r="D49" s="15"/>
      <c r="E49" s="15"/>
      <c r="F49" s="15"/>
      <c r="G49" s="15"/>
    </row>
    <row r="50" spans="1:7" ht="13.8">
      <c r="A50" s="20" t="s">
        <v>57</v>
      </c>
      <c r="B50" s="41">
        <f>Contents!A16</f>
        <v>45215</v>
      </c>
      <c r="C50" s="15"/>
      <c r="D50" s="15"/>
      <c r="E50" s="15"/>
      <c r="F50" s="15"/>
      <c r="G50" s="15"/>
    </row>
  </sheetData>
  <phoneticPr fontId="35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71"/>
  <sheetViews>
    <sheetView showGridLines="0" zoomScale="70" zoomScaleNormal="70" workbookViewId="0">
      <pane xSplit="1" ySplit="4" topLeftCell="B5" activePane="bottomRight" state="frozen"/>
      <selection pane="topRight" activeCell="L48" sqref="L48"/>
      <selection pane="bottomLeft" activeCell="L48" sqref="L48"/>
      <selection pane="bottomRight"/>
    </sheetView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  <col min="10" max="10" width="10.109375" bestFit="1" customWidth="1"/>
  </cols>
  <sheetData>
    <row r="1" spans="1:12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2" ht="15.6" customHeight="1">
      <c r="A2" s="59" t="s">
        <v>98</v>
      </c>
      <c r="B2" s="17" t="s">
        <v>125</v>
      </c>
      <c r="C2" s="17" t="s">
        <v>126</v>
      </c>
      <c r="D2" s="17" t="s">
        <v>127</v>
      </c>
      <c r="E2" s="60" t="s">
        <v>128</v>
      </c>
      <c r="F2" s="60" t="s">
        <v>129</v>
      </c>
      <c r="G2" s="17" t="s">
        <v>130</v>
      </c>
      <c r="H2" s="17" t="s">
        <v>131</v>
      </c>
      <c r="I2" s="61" t="s">
        <v>132</v>
      </c>
    </row>
    <row r="3" spans="1:12" ht="15.6" customHeight="1">
      <c r="A3" s="62" t="s">
        <v>105</v>
      </c>
      <c r="B3" s="23" t="s">
        <v>133</v>
      </c>
      <c r="C3" s="23" t="s">
        <v>134</v>
      </c>
      <c r="D3" s="23" t="s">
        <v>135</v>
      </c>
      <c r="E3" s="23" t="s">
        <v>135</v>
      </c>
      <c r="F3" s="23" t="s">
        <v>136</v>
      </c>
      <c r="G3" s="23" t="s">
        <v>137</v>
      </c>
      <c r="H3" s="23"/>
      <c r="I3" s="23" t="s">
        <v>138</v>
      </c>
    </row>
    <row r="4" spans="1:12" ht="14.4">
      <c r="A4" s="63" t="s">
        <v>139</v>
      </c>
      <c r="C4" s="64"/>
      <c r="D4" s="64"/>
      <c r="E4" s="64"/>
      <c r="F4" s="64"/>
      <c r="G4" s="64"/>
      <c r="H4" s="64"/>
      <c r="I4" s="64"/>
    </row>
    <row r="5" spans="1:12" ht="13.8">
      <c r="A5" s="15"/>
      <c r="B5" s="15"/>
      <c r="C5" s="15"/>
      <c r="D5" s="15"/>
      <c r="E5" s="15"/>
      <c r="F5" s="15"/>
      <c r="G5" s="15"/>
      <c r="H5" s="15"/>
      <c r="I5" s="15"/>
    </row>
    <row r="6" spans="1:12" ht="13.8">
      <c r="A6" s="15" t="s">
        <v>110</v>
      </c>
      <c r="B6" s="53">
        <v>53.2</v>
      </c>
      <c r="C6" s="53">
        <v>54.5</v>
      </c>
      <c r="D6" s="53">
        <v>86.12</v>
      </c>
      <c r="E6" s="53">
        <v>58.68</v>
      </c>
      <c r="F6" s="53">
        <v>77.239999999999995</v>
      </c>
      <c r="G6" s="53">
        <v>60.76</v>
      </c>
      <c r="H6" s="53">
        <v>51.52</v>
      </c>
      <c r="I6" s="53">
        <v>51.34</v>
      </c>
      <c r="K6" s="69"/>
      <c r="L6" s="69"/>
    </row>
    <row r="7" spans="1:12" ht="13.8">
      <c r="A7" s="15" t="s">
        <v>111</v>
      </c>
      <c r="B7" s="53">
        <v>51.9</v>
      </c>
      <c r="C7" s="53">
        <v>53.22</v>
      </c>
      <c r="D7" s="53">
        <v>83.2</v>
      </c>
      <c r="E7" s="53">
        <v>57.19</v>
      </c>
      <c r="F7" s="53">
        <v>100.15</v>
      </c>
      <c r="G7" s="53">
        <v>56.09</v>
      </c>
      <c r="H7" s="53">
        <v>48.11</v>
      </c>
      <c r="I7" s="53">
        <v>50.33</v>
      </c>
      <c r="K7" s="69"/>
      <c r="L7" s="69"/>
    </row>
    <row r="8" spans="1:12" ht="13.8">
      <c r="A8" s="15" t="s">
        <v>112</v>
      </c>
      <c r="B8" s="53">
        <v>47.13</v>
      </c>
      <c r="C8" s="53">
        <v>48.6</v>
      </c>
      <c r="D8" s="53">
        <v>65.87</v>
      </c>
      <c r="E8" s="53">
        <v>56.17</v>
      </c>
      <c r="F8" s="53">
        <v>91.83</v>
      </c>
      <c r="G8" s="53">
        <v>46.66</v>
      </c>
      <c r="H8" s="53">
        <v>51.8</v>
      </c>
      <c r="I8" s="53">
        <v>43.24</v>
      </c>
      <c r="K8" s="69"/>
      <c r="L8" s="69"/>
    </row>
    <row r="9" spans="1:12" ht="13.8">
      <c r="A9" s="15" t="s">
        <v>113</v>
      </c>
      <c r="B9" s="53">
        <v>38.229999999999997</v>
      </c>
      <c r="C9" s="53">
        <v>60.66</v>
      </c>
      <c r="D9" s="53">
        <v>59.12</v>
      </c>
      <c r="E9" s="53">
        <v>43.7</v>
      </c>
      <c r="F9" s="53">
        <v>68.23</v>
      </c>
      <c r="G9" s="53">
        <v>39.43</v>
      </c>
      <c r="H9" s="53">
        <v>43.93</v>
      </c>
      <c r="I9" s="53">
        <v>39.76</v>
      </c>
      <c r="K9" s="69"/>
      <c r="L9" s="69"/>
    </row>
    <row r="10" spans="1:12" ht="13.8">
      <c r="A10" s="15" t="s">
        <v>114</v>
      </c>
      <c r="B10" s="53">
        <v>31.6</v>
      </c>
      <c r="C10" s="53">
        <v>45.74</v>
      </c>
      <c r="D10" s="53">
        <v>66.72</v>
      </c>
      <c r="E10" s="53">
        <v>37.81</v>
      </c>
      <c r="F10" s="53">
        <v>57.96</v>
      </c>
      <c r="G10" s="53">
        <v>37.479999999999997</v>
      </c>
      <c r="H10" s="53">
        <v>33.43</v>
      </c>
      <c r="I10" s="53">
        <v>31.36</v>
      </c>
      <c r="K10" s="69"/>
      <c r="L10" s="69"/>
    </row>
    <row r="11" spans="1:12" ht="13.8">
      <c r="A11" s="15" t="s">
        <v>115</v>
      </c>
      <c r="B11" s="53">
        <v>29.86</v>
      </c>
      <c r="C11" s="53">
        <v>45.87</v>
      </c>
      <c r="D11" s="53">
        <v>57.81</v>
      </c>
      <c r="E11" s="53">
        <v>35.270000000000003</v>
      </c>
      <c r="F11" s="53">
        <v>58.26</v>
      </c>
      <c r="G11" s="53">
        <v>39.25</v>
      </c>
      <c r="H11" s="53">
        <v>32.229999999999997</v>
      </c>
      <c r="I11" s="53">
        <v>30.07</v>
      </c>
      <c r="K11" s="69"/>
      <c r="L11" s="69"/>
    </row>
    <row r="12" spans="1:12" ht="13.8">
      <c r="A12" s="15" t="s">
        <v>116</v>
      </c>
      <c r="B12" s="53">
        <v>32.549999999999997</v>
      </c>
      <c r="C12" s="53">
        <v>40.92</v>
      </c>
      <c r="D12" s="53">
        <v>53.54</v>
      </c>
      <c r="E12" s="53">
        <v>38.729999999999997</v>
      </c>
      <c r="F12" s="53">
        <v>66.73</v>
      </c>
      <c r="G12" s="53">
        <v>37.43</v>
      </c>
      <c r="H12" s="53">
        <v>33.07</v>
      </c>
      <c r="I12" s="53">
        <v>34.75</v>
      </c>
      <c r="K12" s="69"/>
      <c r="L12" s="69"/>
    </row>
    <row r="13" spans="1:12" ht="13.8">
      <c r="A13" s="15" t="s">
        <v>117</v>
      </c>
      <c r="B13" s="53">
        <v>30.04</v>
      </c>
      <c r="C13" s="53">
        <v>31.87</v>
      </c>
      <c r="D13" s="53">
        <v>54.57</v>
      </c>
      <c r="E13" s="53">
        <v>38.270000000000003</v>
      </c>
      <c r="F13" s="53">
        <v>66.72</v>
      </c>
      <c r="G13" s="53">
        <v>30.35</v>
      </c>
      <c r="H13" s="53">
        <v>34.159999999999997</v>
      </c>
      <c r="I13" s="53">
        <v>31.21</v>
      </c>
      <c r="K13" s="69"/>
      <c r="L13" s="69"/>
    </row>
    <row r="14" spans="1:12" ht="13.8">
      <c r="A14" s="15" t="s">
        <v>118</v>
      </c>
      <c r="B14" s="53">
        <v>28.26</v>
      </c>
      <c r="C14" s="53">
        <v>35.14</v>
      </c>
      <c r="D14" s="53">
        <v>53.28</v>
      </c>
      <c r="E14" s="53">
        <v>36.090000000000003</v>
      </c>
      <c r="F14" s="53">
        <v>64.72</v>
      </c>
      <c r="G14" s="53">
        <v>26.93</v>
      </c>
      <c r="H14" s="53">
        <v>31.65</v>
      </c>
      <c r="I14" s="53">
        <v>33.11</v>
      </c>
      <c r="K14" s="69"/>
      <c r="L14" s="69"/>
    </row>
    <row r="15" spans="1:12" ht="13.8">
      <c r="A15" s="15" t="s">
        <v>119</v>
      </c>
      <c r="B15" s="53">
        <v>29.65</v>
      </c>
      <c r="C15" s="53">
        <v>40.18</v>
      </c>
      <c r="D15" s="53">
        <v>65.03</v>
      </c>
      <c r="E15" s="53">
        <v>37.869999999999997</v>
      </c>
      <c r="F15" s="53">
        <v>62</v>
      </c>
      <c r="G15" s="53">
        <v>39.47</v>
      </c>
      <c r="H15" s="53">
        <v>35.75</v>
      </c>
      <c r="I15" s="53">
        <v>38.369999999999997</v>
      </c>
      <c r="K15" s="69"/>
      <c r="L15" s="69"/>
    </row>
    <row r="16" spans="1:12" ht="13.8">
      <c r="A16" s="15" t="s">
        <v>120</v>
      </c>
      <c r="B16" s="53">
        <v>56.87</v>
      </c>
      <c r="C16" s="53">
        <v>80.94</v>
      </c>
      <c r="D16" s="53">
        <v>79</v>
      </c>
      <c r="E16" s="53">
        <v>70.459999999999994</v>
      </c>
      <c r="F16" s="53">
        <v>101.4</v>
      </c>
      <c r="G16" s="53">
        <v>53.88</v>
      </c>
      <c r="H16" s="53">
        <v>55.89</v>
      </c>
      <c r="I16" s="53">
        <v>54.98</v>
      </c>
      <c r="K16" s="69"/>
      <c r="L16" s="69"/>
    </row>
    <row r="17" spans="1:12" ht="13.8">
      <c r="A17" s="15" t="s">
        <v>34</v>
      </c>
      <c r="B17" s="53">
        <v>72.98</v>
      </c>
      <c r="C17" s="53">
        <v>107.15</v>
      </c>
      <c r="D17" s="53">
        <v>111.39</v>
      </c>
      <c r="E17" s="53">
        <v>90.52</v>
      </c>
      <c r="F17" s="53">
        <v>107.22</v>
      </c>
      <c r="G17" s="53">
        <v>64.28</v>
      </c>
      <c r="H17" s="53">
        <v>82</v>
      </c>
      <c r="I17" s="53">
        <v>81.84</v>
      </c>
      <c r="J17" s="95"/>
      <c r="K17" s="69"/>
      <c r="L17" s="69"/>
    </row>
    <row r="18" spans="1:12" ht="16.2">
      <c r="A18" s="15" t="s">
        <v>140</v>
      </c>
      <c r="B18" s="53">
        <v>65.260000000000005</v>
      </c>
      <c r="C18" s="53">
        <v>102.53</v>
      </c>
      <c r="D18" s="53">
        <v>80.11</v>
      </c>
      <c r="E18" s="53">
        <v>73.14</v>
      </c>
      <c r="F18" s="53">
        <v>93.52</v>
      </c>
      <c r="G18" s="53">
        <v>61.62</v>
      </c>
      <c r="H18" s="53">
        <v>84.25</v>
      </c>
      <c r="I18" s="53">
        <v>76.95</v>
      </c>
      <c r="J18" s="95"/>
      <c r="K18" s="69"/>
      <c r="L18" s="69"/>
    </row>
    <row r="19" spans="1:12" ht="16.2">
      <c r="A19" s="15" t="s">
        <v>141</v>
      </c>
      <c r="B19" s="53">
        <v>63</v>
      </c>
      <c r="C19" s="53">
        <v>98</v>
      </c>
      <c r="D19" s="53">
        <v>80</v>
      </c>
      <c r="E19" s="53">
        <v>68</v>
      </c>
      <c r="F19" s="53">
        <v>98</v>
      </c>
      <c r="G19" s="53">
        <f>61</f>
        <v>61</v>
      </c>
      <c r="H19" s="53">
        <v>81</v>
      </c>
      <c r="I19" s="53">
        <v>76</v>
      </c>
      <c r="J19" s="95"/>
      <c r="K19" s="69"/>
      <c r="L19" s="69"/>
    </row>
    <row r="20" spans="1:12" ht="13.8">
      <c r="A20" s="15"/>
      <c r="B20" s="65"/>
      <c r="C20" s="65"/>
      <c r="D20" s="65"/>
      <c r="E20" s="65"/>
      <c r="F20" s="65"/>
      <c r="G20" s="65"/>
      <c r="H20" s="65"/>
      <c r="I20" s="65"/>
    </row>
    <row r="21" spans="1:12" ht="13.8">
      <c r="A21" s="35" t="s">
        <v>34</v>
      </c>
      <c r="B21" s="53"/>
      <c r="C21" s="53"/>
      <c r="D21" s="53"/>
      <c r="E21" s="53"/>
      <c r="F21" s="53"/>
      <c r="G21" s="53"/>
      <c r="H21" s="53"/>
      <c r="I21" s="53"/>
      <c r="L21" s="95"/>
    </row>
    <row r="22" spans="1:12" ht="13.8">
      <c r="A22" s="15" t="s">
        <v>38</v>
      </c>
      <c r="B22" s="53">
        <v>70.42</v>
      </c>
      <c r="C22" s="53">
        <v>98.5</v>
      </c>
      <c r="D22" s="53">
        <v>129</v>
      </c>
      <c r="E22" s="53">
        <v>82.3</v>
      </c>
      <c r="F22" s="53">
        <v>101.5</v>
      </c>
      <c r="G22" s="53">
        <v>57.069999999999993</v>
      </c>
      <c r="H22" s="53" t="s">
        <v>78</v>
      </c>
      <c r="I22" s="53" t="s">
        <v>78</v>
      </c>
      <c r="K22" s="98"/>
      <c r="L22" s="97"/>
    </row>
    <row r="23" spans="1:12" ht="13.8">
      <c r="A23" s="15" t="s">
        <v>39</v>
      </c>
      <c r="B23" s="53">
        <v>66.459999999999994</v>
      </c>
      <c r="C23" s="53">
        <v>96.75</v>
      </c>
      <c r="D23" s="53">
        <v>125</v>
      </c>
      <c r="E23" s="53">
        <v>84.375</v>
      </c>
      <c r="F23" s="53">
        <v>100</v>
      </c>
      <c r="G23" s="53">
        <v>57.918000000000006</v>
      </c>
      <c r="H23" s="53" t="s">
        <v>78</v>
      </c>
      <c r="I23" s="53">
        <v>80.06</v>
      </c>
      <c r="K23" s="98"/>
      <c r="L23" s="98"/>
    </row>
    <row r="24" spans="1:12" ht="13.8">
      <c r="A24" s="15" t="s">
        <v>41</v>
      </c>
      <c r="B24" s="53">
        <v>63.69</v>
      </c>
      <c r="C24" s="53">
        <v>93.3</v>
      </c>
      <c r="D24" s="53">
        <v>125</v>
      </c>
      <c r="E24" s="53">
        <v>82.95</v>
      </c>
      <c r="F24" s="53">
        <v>100</v>
      </c>
      <c r="G24" s="53">
        <v>56.093333333333334</v>
      </c>
      <c r="H24" s="53" t="s">
        <v>78</v>
      </c>
      <c r="I24" s="53">
        <v>73</v>
      </c>
      <c r="K24" s="98"/>
      <c r="L24" s="98"/>
    </row>
    <row r="25" spans="1:12" ht="13.8">
      <c r="A25" s="15" t="s">
        <v>42</v>
      </c>
      <c r="B25" s="53">
        <v>65.7</v>
      </c>
      <c r="C25" s="53">
        <v>97.9375</v>
      </c>
      <c r="D25" s="53">
        <v>123.125</v>
      </c>
      <c r="E25" s="53">
        <v>88.5625</v>
      </c>
      <c r="F25" s="53">
        <v>103.125</v>
      </c>
      <c r="G25" s="53">
        <v>54.09</v>
      </c>
      <c r="H25" s="53" t="s">
        <v>78</v>
      </c>
      <c r="I25" s="53">
        <v>76.5</v>
      </c>
      <c r="K25" s="98"/>
    </row>
    <row r="26" spans="1:12" ht="13.8">
      <c r="A26" s="15" t="s">
        <v>43</v>
      </c>
      <c r="B26" s="53">
        <v>70.91</v>
      </c>
      <c r="C26" s="53">
        <v>101.375</v>
      </c>
      <c r="D26" s="53">
        <v>115.33333333333333</v>
      </c>
      <c r="E26" s="53">
        <v>85.875</v>
      </c>
      <c r="F26" s="53">
        <v>105</v>
      </c>
      <c r="G26" s="53">
        <v>59.29</v>
      </c>
      <c r="H26" s="53">
        <v>82</v>
      </c>
      <c r="I26" s="53">
        <v>80</v>
      </c>
    </row>
    <row r="27" spans="1:12" ht="13.8">
      <c r="A27" s="15" t="s">
        <v>45</v>
      </c>
      <c r="B27" s="53">
        <v>76.405000000000001</v>
      </c>
      <c r="C27" s="53">
        <v>114.875</v>
      </c>
      <c r="D27" s="53">
        <v>129</v>
      </c>
      <c r="E27" s="53">
        <v>92</v>
      </c>
      <c r="F27" s="53">
        <v>107.5</v>
      </c>
      <c r="G27" s="53">
        <v>67.1875</v>
      </c>
      <c r="H27" s="53" t="s">
        <v>78</v>
      </c>
      <c r="I27" s="53">
        <v>81.5</v>
      </c>
    </row>
    <row r="28" spans="1:12" ht="13.8">
      <c r="A28" s="15" t="s">
        <v>46</v>
      </c>
      <c r="B28" s="53">
        <v>83.846000000000004</v>
      </c>
      <c r="C28" s="53">
        <v>120.05</v>
      </c>
      <c r="D28" s="53">
        <v>120.4</v>
      </c>
      <c r="E28" s="53">
        <v>103.15</v>
      </c>
      <c r="F28" s="53">
        <v>115</v>
      </c>
      <c r="G28" s="53">
        <v>71.55</v>
      </c>
      <c r="H28" s="53" t="s">
        <v>78</v>
      </c>
      <c r="I28" s="53">
        <v>83.125</v>
      </c>
    </row>
    <row r="29" spans="1:12" ht="13.8">
      <c r="A29" s="15" t="s">
        <v>47</v>
      </c>
      <c r="B29" s="53">
        <v>87.385000000000005</v>
      </c>
      <c r="C29" s="53">
        <v>119.5625</v>
      </c>
      <c r="D29" s="53">
        <v>113.5</v>
      </c>
      <c r="E29" s="53">
        <v>108.6875</v>
      </c>
      <c r="F29" s="53">
        <v>116.25</v>
      </c>
      <c r="G29" s="53">
        <v>77.802499999999995</v>
      </c>
      <c r="H29" s="53" t="s">
        <v>78</v>
      </c>
      <c r="I29" s="53">
        <v>84.25</v>
      </c>
    </row>
    <row r="30" spans="1:12" ht="13.8">
      <c r="A30" s="15" t="s">
        <v>49</v>
      </c>
      <c r="B30" s="53">
        <v>80.297499999999999</v>
      </c>
      <c r="C30" s="53">
        <v>115.75</v>
      </c>
      <c r="D30" s="53">
        <v>97.75</v>
      </c>
      <c r="E30" s="53">
        <v>102.25</v>
      </c>
      <c r="F30" s="53">
        <v>116.25</v>
      </c>
      <c r="G30" s="53">
        <v>76.375</v>
      </c>
      <c r="H30" s="53" t="s">
        <v>78</v>
      </c>
      <c r="I30" s="53">
        <v>86.5</v>
      </c>
    </row>
    <row r="31" spans="1:12" ht="13.8">
      <c r="A31" s="15" t="s">
        <v>50</v>
      </c>
      <c r="B31" s="53">
        <v>67.74799999999999</v>
      </c>
      <c r="C31" s="53">
        <v>100.8</v>
      </c>
      <c r="D31" s="53">
        <v>78.2</v>
      </c>
      <c r="E31" s="53">
        <v>87.9</v>
      </c>
      <c r="F31" s="53">
        <v>103.2</v>
      </c>
      <c r="G31" s="53">
        <v>62.25</v>
      </c>
      <c r="H31" s="53" t="s">
        <v>78</v>
      </c>
      <c r="I31" s="53">
        <v>81.5</v>
      </c>
    </row>
    <row r="32" spans="1:12" ht="13.8">
      <c r="A32" s="15" t="s">
        <v>51</v>
      </c>
      <c r="B32" s="53">
        <v>72.334999999999994</v>
      </c>
      <c r="C32" s="53">
        <v>113.75</v>
      </c>
      <c r="D32" s="53">
        <v>92</v>
      </c>
      <c r="E32" s="53">
        <v>91.3125</v>
      </c>
      <c r="F32" s="53">
        <v>107.25</v>
      </c>
      <c r="G32" s="53">
        <v>65.4375</v>
      </c>
      <c r="H32" s="53" t="s">
        <v>78</v>
      </c>
      <c r="I32" s="53" t="s">
        <v>78</v>
      </c>
    </row>
    <row r="33" spans="1:12" ht="13.8">
      <c r="A33" s="15" t="s">
        <v>37</v>
      </c>
      <c r="B33" s="53">
        <v>70.626000000000005</v>
      </c>
      <c r="C33" s="53">
        <v>113.2</v>
      </c>
      <c r="D33" s="53">
        <v>88.4</v>
      </c>
      <c r="E33" s="53">
        <v>76.849999999999994</v>
      </c>
      <c r="F33" s="53">
        <v>111.6</v>
      </c>
      <c r="G33" s="53">
        <v>66.263999999999996</v>
      </c>
      <c r="H33" s="53" t="s">
        <v>78</v>
      </c>
      <c r="I33" s="53">
        <v>92</v>
      </c>
      <c r="K33" s="69"/>
      <c r="L33" s="69"/>
    </row>
    <row r="34" spans="1:12" ht="13.8">
      <c r="A34" s="15"/>
      <c r="B34" s="53"/>
      <c r="C34" s="53"/>
      <c r="D34" s="53"/>
      <c r="E34" s="53"/>
      <c r="F34" s="53"/>
      <c r="G34" s="53"/>
      <c r="H34" s="53"/>
      <c r="I34" s="53"/>
      <c r="K34" s="69"/>
      <c r="L34" s="69"/>
    </row>
    <row r="35" spans="1:12" ht="13.8">
      <c r="A35" s="35" t="s">
        <v>53</v>
      </c>
      <c r="B35" s="53"/>
      <c r="C35" s="53"/>
      <c r="D35" s="53"/>
      <c r="E35" s="53"/>
      <c r="F35" s="53"/>
      <c r="G35" s="53"/>
      <c r="H35" s="53"/>
      <c r="I35" s="53"/>
      <c r="K35" s="69"/>
      <c r="L35" s="69"/>
    </row>
    <row r="36" spans="1:12" ht="13.8">
      <c r="A36" s="15" t="s">
        <v>38</v>
      </c>
      <c r="B36" s="53">
        <v>72.67</v>
      </c>
      <c r="C36" s="53">
        <v>110.1875</v>
      </c>
      <c r="D36" s="53">
        <v>93.75</v>
      </c>
      <c r="E36" s="53">
        <v>80.125</v>
      </c>
      <c r="F36" s="53">
        <v>107.75</v>
      </c>
      <c r="G36" s="53">
        <v>65.412499999999994</v>
      </c>
      <c r="H36" s="53">
        <v>88</v>
      </c>
      <c r="I36" s="53">
        <v>88.5</v>
      </c>
      <c r="J36" s="69"/>
      <c r="K36" s="69"/>
      <c r="L36" s="69"/>
    </row>
    <row r="37" spans="1:12" ht="13.8">
      <c r="A37" s="15" t="s">
        <v>39</v>
      </c>
      <c r="B37" s="53">
        <v>79.180000000000007</v>
      </c>
      <c r="C37" s="53">
        <v>116.6875</v>
      </c>
      <c r="D37" s="53">
        <v>106</v>
      </c>
      <c r="E37" s="53">
        <v>84.375</v>
      </c>
      <c r="F37" s="53">
        <v>111</v>
      </c>
      <c r="G37" s="53">
        <v>69.67</v>
      </c>
      <c r="H37" s="53" t="s">
        <v>78</v>
      </c>
      <c r="I37" s="53">
        <v>88.5</v>
      </c>
      <c r="J37" s="69"/>
      <c r="K37" s="69"/>
      <c r="L37" s="69"/>
    </row>
    <row r="38" spans="1:12" ht="13.8">
      <c r="A38" s="15" t="s">
        <v>41</v>
      </c>
      <c r="B38" s="53">
        <v>68.14</v>
      </c>
      <c r="C38" s="53">
        <v>105.1</v>
      </c>
      <c r="D38" s="53">
        <v>92.3</v>
      </c>
      <c r="E38" s="53">
        <v>74.05</v>
      </c>
      <c r="F38" s="53">
        <v>101</v>
      </c>
      <c r="G38" s="53">
        <v>60</v>
      </c>
      <c r="H38" s="53" t="s">
        <v>78</v>
      </c>
      <c r="I38" s="53">
        <v>84</v>
      </c>
      <c r="J38" s="69"/>
      <c r="K38" s="69"/>
      <c r="L38" s="69"/>
    </row>
    <row r="39" spans="1:12" ht="13.8">
      <c r="A39" s="15" t="s">
        <v>42</v>
      </c>
      <c r="B39" s="53">
        <v>66</v>
      </c>
      <c r="C39" s="53">
        <v>102.1875</v>
      </c>
      <c r="D39" s="53">
        <v>85.75</v>
      </c>
      <c r="E39" s="53">
        <v>71.1875</v>
      </c>
      <c r="F39" s="53">
        <v>95.375</v>
      </c>
      <c r="G39" s="53">
        <v>61</v>
      </c>
      <c r="H39" s="53">
        <v>87</v>
      </c>
      <c r="I39" s="53">
        <v>76.125</v>
      </c>
      <c r="J39" s="69"/>
      <c r="K39" s="69"/>
      <c r="L39" s="69"/>
    </row>
    <row r="40" spans="1:12" ht="13.8">
      <c r="A40" s="15" t="s">
        <v>43</v>
      </c>
      <c r="B40" s="53">
        <v>63.242500000000007</v>
      </c>
      <c r="C40" s="53">
        <v>100</v>
      </c>
      <c r="D40" s="53">
        <v>81.25</v>
      </c>
      <c r="E40" s="53">
        <v>68.25</v>
      </c>
      <c r="F40" s="53">
        <v>88</v>
      </c>
      <c r="G40" s="53" t="s">
        <v>78</v>
      </c>
      <c r="H40" s="53" t="s">
        <v>78</v>
      </c>
      <c r="I40" s="53">
        <v>63.95</v>
      </c>
      <c r="J40" s="69"/>
      <c r="K40" s="69"/>
      <c r="L40" s="69"/>
    </row>
    <row r="41" spans="1:12" ht="13.8">
      <c r="A41" s="15" t="s">
        <v>45</v>
      </c>
      <c r="B41" s="53">
        <v>58.83</v>
      </c>
      <c r="C41" s="53">
        <v>96.55</v>
      </c>
      <c r="D41" s="53">
        <v>76.599999999999994</v>
      </c>
      <c r="E41" s="53">
        <v>64.599999999999994</v>
      </c>
      <c r="F41" s="53">
        <v>84.4</v>
      </c>
      <c r="G41" s="53" t="s">
        <v>78</v>
      </c>
      <c r="H41" s="53" t="s">
        <v>78</v>
      </c>
      <c r="I41" s="53">
        <v>66.25</v>
      </c>
      <c r="J41" s="69"/>
      <c r="K41" s="69"/>
      <c r="L41" s="69"/>
    </row>
    <row r="42" spans="1:12" ht="13.8">
      <c r="A42" s="15" t="s">
        <v>46</v>
      </c>
      <c r="B42" s="53">
        <v>55.474999999999994</v>
      </c>
      <c r="C42" s="53">
        <v>92.5625</v>
      </c>
      <c r="D42" s="53">
        <v>73</v>
      </c>
      <c r="E42" s="53">
        <v>62.625</v>
      </c>
      <c r="F42" s="53">
        <v>81.75</v>
      </c>
      <c r="G42" s="53" t="s">
        <v>78</v>
      </c>
      <c r="H42" s="53">
        <v>82</v>
      </c>
      <c r="I42" s="53" t="s">
        <v>78</v>
      </c>
      <c r="J42" s="69"/>
      <c r="K42" s="69"/>
      <c r="L42" s="69"/>
    </row>
    <row r="43" spans="1:12" ht="13.8">
      <c r="A43" s="15" t="s">
        <v>47</v>
      </c>
      <c r="B43" s="53">
        <v>52.484999999999999</v>
      </c>
      <c r="C43" s="53">
        <v>91.75</v>
      </c>
      <c r="D43" s="53">
        <v>68.625</v>
      </c>
      <c r="E43" s="53">
        <v>62.125</v>
      </c>
      <c r="F43" s="53">
        <v>85.5</v>
      </c>
      <c r="G43" s="53">
        <v>52</v>
      </c>
      <c r="H43" s="53" t="s">
        <v>78</v>
      </c>
      <c r="I43" s="53" t="s">
        <v>78</v>
      </c>
      <c r="J43" s="69"/>
      <c r="K43" s="69"/>
      <c r="L43" s="69"/>
    </row>
    <row r="44" spans="1:12" ht="13.8">
      <c r="A44" s="15" t="s">
        <v>49</v>
      </c>
      <c r="B44" s="53">
        <v>60.007999999999996</v>
      </c>
      <c r="C44" s="53">
        <v>97.85</v>
      </c>
      <c r="D44" s="53">
        <v>67</v>
      </c>
      <c r="E44" s="53">
        <v>71.849999999999994</v>
      </c>
      <c r="F44" s="53">
        <v>89.6</v>
      </c>
      <c r="G44" s="53" t="s">
        <v>78</v>
      </c>
      <c r="H44" s="53">
        <v>80</v>
      </c>
      <c r="I44" s="53">
        <v>74.59</v>
      </c>
      <c r="J44" s="53"/>
      <c r="K44" s="69"/>
      <c r="L44" s="69"/>
    </row>
    <row r="45" spans="1:12" ht="13.8">
      <c r="A45" s="15" t="s">
        <v>50</v>
      </c>
      <c r="B45" s="53">
        <v>70.887499999999989</v>
      </c>
      <c r="C45" s="53">
        <v>107.75</v>
      </c>
      <c r="D45" s="53">
        <v>73.25</v>
      </c>
      <c r="E45" s="53">
        <v>83</v>
      </c>
      <c r="F45" s="53">
        <v>94.25</v>
      </c>
      <c r="G45" s="53" t="s">
        <v>78</v>
      </c>
      <c r="H45" s="53" t="s">
        <v>78</v>
      </c>
      <c r="I45" s="53">
        <v>74.625</v>
      </c>
      <c r="J45" s="53"/>
      <c r="K45" s="69"/>
      <c r="L45" s="69"/>
    </row>
    <row r="46" spans="1:12" ht="13.8">
      <c r="A46" s="15" t="s">
        <v>51</v>
      </c>
      <c r="B46" s="53">
        <v>70.966999999999999</v>
      </c>
      <c r="C46" s="53">
        <v>108.19</v>
      </c>
      <c r="D46" s="53">
        <v>72.69</v>
      </c>
      <c r="E46" s="53">
        <v>81.69</v>
      </c>
      <c r="F46" s="53">
        <v>95.25</v>
      </c>
      <c r="G46" s="53" t="s">
        <v>78</v>
      </c>
      <c r="H46" s="53" t="s">
        <v>78</v>
      </c>
      <c r="I46" s="53">
        <v>76.7</v>
      </c>
    </row>
    <row r="47" spans="1:12" ht="13.8">
      <c r="A47" s="14" t="s">
        <v>37</v>
      </c>
      <c r="B47" s="134">
        <v>65.227999999999994</v>
      </c>
      <c r="C47" s="134">
        <v>101.5</v>
      </c>
      <c r="D47" s="134">
        <v>71.099999999999994</v>
      </c>
      <c r="E47" s="134">
        <v>73.75</v>
      </c>
      <c r="F47" s="134">
        <v>88.4</v>
      </c>
      <c r="G47" s="134" t="s">
        <v>78</v>
      </c>
      <c r="H47" s="134" t="s">
        <v>78</v>
      </c>
      <c r="I47" s="134">
        <v>76.25</v>
      </c>
    </row>
    <row r="48" spans="1:12" ht="16.2">
      <c r="A48" s="46" t="s">
        <v>142</v>
      </c>
      <c r="B48" s="67"/>
      <c r="C48" s="67"/>
      <c r="D48" s="67"/>
      <c r="E48" s="67"/>
      <c r="F48" s="67"/>
      <c r="G48" s="67"/>
      <c r="H48" s="67"/>
      <c r="I48" s="67"/>
    </row>
    <row r="49" spans="1:9" ht="16.2">
      <c r="A49" s="15" t="s">
        <v>143</v>
      </c>
      <c r="B49" s="67"/>
      <c r="C49" s="67"/>
      <c r="D49" s="67"/>
      <c r="E49" s="67"/>
      <c r="F49" s="67"/>
      <c r="G49" s="67"/>
      <c r="H49" s="67"/>
      <c r="I49" s="67"/>
    </row>
    <row r="50" spans="1:9" ht="14.4">
      <c r="A50" s="15" t="s">
        <v>144</v>
      </c>
      <c r="B50" s="15"/>
      <c r="C50" s="15"/>
      <c r="D50" s="15"/>
      <c r="E50" s="15"/>
      <c r="F50" s="67"/>
      <c r="G50" s="15"/>
      <c r="H50" s="15"/>
      <c r="I50" s="15"/>
    </row>
    <row r="51" spans="1:9" ht="13.8">
      <c r="A51" s="20" t="s">
        <v>57</v>
      </c>
      <c r="B51" s="41">
        <f>Contents!A16</f>
        <v>45215</v>
      </c>
      <c r="C51" s="15"/>
      <c r="D51" s="15"/>
      <c r="E51" s="15"/>
      <c r="F51" s="15"/>
      <c r="G51" s="15"/>
      <c r="H51" s="15"/>
      <c r="I51" s="15"/>
    </row>
    <row r="52" spans="1:9" ht="15.6">
      <c r="C52" s="68"/>
      <c r="G52" s="68"/>
      <c r="H52" s="68"/>
      <c r="I52" s="68"/>
    </row>
    <row r="53" spans="1:9" ht="15.6">
      <c r="B53" s="69"/>
      <c r="C53" s="69"/>
      <c r="D53" s="69"/>
      <c r="E53" s="69"/>
      <c r="F53" s="69"/>
      <c r="G53" s="69"/>
      <c r="H53" s="68"/>
      <c r="I53" s="68"/>
    </row>
    <row r="54" spans="1:9" ht="15.6">
      <c r="B54" s="99"/>
      <c r="C54" s="99"/>
      <c r="D54" s="99"/>
      <c r="E54" s="99"/>
      <c r="F54" s="99"/>
      <c r="G54" s="99"/>
      <c r="H54" s="68"/>
      <c r="I54" s="68"/>
    </row>
    <row r="55" spans="1:9" ht="15.6">
      <c r="C55" s="68"/>
      <c r="G55" s="68"/>
      <c r="H55" s="68"/>
      <c r="I55" s="68"/>
    </row>
    <row r="56" spans="1:9" ht="15.6">
      <c r="C56" s="68"/>
      <c r="G56" s="68"/>
      <c r="H56" s="68"/>
      <c r="I56" s="68"/>
    </row>
    <row r="57" spans="1:9" ht="15.6">
      <c r="C57" s="68"/>
      <c r="G57" s="68"/>
      <c r="H57" s="68"/>
      <c r="I57" s="68"/>
    </row>
    <row r="58" spans="1:9" ht="15.6">
      <c r="C58" s="68"/>
      <c r="G58" s="68"/>
      <c r="H58" s="68"/>
      <c r="I58" s="68"/>
    </row>
    <row r="59" spans="1:9" ht="15.6">
      <c r="C59" s="68"/>
      <c r="G59" s="68"/>
      <c r="H59" s="68"/>
      <c r="I59" s="68"/>
    </row>
    <row r="60" spans="1:9" ht="15.6">
      <c r="C60" s="68"/>
      <c r="G60" s="68"/>
      <c r="H60" s="68"/>
      <c r="I60" s="68"/>
    </row>
    <row r="61" spans="1:9" ht="15.6">
      <c r="C61" s="68"/>
      <c r="G61" s="68"/>
      <c r="H61" s="68"/>
      <c r="I61" s="68"/>
    </row>
    <row r="62" spans="1:9" ht="15.6">
      <c r="C62" s="68"/>
      <c r="G62" s="68"/>
      <c r="H62" s="68"/>
      <c r="I62" s="68"/>
    </row>
    <row r="63" spans="1:9" ht="15.6">
      <c r="C63" s="68"/>
      <c r="G63" s="68"/>
      <c r="H63" s="68"/>
      <c r="I63" s="68"/>
    </row>
    <row r="64" spans="1:9" ht="15.6">
      <c r="C64" s="68"/>
      <c r="G64" s="68"/>
      <c r="H64" s="68"/>
      <c r="I64" s="68"/>
    </row>
    <row r="65" spans="3:9" ht="15.6">
      <c r="C65" s="68"/>
      <c r="G65" s="68"/>
      <c r="H65" s="68"/>
      <c r="I65" s="68"/>
    </row>
    <row r="66" spans="3:9" ht="15.6">
      <c r="C66" s="68"/>
      <c r="G66" s="68"/>
      <c r="H66" s="68"/>
      <c r="I66" s="68"/>
    </row>
    <row r="67" spans="3:9" ht="15.6">
      <c r="C67" s="68"/>
      <c r="G67" s="68"/>
      <c r="H67" s="68"/>
      <c r="I67" s="68"/>
    </row>
    <row r="68" spans="3:9" ht="15.6">
      <c r="C68" s="68"/>
      <c r="H68" s="68"/>
      <c r="I68" s="68"/>
    </row>
    <row r="69" spans="3:9" ht="15.6">
      <c r="C69" s="68"/>
      <c r="H69" s="68"/>
      <c r="I69" s="68"/>
    </row>
    <row r="70" spans="3:9" ht="15.6">
      <c r="C70" s="68"/>
      <c r="F70" s="69"/>
      <c r="H70" s="68"/>
      <c r="I70" s="68"/>
    </row>
    <row r="71" spans="3:9" ht="15.6">
      <c r="F71" s="69"/>
      <c r="H71" s="68"/>
      <c r="I71" s="68"/>
    </row>
  </sheetData>
  <phoneticPr fontId="35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1"/>
  <sheetViews>
    <sheetView showGridLines="0" zoomScale="70" zoomScaleNormal="70" workbookViewId="0">
      <pane xSplit="1" ySplit="4" topLeftCell="B14" activePane="bottomRight" state="frozen"/>
      <selection pane="topRight" activeCell="L48" sqref="L48"/>
      <selection pane="bottomLeft" activeCell="L48" sqref="L48"/>
      <selection pane="bottomRight"/>
    </sheetView>
  </sheetViews>
  <sheetFormatPr defaultColWidth="9.109375" defaultRowHeight="13.2"/>
  <cols>
    <col min="1" max="1" width="11.6640625" customWidth="1"/>
    <col min="2" max="7" width="13.6640625" customWidth="1"/>
    <col min="8" max="8" width="10.10937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125</v>
      </c>
      <c r="C2" s="70" t="s">
        <v>126</v>
      </c>
      <c r="D2" s="70" t="s">
        <v>127</v>
      </c>
      <c r="E2" s="70" t="s">
        <v>129</v>
      </c>
      <c r="F2" s="17" t="s">
        <v>145</v>
      </c>
      <c r="G2" s="17" t="s">
        <v>146</v>
      </c>
      <c r="AB2" s="71"/>
    </row>
    <row r="3" spans="1:28" ht="15.6" customHeight="1">
      <c r="A3" s="14" t="s">
        <v>105</v>
      </c>
      <c r="B3" s="23" t="s">
        <v>147</v>
      </c>
      <c r="C3" s="23" t="s">
        <v>148</v>
      </c>
      <c r="D3" s="23" t="s">
        <v>149</v>
      </c>
      <c r="E3" s="23" t="s">
        <v>150</v>
      </c>
      <c r="F3" s="23" t="s">
        <v>151</v>
      </c>
      <c r="G3" s="23" t="s">
        <v>152</v>
      </c>
      <c r="AB3" s="71"/>
    </row>
    <row r="4" spans="1:28" ht="14.4">
      <c r="A4" s="63" t="s">
        <v>153</v>
      </c>
      <c r="C4" s="64"/>
      <c r="D4" s="64"/>
      <c r="E4" s="64"/>
      <c r="F4" s="64"/>
      <c r="G4" s="64"/>
      <c r="AB4" s="71"/>
    </row>
    <row r="5" spans="1:28" ht="13.8">
      <c r="A5" s="15"/>
      <c r="B5" s="15"/>
      <c r="C5" s="15"/>
      <c r="D5" s="15"/>
      <c r="E5" s="15"/>
      <c r="F5" s="15"/>
      <c r="G5" s="15"/>
      <c r="AB5" s="71"/>
    </row>
    <row r="6" spans="1:28" ht="13.8">
      <c r="A6" s="15" t="s">
        <v>110</v>
      </c>
      <c r="B6" s="66">
        <v>345.52</v>
      </c>
      <c r="C6" s="66">
        <v>273.83999999999997</v>
      </c>
      <c r="D6" s="66">
        <v>219.72</v>
      </c>
      <c r="E6" s="57" t="s">
        <v>78</v>
      </c>
      <c r="F6" s="66">
        <v>263.63</v>
      </c>
      <c r="G6" s="66">
        <v>240.65</v>
      </c>
      <c r="AB6" s="71"/>
    </row>
    <row r="7" spans="1:28" ht="13.8">
      <c r="A7" s="15" t="s">
        <v>111</v>
      </c>
      <c r="B7" s="66">
        <v>393.53</v>
      </c>
      <c r="C7" s="66">
        <v>275.13</v>
      </c>
      <c r="D7" s="66">
        <v>246.75</v>
      </c>
      <c r="E7" s="57" t="s">
        <v>78</v>
      </c>
      <c r="F7" s="66">
        <v>307.58999999999997</v>
      </c>
      <c r="G7" s="66">
        <v>265.68</v>
      </c>
      <c r="AB7" s="71"/>
    </row>
    <row r="8" spans="1:28" ht="13.8">
      <c r="A8" s="15" t="s">
        <v>112</v>
      </c>
      <c r="B8" s="66">
        <v>468.11</v>
      </c>
      <c r="C8" s="66">
        <v>331.52</v>
      </c>
      <c r="D8" s="66">
        <v>241.57</v>
      </c>
      <c r="E8" s="57" t="s">
        <v>78</v>
      </c>
      <c r="F8" s="66">
        <v>354.22</v>
      </c>
      <c r="G8" s="66">
        <v>329.31</v>
      </c>
      <c r="AB8" s="71"/>
    </row>
    <row r="9" spans="1:28" ht="13.8">
      <c r="A9" s="15" t="s">
        <v>113</v>
      </c>
      <c r="B9" s="66">
        <v>489.94</v>
      </c>
      <c r="C9" s="66">
        <v>377.71</v>
      </c>
      <c r="D9" s="66">
        <v>238.87</v>
      </c>
      <c r="E9" s="57" t="s">
        <v>78</v>
      </c>
      <c r="F9" s="66">
        <v>359.7</v>
      </c>
      <c r="G9" s="66">
        <v>337.23</v>
      </c>
      <c r="AB9" s="71"/>
    </row>
    <row r="10" spans="1:28" ht="13.8">
      <c r="A10" s="15" t="s">
        <v>114</v>
      </c>
      <c r="B10" s="66">
        <v>368.49</v>
      </c>
      <c r="C10" s="66">
        <v>304.27</v>
      </c>
      <c r="D10" s="66">
        <v>209.97</v>
      </c>
      <c r="E10" s="57" t="s">
        <v>78</v>
      </c>
      <c r="F10" s="66">
        <v>301.2</v>
      </c>
      <c r="G10" s="66">
        <v>256.58</v>
      </c>
      <c r="AB10" s="71"/>
    </row>
    <row r="11" spans="1:28" ht="13.8">
      <c r="A11" s="15" t="s">
        <v>115</v>
      </c>
      <c r="B11" s="66">
        <v>324.56</v>
      </c>
      <c r="C11" s="66">
        <v>261.19</v>
      </c>
      <c r="D11" s="66">
        <v>153.16999999999999</v>
      </c>
      <c r="E11" s="57" t="s">
        <v>78</v>
      </c>
      <c r="F11" s="66">
        <v>262.2</v>
      </c>
      <c r="G11" s="66">
        <v>260.23</v>
      </c>
      <c r="AB11" s="71"/>
    </row>
    <row r="12" spans="1:28" ht="13.8">
      <c r="A12" s="15" t="s">
        <v>116</v>
      </c>
      <c r="B12" s="66">
        <v>316.88</v>
      </c>
      <c r="C12" s="66">
        <v>208.61</v>
      </c>
      <c r="D12" s="66">
        <v>145.1</v>
      </c>
      <c r="E12" s="57" t="s">
        <v>78</v>
      </c>
      <c r="F12" s="66">
        <v>267.94</v>
      </c>
      <c r="G12" s="66">
        <v>282.49</v>
      </c>
      <c r="AB12" s="71"/>
    </row>
    <row r="13" spans="1:28" ht="13.8">
      <c r="A13" s="15" t="s">
        <v>117</v>
      </c>
      <c r="B13" s="66">
        <v>345.02</v>
      </c>
      <c r="C13" s="66">
        <v>260.88</v>
      </c>
      <c r="D13" s="66">
        <v>173.53</v>
      </c>
      <c r="E13" s="57" t="s">
        <v>78</v>
      </c>
      <c r="F13" s="66">
        <v>291.14999999999998</v>
      </c>
      <c r="G13" s="66">
        <v>239.15</v>
      </c>
    </row>
    <row r="14" spans="1:28" ht="13.8">
      <c r="A14" s="15" t="s">
        <v>118</v>
      </c>
      <c r="B14" s="66">
        <v>308.27999999999997</v>
      </c>
      <c r="C14" s="66">
        <v>228.64</v>
      </c>
      <c r="D14" s="66">
        <v>164.16</v>
      </c>
      <c r="E14" s="57" t="s">
        <v>78</v>
      </c>
      <c r="F14" s="66">
        <v>272.38</v>
      </c>
      <c r="G14" s="66">
        <v>225.77</v>
      </c>
    </row>
    <row r="15" spans="1:28" ht="13.8">
      <c r="A15" s="15" t="s">
        <v>119</v>
      </c>
      <c r="B15" s="66">
        <v>299.5</v>
      </c>
      <c r="C15" s="66">
        <v>247.04</v>
      </c>
      <c r="D15" s="66">
        <v>187.7</v>
      </c>
      <c r="E15" s="57" t="s">
        <v>78</v>
      </c>
      <c r="F15" s="66">
        <v>273.99</v>
      </c>
      <c r="G15" s="66">
        <v>245.88</v>
      </c>
    </row>
    <row r="16" spans="1:28" ht="13.8">
      <c r="A16" s="15" t="s">
        <v>120</v>
      </c>
      <c r="B16" s="66">
        <v>392.31</v>
      </c>
      <c r="C16" s="66">
        <v>375.51</v>
      </c>
      <c r="D16" s="110">
        <v>246.22</v>
      </c>
      <c r="E16" s="57" t="s">
        <v>78</v>
      </c>
      <c r="F16" s="66">
        <v>351.87</v>
      </c>
      <c r="G16" s="66">
        <v>288.12</v>
      </c>
    </row>
    <row r="17" spans="1:13" ht="13.8">
      <c r="A17" s="15" t="s">
        <v>34</v>
      </c>
      <c r="B17" s="66">
        <v>439.81</v>
      </c>
      <c r="C17" s="66">
        <v>355.33</v>
      </c>
      <c r="D17" s="66">
        <v>279.98</v>
      </c>
      <c r="E17" s="57" t="s">
        <v>78</v>
      </c>
      <c r="F17" s="66">
        <v>439.1</v>
      </c>
      <c r="G17" s="66">
        <v>332.21</v>
      </c>
    </row>
    <row r="18" spans="1:13" ht="16.2">
      <c r="A18" s="15" t="s">
        <v>140</v>
      </c>
      <c r="B18" s="66">
        <v>451.91</v>
      </c>
      <c r="C18" s="66">
        <v>379.13</v>
      </c>
      <c r="D18" s="66">
        <v>244.34</v>
      </c>
      <c r="E18" s="57" t="s">
        <v>78</v>
      </c>
      <c r="F18" s="66">
        <v>431.34</v>
      </c>
      <c r="G18" s="110">
        <v>359.06</v>
      </c>
      <c r="I18" s="69"/>
    </row>
    <row r="19" spans="1:13" ht="16.2">
      <c r="A19" s="15" t="s">
        <v>141</v>
      </c>
      <c r="B19" s="66">
        <v>380</v>
      </c>
      <c r="C19" s="66">
        <v>346</v>
      </c>
      <c r="D19" s="66">
        <v>230</v>
      </c>
      <c r="E19" s="57" t="s">
        <v>78</v>
      </c>
      <c r="F19" s="66">
        <v>350</v>
      </c>
      <c r="G19" s="110">
        <v>280</v>
      </c>
      <c r="I19" s="69"/>
    </row>
    <row r="20" spans="1:13" ht="13.8">
      <c r="A20" s="15"/>
      <c r="B20" s="66"/>
      <c r="C20" s="66"/>
      <c r="D20" s="66"/>
      <c r="E20" s="57"/>
      <c r="F20" s="66"/>
      <c r="G20" s="66"/>
      <c r="I20" s="72"/>
      <c r="J20" s="73"/>
      <c r="K20" s="73"/>
      <c r="L20" s="73"/>
      <c r="M20" s="73"/>
    </row>
    <row r="21" spans="1:13" ht="13.8">
      <c r="A21" s="35" t="s">
        <v>34</v>
      </c>
      <c r="B21" s="66"/>
      <c r="C21" s="66"/>
      <c r="D21" s="66"/>
      <c r="E21" s="53"/>
      <c r="F21" s="66"/>
      <c r="G21" s="66"/>
      <c r="H21" s="53"/>
    </row>
    <row r="22" spans="1:13" ht="13.8">
      <c r="A22" s="15" t="s">
        <v>38</v>
      </c>
      <c r="B22" s="66">
        <v>325.43</v>
      </c>
      <c r="C22" s="66">
        <v>298.75</v>
      </c>
      <c r="D22" s="66">
        <v>222.5</v>
      </c>
      <c r="E22" s="57" t="s">
        <v>78</v>
      </c>
      <c r="F22" s="66">
        <v>322.82499999999999</v>
      </c>
      <c r="G22" s="66">
        <v>265.625</v>
      </c>
      <c r="H22" s="53"/>
      <c r="I22" s="69"/>
    </row>
    <row r="23" spans="1:13" ht="13.8">
      <c r="A23" s="15" t="s">
        <v>39</v>
      </c>
      <c r="B23" s="66">
        <v>358.73</v>
      </c>
      <c r="C23" s="66">
        <v>304.5</v>
      </c>
      <c r="D23" s="66">
        <v>256.5</v>
      </c>
      <c r="E23" s="57" t="s">
        <v>78</v>
      </c>
      <c r="F23" s="66">
        <v>350.21999999999997</v>
      </c>
      <c r="G23" s="66">
        <v>252</v>
      </c>
      <c r="H23" s="53"/>
      <c r="I23" s="69"/>
    </row>
    <row r="24" spans="1:13" ht="13.8">
      <c r="A24" s="15" t="s">
        <v>41</v>
      </c>
      <c r="B24" s="66">
        <v>399.53</v>
      </c>
      <c r="C24" s="66">
        <v>311.25</v>
      </c>
      <c r="D24" s="66">
        <v>289.16666666666669</v>
      </c>
      <c r="E24" s="57" t="s">
        <v>78</v>
      </c>
      <c r="F24" s="66">
        <v>382.9666666666667</v>
      </c>
      <c r="G24" s="66">
        <v>309.16666666666669</v>
      </c>
      <c r="H24" s="53"/>
      <c r="I24" s="69"/>
    </row>
    <row r="25" spans="1:13" ht="13.8">
      <c r="A25" s="15" t="s">
        <v>154</v>
      </c>
      <c r="B25" s="66">
        <v>421.21</v>
      </c>
      <c r="C25" s="66">
        <v>318.125</v>
      </c>
      <c r="D25" s="66">
        <v>301.25</v>
      </c>
      <c r="E25" s="57" t="s">
        <v>78</v>
      </c>
      <c r="F25" s="66">
        <v>410.875</v>
      </c>
      <c r="G25" s="66">
        <v>326.25</v>
      </c>
      <c r="H25" s="53"/>
      <c r="I25" s="69"/>
    </row>
    <row r="26" spans="1:13" ht="13.8">
      <c r="A26" s="15" t="s">
        <v>43</v>
      </c>
      <c r="B26" s="110">
        <v>460.45</v>
      </c>
      <c r="C26" s="66">
        <v>333.75</v>
      </c>
      <c r="D26" s="66">
        <v>320</v>
      </c>
      <c r="E26" s="57" t="s">
        <v>78</v>
      </c>
      <c r="F26" s="66">
        <v>454.625</v>
      </c>
      <c r="G26" s="66">
        <v>350</v>
      </c>
      <c r="H26" s="53"/>
      <c r="I26" s="69"/>
    </row>
    <row r="27" spans="1:13" ht="13.8">
      <c r="A27" s="15" t="s">
        <v>45</v>
      </c>
      <c r="B27" s="110">
        <v>493.97500000000002</v>
      </c>
      <c r="C27" s="66">
        <v>345.625</v>
      </c>
      <c r="D27" s="66">
        <v>333.33300000000003</v>
      </c>
      <c r="E27" s="57" t="s">
        <v>78</v>
      </c>
      <c r="F27" s="66">
        <v>487.03750000000002</v>
      </c>
      <c r="G27" s="66">
        <v>392.5</v>
      </c>
      <c r="H27" s="53"/>
      <c r="I27" s="69"/>
    </row>
    <row r="28" spans="1:13" ht="13.8">
      <c r="A28" s="15" t="s">
        <v>46</v>
      </c>
      <c r="B28" s="110">
        <v>475.35999999999996</v>
      </c>
      <c r="C28" s="66">
        <v>355</v>
      </c>
      <c r="D28" s="66">
        <v>321</v>
      </c>
      <c r="E28" s="57" t="s">
        <v>78</v>
      </c>
      <c r="F28" s="66">
        <v>470.77999999999992</v>
      </c>
      <c r="G28" s="66">
        <v>386</v>
      </c>
      <c r="H28" s="53"/>
      <c r="I28" s="69"/>
    </row>
    <row r="29" spans="1:13" ht="13.8">
      <c r="A29" s="15" t="s">
        <v>47</v>
      </c>
      <c r="B29" s="110">
        <v>441.27499999999998</v>
      </c>
      <c r="C29" s="66">
        <v>388.75</v>
      </c>
      <c r="D29" s="66">
        <v>285.625</v>
      </c>
      <c r="E29" s="57" t="s">
        <v>78</v>
      </c>
      <c r="F29" s="66">
        <v>454.5</v>
      </c>
      <c r="G29" s="66">
        <v>351.25</v>
      </c>
      <c r="H29" s="53"/>
      <c r="I29" s="69"/>
    </row>
    <row r="30" spans="1:13" ht="13.8">
      <c r="A30" s="15" t="s">
        <v>49</v>
      </c>
      <c r="B30" s="110">
        <v>445.92499999999995</v>
      </c>
      <c r="C30" s="66">
        <v>383.75</v>
      </c>
      <c r="D30" s="66">
        <v>281.875</v>
      </c>
      <c r="E30" s="57" t="s">
        <v>78</v>
      </c>
      <c r="F30" s="66">
        <v>478.17499999999995</v>
      </c>
      <c r="G30" s="66">
        <v>322.5</v>
      </c>
      <c r="H30" s="53"/>
      <c r="I30" s="69"/>
    </row>
    <row r="31" spans="1:13" ht="13.8">
      <c r="A31" s="15" t="s">
        <v>50</v>
      </c>
      <c r="B31" s="110">
        <v>467.87</v>
      </c>
      <c r="C31" s="66">
        <v>369.5</v>
      </c>
      <c r="D31" s="66">
        <v>268.5</v>
      </c>
      <c r="E31" s="57" t="s">
        <v>78</v>
      </c>
      <c r="F31" s="66">
        <v>501.17999999999995</v>
      </c>
      <c r="G31" s="66">
        <v>351.5</v>
      </c>
      <c r="H31" s="53"/>
      <c r="I31" s="69"/>
    </row>
    <row r="32" spans="1:13" ht="13.8">
      <c r="A32" s="15" t="s">
        <v>51</v>
      </c>
      <c r="B32" s="110">
        <v>510.90000000000009</v>
      </c>
      <c r="C32" s="66">
        <v>405</v>
      </c>
      <c r="D32" s="66">
        <v>255</v>
      </c>
      <c r="E32" s="57" t="s">
        <v>78</v>
      </c>
      <c r="F32" s="66">
        <v>521.52500000000009</v>
      </c>
      <c r="G32" s="66">
        <v>347.5</v>
      </c>
      <c r="H32" s="53"/>
      <c r="I32" s="69"/>
    </row>
    <row r="33" spans="1:9" ht="13.8">
      <c r="A33" s="15" t="s">
        <v>37</v>
      </c>
      <c r="B33" s="110">
        <v>473.93999999999994</v>
      </c>
      <c r="C33" s="66">
        <v>450</v>
      </c>
      <c r="D33" s="66">
        <v>225</v>
      </c>
      <c r="E33" s="57" t="s">
        <v>78</v>
      </c>
      <c r="F33" s="66">
        <v>434.53999999999996</v>
      </c>
      <c r="G33" s="66" t="s">
        <v>78</v>
      </c>
      <c r="H33" s="53"/>
    </row>
    <row r="34" spans="1:9" ht="13.8">
      <c r="A34" s="15"/>
      <c r="B34" s="110"/>
      <c r="C34" s="66"/>
      <c r="D34" s="66"/>
      <c r="E34" s="57"/>
      <c r="F34" s="66"/>
      <c r="G34" s="66"/>
      <c r="H34" s="53"/>
    </row>
    <row r="35" spans="1:9" ht="13.8">
      <c r="A35" s="35" t="s">
        <v>53</v>
      </c>
      <c r="B35" s="110"/>
      <c r="C35" s="66"/>
      <c r="D35" s="66"/>
      <c r="E35" s="57"/>
      <c r="F35" s="66"/>
      <c r="G35" s="66"/>
      <c r="H35" s="53"/>
    </row>
    <row r="36" spans="1:9" ht="13.8">
      <c r="A36" s="15" t="s">
        <v>38</v>
      </c>
      <c r="B36" s="110">
        <v>468.67499999999995</v>
      </c>
      <c r="C36" s="66">
        <v>451.875</v>
      </c>
      <c r="D36" s="66" t="s">
        <v>78</v>
      </c>
      <c r="E36" s="57" t="s">
        <v>78</v>
      </c>
      <c r="F36" s="66">
        <v>409.17499999999995</v>
      </c>
      <c r="G36" s="66" t="s">
        <v>78</v>
      </c>
      <c r="H36" s="53"/>
    </row>
    <row r="37" spans="1:9" ht="13.8">
      <c r="A37" s="15" t="s">
        <v>39</v>
      </c>
      <c r="B37" s="110">
        <v>436.74999999999994</v>
      </c>
      <c r="C37" s="66">
        <v>405</v>
      </c>
      <c r="D37" s="66" t="s">
        <v>78</v>
      </c>
      <c r="E37" s="57" t="s">
        <v>78</v>
      </c>
      <c r="F37" s="66">
        <v>402.99999999999994</v>
      </c>
      <c r="G37" s="66">
        <v>357.5</v>
      </c>
      <c r="H37" s="53"/>
      <c r="I37" s="69"/>
    </row>
    <row r="38" spans="1:9" ht="13.8">
      <c r="A38" s="15" t="s">
        <v>41</v>
      </c>
      <c r="B38" s="110">
        <v>462.85</v>
      </c>
      <c r="C38" s="66">
        <v>390.625</v>
      </c>
      <c r="D38" s="66">
        <v>200</v>
      </c>
      <c r="E38" s="57" t="s">
        <v>78</v>
      </c>
      <c r="F38" s="66">
        <v>437.09999999999997</v>
      </c>
      <c r="G38" s="66">
        <v>368.5</v>
      </c>
      <c r="H38" s="53"/>
      <c r="I38" s="69"/>
    </row>
    <row r="39" spans="1:9" ht="13.8">
      <c r="A39" s="15" t="s">
        <v>42</v>
      </c>
      <c r="B39" s="110">
        <v>482.40000000000003</v>
      </c>
      <c r="C39" s="66">
        <v>386.25</v>
      </c>
      <c r="D39" s="66">
        <v>355</v>
      </c>
      <c r="E39" s="57" t="s">
        <v>78</v>
      </c>
      <c r="F39" s="66">
        <v>474.02500000000003</v>
      </c>
      <c r="G39" s="66">
        <v>397.5</v>
      </c>
      <c r="I39" s="69"/>
    </row>
    <row r="40" spans="1:9" ht="13.8">
      <c r="A40" s="15" t="s">
        <v>43</v>
      </c>
      <c r="B40" s="110">
        <v>500.52499999999998</v>
      </c>
      <c r="C40" s="66">
        <v>392.5</v>
      </c>
      <c r="D40" s="66">
        <v>336.25</v>
      </c>
      <c r="E40" s="57" t="s">
        <v>78</v>
      </c>
      <c r="F40" s="66">
        <v>501.02499999999998</v>
      </c>
      <c r="G40" s="66">
        <v>412.5</v>
      </c>
      <c r="I40" s="69"/>
    </row>
    <row r="41" spans="1:9" ht="13.8">
      <c r="A41" s="15" t="s">
        <v>45</v>
      </c>
      <c r="B41" s="110">
        <v>484.4</v>
      </c>
      <c r="C41" s="66">
        <v>386.25</v>
      </c>
      <c r="D41" s="66">
        <v>308</v>
      </c>
      <c r="E41" s="57" t="s">
        <v>78</v>
      </c>
      <c r="F41" s="66">
        <v>466.6</v>
      </c>
      <c r="G41" s="66">
        <v>380.4</v>
      </c>
      <c r="I41" s="69"/>
    </row>
    <row r="42" spans="1:9" ht="13.8">
      <c r="A42" s="15" t="s">
        <v>46</v>
      </c>
      <c r="B42" s="110">
        <v>457.25</v>
      </c>
      <c r="C42" s="66">
        <v>364.375</v>
      </c>
      <c r="D42" s="66">
        <v>252.5</v>
      </c>
      <c r="E42" s="57" t="s">
        <v>78</v>
      </c>
      <c r="F42" s="66">
        <v>434.75</v>
      </c>
      <c r="G42" s="66">
        <v>352.5</v>
      </c>
      <c r="I42" s="69"/>
    </row>
    <row r="43" spans="1:9" ht="13.8">
      <c r="A43" s="15" t="s">
        <v>47</v>
      </c>
      <c r="B43" s="110">
        <v>423.57499999999999</v>
      </c>
      <c r="C43" s="66">
        <v>370.625</v>
      </c>
      <c r="D43" s="66">
        <v>237.5</v>
      </c>
      <c r="E43" s="57" t="s">
        <v>78</v>
      </c>
      <c r="F43" s="66">
        <v>407.02500000000003</v>
      </c>
      <c r="G43" s="66">
        <v>352.5</v>
      </c>
      <c r="I43" s="69"/>
    </row>
    <row r="44" spans="1:9" ht="13.8">
      <c r="A44" s="15" t="s">
        <v>49</v>
      </c>
      <c r="B44" s="110">
        <v>413.46000000000004</v>
      </c>
      <c r="C44" s="66">
        <v>362.5</v>
      </c>
      <c r="D44" s="66">
        <v>208.00200000000001</v>
      </c>
      <c r="E44" s="57" t="s">
        <v>78</v>
      </c>
      <c r="F44" s="66">
        <v>405.06000000000006</v>
      </c>
      <c r="G44" s="66">
        <v>354</v>
      </c>
      <c r="I44" s="69"/>
    </row>
    <row r="45" spans="1:9" ht="13.8">
      <c r="A45" s="15" t="s">
        <v>50</v>
      </c>
      <c r="B45" s="110">
        <v>443.15</v>
      </c>
      <c r="C45" s="66">
        <v>347.5</v>
      </c>
      <c r="D45" s="66">
        <v>159.16749999999999</v>
      </c>
      <c r="E45" s="57" t="s">
        <v>78</v>
      </c>
      <c r="F45" s="66">
        <v>432.1</v>
      </c>
      <c r="G45" s="66">
        <v>335</v>
      </c>
      <c r="I45" s="69"/>
    </row>
    <row r="46" spans="1:9" ht="13.8">
      <c r="A46" s="15" t="s">
        <v>51</v>
      </c>
      <c r="B46" s="110">
        <v>438.8</v>
      </c>
      <c r="C46" s="66">
        <v>348.33</v>
      </c>
      <c r="D46" s="66">
        <v>185</v>
      </c>
      <c r="E46" s="57" t="s">
        <v>78</v>
      </c>
      <c r="F46" s="66">
        <v>412.9</v>
      </c>
      <c r="G46" s="66">
        <v>321.25</v>
      </c>
      <c r="I46" s="69"/>
    </row>
    <row r="47" spans="1:9" ht="13.8">
      <c r="A47" s="14" t="s">
        <v>37</v>
      </c>
      <c r="B47" s="131">
        <v>411.07</v>
      </c>
      <c r="C47" s="132">
        <v>343.75</v>
      </c>
      <c r="D47" s="132">
        <v>202</v>
      </c>
      <c r="E47" s="133" t="s">
        <v>78</v>
      </c>
      <c r="F47" s="132">
        <v>393.26</v>
      </c>
      <c r="G47" s="132">
        <v>318</v>
      </c>
      <c r="I47" s="69"/>
    </row>
    <row r="48" spans="1:9" ht="16.2">
      <c r="A48" s="46" t="s">
        <v>155</v>
      </c>
      <c r="B48" s="74"/>
      <c r="C48" s="74"/>
      <c r="D48" s="74"/>
      <c r="E48" s="74"/>
      <c r="F48" s="74"/>
      <c r="G48" s="74"/>
      <c r="I48" s="72"/>
    </row>
    <row r="49" spans="1:10" ht="16.2">
      <c r="A49" s="46" t="s">
        <v>156</v>
      </c>
      <c r="B49" s="75"/>
      <c r="C49" s="75"/>
      <c r="D49" s="75"/>
      <c r="E49" s="75"/>
      <c r="F49" s="75"/>
      <c r="G49" s="75"/>
      <c r="I49" s="72"/>
      <c r="J49" s="72"/>
    </row>
    <row r="50" spans="1:10" ht="14.4">
      <c r="A50" s="15" t="s">
        <v>157</v>
      </c>
      <c r="B50" s="15"/>
      <c r="C50" s="15"/>
      <c r="D50" s="15"/>
      <c r="E50" s="15"/>
      <c r="F50" s="75"/>
      <c r="G50" s="75"/>
      <c r="I50" s="72"/>
      <c r="J50" s="72"/>
    </row>
    <row r="51" spans="1:10" ht="13.8">
      <c r="A51" s="20" t="s">
        <v>57</v>
      </c>
      <c r="B51" s="41">
        <f>Contents!A16</f>
        <v>45215</v>
      </c>
      <c r="C51" s="15"/>
      <c r="D51" s="15"/>
      <c r="E51" s="15"/>
      <c r="F51" s="75"/>
      <c r="G51" s="75"/>
      <c r="I51" s="76"/>
      <c r="J51" s="76"/>
    </row>
    <row r="52" spans="1:10" ht="13.8">
      <c r="F52" s="75"/>
      <c r="G52" s="75"/>
      <c r="I52" s="76"/>
      <c r="J52" s="76"/>
    </row>
    <row r="53" spans="1:10" ht="13.8">
      <c r="B53" s="69"/>
      <c r="F53" s="75"/>
      <c r="G53" s="75"/>
      <c r="I53" s="72"/>
      <c r="J53" s="72"/>
    </row>
    <row r="54" spans="1:10">
      <c r="B54" s="130"/>
      <c r="I54" s="72"/>
      <c r="J54" s="72"/>
    </row>
    <row r="55" spans="1:10">
      <c r="I55" s="72"/>
      <c r="J55" s="72"/>
    </row>
    <row r="56" spans="1:10">
      <c r="I56" s="72"/>
      <c r="J56" s="72"/>
    </row>
    <row r="57" spans="1:10">
      <c r="I57" s="72"/>
      <c r="J57" s="72"/>
    </row>
    <row r="58" spans="1:10">
      <c r="I58" s="72"/>
      <c r="J58" s="72"/>
    </row>
    <row r="60" spans="1:10">
      <c r="I60" s="77"/>
      <c r="J60" s="77"/>
    </row>
    <row r="61" spans="1:10">
      <c r="I61" s="77"/>
      <c r="J61" s="77"/>
    </row>
  </sheetData>
  <phoneticPr fontId="35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11ED-C55F-433C-BF56-326098E3F238}">
  <dimension ref="A1:F25"/>
  <sheetViews>
    <sheetView zoomScaleNormal="100" workbookViewId="0"/>
  </sheetViews>
  <sheetFormatPr defaultColWidth="9.109375" defaultRowHeight="13.2"/>
  <cols>
    <col min="1" max="1" width="21.5546875" style="102" customWidth="1"/>
    <col min="2" max="2" width="14.44140625" style="102" customWidth="1"/>
    <col min="3" max="3" width="12" style="102" customWidth="1"/>
    <col min="4" max="4" width="13.6640625" style="102" customWidth="1"/>
    <col min="5" max="16384" width="9.109375" style="102"/>
  </cols>
  <sheetData>
    <row r="1" spans="1:6" ht="26.4">
      <c r="A1" s="108" t="s">
        <v>158</v>
      </c>
      <c r="B1" s="108" t="s">
        <v>21</v>
      </c>
      <c r="C1" s="108" t="s">
        <v>30</v>
      </c>
      <c r="D1" s="108" t="s">
        <v>26</v>
      </c>
    </row>
    <row r="2" spans="1:6">
      <c r="A2" s="106" t="s">
        <v>113</v>
      </c>
      <c r="B2" s="165">
        <v>1734</v>
      </c>
      <c r="C2" s="165">
        <v>1638.559</v>
      </c>
      <c r="D2" s="165">
        <v>3357.0039999999999</v>
      </c>
      <c r="E2" s="128"/>
      <c r="F2" s="128"/>
    </row>
    <row r="3" spans="1:6">
      <c r="A3" s="106" t="s">
        <v>114</v>
      </c>
      <c r="B3" s="166">
        <v>1873</v>
      </c>
      <c r="C3" s="166">
        <v>1842.175</v>
      </c>
      <c r="D3" s="166">
        <v>3928.07</v>
      </c>
      <c r="E3"/>
      <c r="F3"/>
    </row>
    <row r="4" spans="1:6">
      <c r="A4" s="106" t="s">
        <v>115</v>
      </c>
      <c r="B4" s="167">
        <v>1886.2370000000001</v>
      </c>
      <c r="C4" s="167">
        <v>1942.606</v>
      </c>
      <c r="D4" s="167">
        <v>3926.779</v>
      </c>
      <c r="E4"/>
      <c r="F4"/>
    </row>
    <row r="5" spans="1:6">
      <c r="A5" s="106" t="s">
        <v>116</v>
      </c>
      <c r="B5" s="167">
        <v>1901.1980000000001</v>
      </c>
      <c r="C5" s="167">
        <v>2166.5509999999999</v>
      </c>
      <c r="D5" s="167">
        <v>4296.4960000000001</v>
      </c>
      <c r="E5"/>
      <c r="F5"/>
    </row>
    <row r="6" spans="1:6">
      <c r="A6" s="106" t="s">
        <v>117</v>
      </c>
      <c r="B6" s="167">
        <v>2054.9319999999998</v>
      </c>
      <c r="C6" s="167">
        <v>2133.7310000000002</v>
      </c>
      <c r="D6" s="167">
        <v>4411.6329999999998</v>
      </c>
      <c r="E6"/>
      <c r="F6"/>
    </row>
    <row r="7" spans="1:6">
      <c r="A7" s="106" t="s">
        <v>118</v>
      </c>
      <c r="B7" s="167">
        <v>2091.9899999999998</v>
      </c>
      <c r="C7" s="167">
        <v>1753.43</v>
      </c>
      <c r="D7" s="167">
        <v>4428.1499999999996</v>
      </c>
      <c r="E7"/>
      <c r="F7"/>
    </row>
    <row r="8" spans="1:6">
      <c r="A8" s="106" t="s">
        <v>119</v>
      </c>
      <c r="B8" s="167">
        <v>2164.5540000000001</v>
      </c>
      <c r="C8" s="167">
        <v>1682.875</v>
      </c>
      <c r="D8" s="167">
        <v>3551.9079999999999</v>
      </c>
      <c r="E8"/>
      <c r="F8"/>
    </row>
    <row r="9" spans="1:6">
      <c r="A9" s="106" t="s">
        <v>120</v>
      </c>
      <c r="B9" s="167">
        <v>2140.585</v>
      </c>
      <c r="C9" s="167">
        <v>2265.7620000000002</v>
      </c>
      <c r="D9" s="167">
        <v>4216.3019999999997</v>
      </c>
      <c r="E9"/>
      <c r="F9"/>
    </row>
    <row r="10" spans="1:6">
      <c r="A10" s="106" t="s">
        <v>34</v>
      </c>
      <c r="B10" s="167">
        <v>2203.8719999999998</v>
      </c>
      <c r="C10" s="167">
        <v>2152.114</v>
      </c>
      <c r="D10" s="167">
        <v>4465.3819999999996</v>
      </c>
      <c r="E10"/>
      <c r="F10"/>
    </row>
    <row r="11" spans="1:6">
      <c r="A11" s="106" t="s">
        <v>53</v>
      </c>
      <c r="B11" s="168">
        <v>2211.9380000000001</v>
      </c>
      <c r="C11" s="168">
        <v>1991.816</v>
      </c>
      <c r="D11" s="168">
        <v>4270.1959999999999</v>
      </c>
      <c r="E11"/>
      <c r="F11"/>
    </row>
    <row r="12" spans="1:6">
      <c r="A12" s="106" t="s">
        <v>159</v>
      </c>
      <c r="B12" s="168">
        <v>2300</v>
      </c>
      <c r="C12" s="168">
        <v>1755</v>
      </c>
      <c r="D12" s="168">
        <v>4104.3789999999999</v>
      </c>
      <c r="E12"/>
      <c r="F12"/>
    </row>
    <row r="13" spans="1:6">
      <c r="A13" s="106"/>
      <c r="B13" s="128"/>
    </row>
    <row r="14" spans="1:6">
      <c r="A14" s="106"/>
      <c r="B14" s="128"/>
    </row>
    <row r="15" spans="1:6">
      <c r="A15" s="106"/>
      <c r="B15" s="173"/>
      <c r="C15" s="173"/>
    </row>
    <row r="16" spans="1:6">
      <c r="A16" s="106"/>
      <c r="B16" s="173"/>
      <c r="C16" s="173"/>
    </row>
    <row r="17" spans="1:3" customFormat="1">
      <c r="A17" s="106"/>
      <c r="B17" s="173"/>
      <c r="C17" s="173"/>
    </row>
    <row r="18" spans="1:3" customFormat="1">
      <c r="A18" s="106"/>
      <c r="B18" s="173"/>
      <c r="C18" s="173"/>
    </row>
    <row r="19" spans="1:3" customFormat="1">
      <c r="A19" s="106"/>
      <c r="B19" s="173"/>
      <c r="C19" s="173"/>
    </row>
    <row r="20" spans="1:3" customFormat="1">
      <c r="A20" s="106"/>
      <c r="B20" s="173"/>
      <c r="C20" s="173"/>
    </row>
    <row r="21" spans="1:3" customFormat="1">
      <c r="A21" s="106"/>
      <c r="B21" s="173"/>
      <c r="C21" s="173"/>
    </row>
    <row r="22" spans="1:3" customFormat="1">
      <c r="A22" s="106"/>
      <c r="B22" s="173"/>
      <c r="C22" s="173"/>
    </row>
    <row r="23" spans="1:3" customFormat="1">
      <c r="A23" s="106"/>
      <c r="B23" s="173"/>
      <c r="C23" s="173"/>
    </row>
    <row r="24" spans="1:3">
      <c r="A24" s="106"/>
      <c r="B24" s="173"/>
      <c r="C24" s="173"/>
    </row>
    <row r="25" spans="1:3">
      <c r="A25" s="106"/>
      <c r="B25" s="173"/>
      <c r="C25" s="173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5" ma:contentTypeDescription="Create a new document." ma:contentTypeScope="" ma:versionID="57dc3235c951814817744eeddbaef84b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d25759a2e0a6c409a5675b9d3245aeb3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62478-6736-46F8-AD75-7EF5A8C15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2023-10-16T13:01:12Z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