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3/OCS-23I September 2023/"/>
    </mc:Choice>
  </mc:AlternateContent>
  <xr:revisionPtr revIDLastSave="239" documentId="13_ncr:1_{AC19D84D-C3CA-4B1D-8E09-F62FA0DEEDBD}" xr6:coauthVersionLast="47" xr6:coauthVersionMax="47" xr10:uidLastSave="{7B2E3F5E-DC69-4134-BE9F-C154BDD803CF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49" r:id="rId9"/>
    <sheet name="Figure 2" sheetId="148" r:id="rId10"/>
    <sheet name="Figure 3" sheetId="142" r:id="rId11"/>
    <sheet name="Figure 4" sheetId="138" r:id="rId12"/>
  </sheets>
  <definedNames>
    <definedName name="_xlnm.Print_Area" localSheetId="1">'Table 1'!$A$1:$N$46</definedName>
    <definedName name="_xlnm.Print_Area" localSheetId="7">'Table 10'!$A$1:$G$48</definedName>
    <definedName name="_xlnm.Print_Area" localSheetId="2">'Table 2'!$A$1:$J$37</definedName>
    <definedName name="_xlnm.Print_Area" localSheetId="3">'Table 3'!$A$1:$L$50</definedName>
    <definedName name="_xlnm.Print_Area" localSheetId="5">'Table 8'!$A$1:$G$47</definedName>
    <definedName name="_xlnm.Print_Area" localSheetId="6">'Table 9'!$A$1:$I$49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N46" i="3"/>
  <c r="N44" i="3"/>
  <c r="H46" i="3"/>
  <c r="J23" i="9"/>
  <c r="K23" i="9"/>
  <c r="I6" i="9"/>
  <c r="G6" i="9"/>
  <c r="G7" i="9"/>
  <c r="C6" i="9"/>
  <c r="D46" i="3" l="1"/>
  <c r="D35" i="9" l="1"/>
  <c r="D35" i="2"/>
  <c r="G43" i="1"/>
  <c r="H35" i="2"/>
  <c r="F4" i="148"/>
  <c r="F5" i="148"/>
  <c r="F6" i="148"/>
  <c r="F7" i="148"/>
  <c r="F8" i="148"/>
  <c r="F3" i="148"/>
  <c r="J35" i="9" l="1"/>
  <c r="E35" i="9"/>
  <c r="K35" i="9" s="1"/>
  <c r="L43" i="1"/>
  <c r="B35" i="9"/>
  <c r="B35" i="2"/>
  <c r="E35" i="2" s="1"/>
  <c r="I35" i="2" s="1"/>
  <c r="J42" i="1"/>
  <c r="J43" i="1"/>
  <c r="G35" i="9" l="1"/>
  <c r="G35" i="2"/>
  <c r="G19" i="5"/>
  <c r="G18" i="5"/>
  <c r="H18" i="5"/>
  <c r="G42" i="1"/>
  <c r="D34" i="9" l="1"/>
  <c r="D34" i="2"/>
  <c r="J33" i="9"/>
  <c r="H34" i="2"/>
  <c r="J34" i="9"/>
  <c r="H33" i="2"/>
  <c r="L42" i="1"/>
  <c r="B34" i="9" l="1"/>
  <c r="B34" i="2"/>
  <c r="E34" i="2" s="1"/>
  <c r="I34" i="2" s="1"/>
  <c r="G34" i="2" s="1"/>
  <c r="I7" i="2"/>
  <c r="K7" i="9"/>
  <c r="J8" i="3"/>
  <c r="I33" i="3"/>
  <c r="H32" i="2"/>
  <c r="H31" i="2"/>
  <c r="H30" i="2"/>
  <c r="H29" i="2"/>
  <c r="H28" i="2"/>
  <c r="H27" i="2"/>
  <c r="H26" i="2"/>
  <c r="H23" i="2"/>
  <c r="H22" i="2"/>
  <c r="H21" i="2"/>
  <c r="H20" i="2"/>
  <c r="H19" i="2"/>
  <c r="H18" i="2"/>
  <c r="H14" i="2"/>
  <c r="H13" i="2"/>
  <c r="G11" i="1" l="1"/>
  <c r="L40" i="1"/>
  <c r="L39" i="1"/>
  <c r="L38" i="1"/>
  <c r="L36" i="1"/>
  <c r="L35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I8" i="2" l="1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1" i="9"/>
  <c r="G8" i="9"/>
  <c r="K8" i="9" s="1"/>
  <c r="D27" i="9" l="1"/>
  <c r="D26" i="9"/>
  <c r="D22" i="9"/>
  <c r="D21" i="9"/>
  <c r="D20" i="9"/>
  <c r="D19" i="9"/>
  <c r="D18" i="9"/>
  <c r="D17" i="9"/>
  <c r="D16" i="9"/>
  <c r="D15" i="9"/>
  <c r="D14" i="9"/>
  <c r="D13" i="9"/>
  <c r="D23" i="9"/>
  <c r="D23" i="2"/>
  <c r="D28" i="2"/>
  <c r="D27" i="2"/>
  <c r="D26" i="2"/>
  <c r="D22" i="2"/>
  <c r="D21" i="2"/>
  <c r="D20" i="2"/>
  <c r="D19" i="2"/>
  <c r="D18" i="2"/>
  <c r="D17" i="2"/>
  <c r="D16" i="2"/>
  <c r="D15" i="2"/>
  <c r="D14" i="2"/>
  <c r="D11" i="2"/>
  <c r="H17" i="2"/>
  <c r="H16" i="2"/>
  <c r="H15" i="2"/>
  <c r="H12" i="2"/>
  <c r="H11" i="2"/>
  <c r="L11" i="1"/>
  <c r="D8" i="1"/>
  <c r="G27" i="1"/>
  <c r="G39" i="1"/>
  <c r="G34" i="1"/>
  <c r="G32" i="1"/>
  <c r="G31" i="1"/>
  <c r="G30" i="1"/>
  <c r="G25" i="1"/>
  <c r="G24" i="1"/>
  <c r="G23" i="1"/>
  <c r="G21" i="1"/>
  <c r="G20" i="1"/>
  <c r="G19" i="1"/>
  <c r="G17" i="1"/>
  <c r="G16" i="1"/>
  <c r="D33" i="9" l="1"/>
  <c r="D33" i="2" l="1"/>
  <c r="J40" i="1" l="1"/>
  <c r="G40" i="1"/>
  <c r="N41" i="1" l="1"/>
  <c r="N37" i="1"/>
  <c r="B33" i="9" l="1"/>
  <c r="E33" i="9" s="1"/>
  <c r="B33" i="2"/>
  <c r="E33" i="2" s="1"/>
  <c r="I33" i="2" s="1"/>
  <c r="G33" i="2" s="1"/>
  <c r="K33" i="9" l="1"/>
  <c r="G33" i="9" s="1"/>
  <c r="I33" i="9" s="1"/>
  <c r="J32" i="9"/>
  <c r="D32" i="9"/>
  <c r="D32" i="2"/>
  <c r="M8" i="1" l="1"/>
  <c r="M7" i="1"/>
  <c r="J39" i="1" l="1"/>
  <c r="B32" i="9"/>
  <c r="E32" i="9" s="1"/>
  <c r="K32" i="9" s="1"/>
  <c r="G32" i="9" s="1"/>
  <c r="I32" i="9" s="1"/>
  <c r="B32" i="2"/>
  <c r="E32" i="2" s="1"/>
  <c r="I32" i="2" s="1"/>
  <c r="G32" i="2" s="1"/>
  <c r="D31" i="9"/>
  <c r="D31" i="2"/>
  <c r="J31" i="9" l="1"/>
  <c r="G38" i="1" l="1"/>
  <c r="G41" i="1" s="1"/>
  <c r="L41" i="1" l="1"/>
  <c r="J38" i="1" l="1"/>
  <c r="J41" i="1" s="1"/>
  <c r="I21" i="3" l="1"/>
  <c r="B11" i="9"/>
  <c r="B11" i="2"/>
  <c r="E14" i="1"/>
  <c r="B31" i="9" l="1"/>
  <c r="E31" i="9" s="1"/>
  <c r="K31" i="9" s="1"/>
  <c r="G31" i="9" s="1"/>
  <c r="I31" i="9" s="1"/>
  <c r="B31" i="2"/>
  <c r="E31" i="2" s="1"/>
  <c r="I31" i="2" s="1"/>
  <c r="G31" i="2" s="1"/>
  <c r="D30" i="9" l="1"/>
  <c r="D30" i="2"/>
  <c r="J30" i="9" l="1"/>
  <c r="G36" i="1" l="1"/>
  <c r="E41" i="1" l="1"/>
  <c r="N33" i="1"/>
  <c r="E37" i="1" s="1"/>
  <c r="H41" i="1" l="1"/>
  <c r="M41" i="1" s="1"/>
  <c r="K41" i="1" s="1"/>
  <c r="B30" i="9"/>
  <c r="E30" i="9" s="1"/>
  <c r="K30" i="9" s="1"/>
  <c r="G30" i="9" s="1"/>
  <c r="I30" i="9" s="1"/>
  <c r="B30" i="2"/>
  <c r="E30" i="2" s="1"/>
  <c r="I30" i="2" s="1"/>
  <c r="G30" i="2" s="1"/>
  <c r="J36" i="1"/>
  <c r="J29" i="9" l="1"/>
  <c r="D29" i="9"/>
  <c r="D29" i="2"/>
  <c r="G35" i="1"/>
  <c r="J35" i="1"/>
  <c r="J34" i="1"/>
  <c r="J32" i="1"/>
  <c r="J31" i="1"/>
  <c r="J30" i="1"/>
  <c r="J25" i="1"/>
  <c r="J24" i="1"/>
  <c r="J23" i="1"/>
  <c r="J21" i="1"/>
  <c r="J20" i="1"/>
  <c r="J19" i="1"/>
  <c r="J17" i="1"/>
  <c r="J16" i="1"/>
  <c r="B29" i="9"/>
  <c r="E29" i="9" s="1"/>
  <c r="K29" i="9" s="1"/>
  <c r="B29" i="2"/>
  <c r="E29" i="2" s="1"/>
  <c r="I29" i="2" s="1"/>
  <c r="G29" i="2" s="1"/>
  <c r="J37" i="1" l="1"/>
  <c r="G29" i="9"/>
  <c r="I29" i="9" s="1"/>
  <c r="G37" i="1"/>
  <c r="H37" i="1" s="1"/>
  <c r="M37" i="1" s="1"/>
  <c r="D28" i="9"/>
  <c r="L37" i="1"/>
  <c r="K37" i="1" l="1"/>
  <c r="B28" i="9"/>
  <c r="E28" i="9" s="1"/>
  <c r="K28" i="9" s="1"/>
  <c r="G28" i="9" s="1"/>
  <c r="I28" i="9" s="1"/>
  <c r="B28" i="2"/>
  <c r="E28" i="2" s="1"/>
  <c r="I28" i="2" s="1"/>
  <c r="G28" i="2" s="1"/>
  <c r="N26" i="1"/>
  <c r="F33" i="1"/>
  <c r="B27" i="9" l="1"/>
  <c r="E27" i="9" s="1"/>
  <c r="K27" i="9" s="1"/>
  <c r="G27" i="9" s="1"/>
  <c r="I27" i="9" s="1"/>
  <c r="B27" i="2"/>
  <c r="E27" i="2" s="1"/>
  <c r="I27" i="2" s="1"/>
  <c r="G27" i="2" s="1"/>
  <c r="B26" i="9" l="1"/>
  <c r="E26" i="9" s="1"/>
  <c r="K26" i="9" s="1"/>
  <c r="G26" i="9" s="1"/>
  <c r="I26" i="9" s="1"/>
  <c r="B26" i="2"/>
  <c r="E26" i="2" l="1"/>
  <c r="I26" i="2" s="1"/>
  <c r="G26" i="2" s="1"/>
  <c r="L6" i="1"/>
  <c r="G33" i="1"/>
  <c r="G44" i="1" s="1"/>
  <c r="L33" i="1"/>
  <c r="L44" i="1" s="1"/>
  <c r="E33" i="4" l="1"/>
  <c r="J33" i="1"/>
  <c r="J44" i="1" s="1"/>
  <c r="L6" i="9" l="1"/>
  <c r="J6" i="9"/>
  <c r="H23" i="9"/>
  <c r="D6" i="9"/>
  <c r="C23" i="9"/>
  <c r="B22" i="9"/>
  <c r="E22" i="9" s="1"/>
  <c r="K22" i="9" s="1"/>
  <c r="J6" i="2"/>
  <c r="B22" i="2"/>
  <c r="E22" i="2" s="1"/>
  <c r="I22" i="2" s="1"/>
  <c r="G22" i="2" s="1"/>
  <c r="C23" i="2"/>
  <c r="C6" i="2" s="1"/>
  <c r="G22" i="9" l="1"/>
  <c r="I22" i="9" s="1"/>
  <c r="B50" i="6" l="1"/>
  <c r="B50" i="5"/>
  <c r="B49" i="4"/>
  <c r="B50" i="3"/>
  <c r="B38" i="9"/>
  <c r="B38" i="2"/>
  <c r="B47" i="1"/>
  <c r="F14" i="1" l="1"/>
  <c r="G33" i="4" l="1"/>
  <c r="F33" i="4"/>
  <c r="D33" i="4"/>
  <c r="C33" i="4"/>
  <c r="B33" i="4"/>
  <c r="E26" i="1"/>
  <c r="F27" i="1"/>
  <c r="E33" i="1"/>
  <c r="B21" i="2"/>
  <c r="E21" i="2" s="1"/>
  <c r="I21" i="2" s="1"/>
  <c r="G21" i="2" s="1"/>
  <c r="B21" i="9"/>
  <c r="E21" i="9" s="1"/>
  <c r="K21" i="9" s="1"/>
  <c r="H33" i="1" l="1"/>
  <c r="M33" i="1" s="1"/>
  <c r="F6" i="1"/>
  <c r="H27" i="1"/>
  <c r="N6" i="1"/>
  <c r="E7" i="1" s="1"/>
  <c r="H7" i="1" s="1"/>
  <c r="G21" i="9"/>
  <c r="K33" i="1" l="1"/>
  <c r="I21" i="9"/>
  <c r="B20" i="9" l="1"/>
  <c r="E20" i="9" s="1"/>
  <c r="K20" i="9" s="1"/>
  <c r="G20" i="9" s="1"/>
  <c r="I20" i="9" s="1"/>
  <c r="B20" i="2"/>
  <c r="E20" i="2" s="1"/>
  <c r="I20" i="2" s="1"/>
  <c r="G20" i="2" s="1"/>
  <c r="D45" i="3" l="1"/>
  <c r="H6" i="2" l="1"/>
  <c r="D13" i="2"/>
  <c r="D12" i="2"/>
  <c r="D6" i="2" l="1"/>
  <c r="D12" i="9"/>
  <c r="D11" i="9"/>
  <c r="J12" i="9" l="1"/>
  <c r="G26" i="1" l="1"/>
  <c r="G15" i="1"/>
  <c r="G13" i="1"/>
  <c r="G12" i="1"/>
  <c r="L26" i="1"/>
  <c r="H26" i="1" l="1"/>
  <c r="M26" i="1" s="1"/>
  <c r="J26" i="1"/>
  <c r="B19" i="9"/>
  <c r="E19" i="9" s="1"/>
  <c r="K19" i="9" s="1"/>
  <c r="G19" i="9" s="1"/>
  <c r="I19" i="9" s="1"/>
  <c r="B19" i="2"/>
  <c r="E19" i="2" s="1"/>
  <c r="I19" i="2" s="1"/>
  <c r="G19" i="2" s="1"/>
  <c r="K26" i="1" l="1"/>
  <c r="E22" i="1"/>
  <c r="B18" i="2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N45" i="3" s="1"/>
  <c r="L45" i="3" s="1"/>
  <c r="B32" i="3"/>
  <c r="E32" i="3" s="1"/>
  <c r="I32" i="3" s="1"/>
  <c r="B20" i="3"/>
  <c r="E20" i="3" s="1"/>
  <c r="G20" i="3" s="1"/>
  <c r="B7" i="3"/>
  <c r="E7" i="3" s="1"/>
  <c r="B7" i="9"/>
  <c r="E7" i="9" s="1"/>
  <c r="L7" i="9" s="1"/>
  <c r="B7" i="2"/>
  <c r="E7" i="2" s="1"/>
  <c r="J7" i="2" s="1"/>
  <c r="B8" i="2" s="1"/>
  <c r="E8" i="2" s="1"/>
  <c r="J8" i="2" s="1"/>
  <c r="D7" i="1"/>
  <c r="B16" i="9"/>
  <c r="B16" i="2"/>
  <c r="E16" i="2" s="1"/>
  <c r="I16" i="2" s="1"/>
  <c r="L22" i="1"/>
  <c r="J22" i="1"/>
  <c r="G22" i="1"/>
  <c r="H22" i="1" s="1"/>
  <c r="B8" i="3" l="1"/>
  <c r="E8" i="3" s="1"/>
  <c r="K8" i="3" s="1"/>
  <c r="J7" i="3"/>
  <c r="E8" i="9"/>
  <c r="L8" i="9" s="1"/>
  <c r="E46" i="3"/>
  <c r="I20" i="3"/>
  <c r="B21" i="3" s="1"/>
  <c r="E21" i="3" s="1"/>
  <c r="J21" i="3" s="1"/>
  <c r="N7" i="1"/>
  <c r="E8" i="1" s="1"/>
  <c r="M22" i="1"/>
  <c r="K22" i="1" s="1"/>
  <c r="E16" i="9"/>
  <c r="K16" i="9" s="1"/>
  <c r="G16" i="9" s="1"/>
  <c r="I16" i="9" s="1"/>
  <c r="G16" i="2"/>
  <c r="B15" i="9"/>
  <c r="B15" i="2"/>
  <c r="E18" i="1"/>
  <c r="H8" i="1" l="1"/>
  <c r="N8" i="1" s="1"/>
  <c r="E15" i="9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L18" i="1"/>
  <c r="G18" i="1"/>
  <c r="H18" i="1" s="1"/>
  <c r="M18" i="1" s="1"/>
  <c r="J15" i="1"/>
  <c r="J13" i="1"/>
  <c r="J18" i="1" l="1"/>
  <c r="K18" i="1" s="1"/>
  <c r="B13" i="9"/>
  <c r="E13" i="9" s="1"/>
  <c r="K13" i="9" s="1"/>
  <c r="G13" i="9" s="1"/>
  <c r="I13" i="9" s="1"/>
  <c r="B13" i="2"/>
  <c r="E13" i="2" s="1"/>
  <c r="I13" i="2" s="1"/>
  <c r="G13" i="2" s="1"/>
  <c r="B12" i="9" l="1"/>
  <c r="B12" i="2"/>
  <c r="E12" i="9" l="1"/>
  <c r="K12" i="9" s="1"/>
  <c r="G12" i="9" s="1"/>
  <c r="I12" i="9" s="1"/>
  <c r="E12" i="2"/>
  <c r="I12" i="2" s="1"/>
  <c r="G12" i="2" s="1"/>
  <c r="J12" i="1" l="1"/>
  <c r="E11" i="9" l="1"/>
  <c r="K11" i="9" s="1"/>
  <c r="E23" i="9"/>
  <c r="E6" i="9" s="1"/>
  <c r="E11" i="2"/>
  <c r="I11" i="2" s="1"/>
  <c r="E23" i="2"/>
  <c r="E6" i="2" s="1"/>
  <c r="G11" i="9" l="1"/>
  <c r="G11" i="2"/>
  <c r="G23" i="2" s="1"/>
  <c r="G6" i="2" s="1"/>
  <c r="I23" i="2"/>
  <c r="I6" i="2" s="1"/>
  <c r="L14" i="1"/>
  <c r="G14" i="1"/>
  <c r="I11" i="9" l="1"/>
  <c r="I23" i="9" s="1"/>
  <c r="G23" i="9"/>
  <c r="G6" i="1"/>
  <c r="H14" i="1"/>
  <c r="M14" i="1" s="1"/>
  <c r="M27" i="1" s="1"/>
  <c r="J11" i="1"/>
  <c r="J14" i="1" s="1"/>
  <c r="J27" i="1" l="1"/>
  <c r="J6" i="1" s="1"/>
  <c r="K14" i="1"/>
  <c r="K27" i="1" s="1"/>
  <c r="D44" i="3" l="1"/>
  <c r="D6" i="1"/>
  <c r="K6" i="9" l="1"/>
  <c r="E6" i="3" l="1"/>
  <c r="J6" i="3" s="1"/>
  <c r="I6" i="3" s="1"/>
  <c r="E19" i="3"/>
  <c r="G19" i="3" s="1"/>
  <c r="I19" i="3" s="1"/>
  <c r="H44" i="3"/>
  <c r="L44" i="3" s="1"/>
  <c r="E31" i="3" l="1"/>
  <c r="I31" i="3" s="1"/>
  <c r="G31" i="3" s="1"/>
  <c r="H6" i="1" l="1"/>
  <c r="M6" i="1" l="1"/>
  <c r="K6" i="1" s="1"/>
  <c r="B33" i="3" l="1"/>
  <c r="E33" i="3" s="1"/>
  <c r="J33" i="3" s="1"/>
  <c r="E34" i="9" l="1"/>
  <c r="K34" i="9" s="1"/>
  <c r="G34" i="9" s="1"/>
  <c r="I34" i="9" s="1"/>
  <c r="I7" i="3" l="1"/>
</calcChain>
</file>

<file path=xl/sharedStrings.xml><?xml version="1.0" encoding="utf-8"?>
<sst xmlns="http://schemas.openxmlformats.org/spreadsheetml/2006/main" count="586" uniqueCount="184">
  <si>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</si>
  <si>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</si>
  <si>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</si>
  <si>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</si>
  <si>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</si>
  <si>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</si>
  <si>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</si>
  <si>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</si>
  <si>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</si>
  <si>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</si>
  <si>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</si>
  <si>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</si>
  <si>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</si>
  <si>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</si>
  <si>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</si>
  <si>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</si>
  <si>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</si>
  <si>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</si>
  <si>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</si>
  <si>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</si>
  <si>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</si>
  <si>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</si>
  <si>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</si>
  <si>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</si>
  <si>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</si>
  <si>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</si>
  <si>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</si>
  <si>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</si>
  <si>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</si>
  <si>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</si>
  <si>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</si>
  <si>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</si>
  <si>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</si>
  <si>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</si>
  <si>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</si>
  <si>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</si>
  <si>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</si>
  <si>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</si>
  <si>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</si>
  <si>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</si>
  <si>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</si>
  <si>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</si>
  <si>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</si>
  <si>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</si>
  <si>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</si>
  <si>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</si>
  <si>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</si>
  <si>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</si>
  <si>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</si>
  <si>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</si>
  <si>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</si>
  <si>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</si>
  <si>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</si>
  <si>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</si>
  <si>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</si>
  <si>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</si>
  <si>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</si>
  <si>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</si>
  <si>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</si>
  <si>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</si>
  <si>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</si>
  <si>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</si>
  <si>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</si>
  <si>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</si>
  <si>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</si>
  <si>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</si>
  <si>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</si>
  <si>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</si>
  <si>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</si>
  <si>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</si>
  <si>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</si>
  <si>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</si>
  <si>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</si>
  <si>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</si>
  <si>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</si>
  <si>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</si>
  <si>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</si>
  <si>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</si>
  <si>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</si>
  <si>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</si>
  <si>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</si>
  <si>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</si>
  <si>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</si>
  <si>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</si>
  <si>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</si>
  <si>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</si>
  <si>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</si>
  <si>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</si>
  <si>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</si>
  <si>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</si>
  <si>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</si>
  <si>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</si>
  <si>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</si>
  <si>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</si>
  <si>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</si>
  <si>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</si>
  <si>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</si>
  <si>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</si>
  <si>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</si>
  <si>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</si>
  <si>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</si>
  <si>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</si>
  <si>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</si>
  <si>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</si>
  <si>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</si>
  <si>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</si>
  <si>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</si>
  <si>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</si>
  <si>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</si>
  <si>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</si>
  <si>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</si>
  <si>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</si>
  <si>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</si>
  <si>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</si>
  <si>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</si>
  <si>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</si>
  <si>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</si>
  <si>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</si>
  <si>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</si>
  <si>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</si>
  <si>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</si>
  <si>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</si>
  <si>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</si>
  <si>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</si>
  <si>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</si>
  <si>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</si>
  <si>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</si>
  <si>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</si>
  <si>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</si>
  <si>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</si>
  <si>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</si>
  <si>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</si>
  <si>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</si>
  <si>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</si>
  <si>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</si>
  <si>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</si>
  <si>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</si>
  <si>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</si>
  <si>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</si>
  <si>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</si>
  <si>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</si>
  <si>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</si>
  <si>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</si>
  <si>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</si>
  <si>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</si>
  <si>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</si>
  <si>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</si>
  <si>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</si>
  <si>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</si>
  <si>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</si>
  <si>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</si>
  <si>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</si>
  <si>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</si>
  <si>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</si>
  <si>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</si>
  <si>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</si>
  <si>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</si>
  <si>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2023/24*</t>
  </si>
  <si>
    <t>Date</t>
  </si>
  <si>
    <t>Contact: Maria Bukowski; Bryn Swearingen</t>
  </si>
  <si>
    <t>2001/02</t>
  </si>
  <si>
    <t>2002/03</t>
  </si>
  <si>
    <t>2003/04</t>
  </si>
  <si>
    <t>2004/05</t>
  </si>
  <si>
    <t>2005/04</t>
  </si>
  <si>
    <t>2006/05</t>
  </si>
  <si>
    <t>2007/08</t>
  </si>
  <si>
    <t>2008/09</t>
  </si>
  <si>
    <t>2009/10</t>
  </si>
  <si>
    <t>2023/24 Sep*</t>
  </si>
  <si>
    <t>Biofuel¹</t>
  </si>
  <si>
    <t>China</t>
  </si>
  <si>
    <t>Known</t>
  </si>
  <si>
    <t>Unknown</t>
  </si>
  <si>
    <t>2023/24</t>
  </si>
  <si>
    <t>Final Exports</t>
  </si>
  <si>
    <t>Percent of final</t>
  </si>
  <si>
    <t>Food, feed, and other industrial²</t>
  </si>
  <si>
    <t>Soybean Oil Domestic Disappearance, million pounds</t>
  </si>
  <si>
    <t>2023/24 Aug*</t>
  </si>
  <si>
    <t>Marketing year (September-August)</t>
  </si>
  <si>
    <t>Marketing Year (September-August)</t>
  </si>
  <si>
    <t>Soybean yield, bushels per acre</t>
  </si>
  <si>
    <t>U.S. new-crop soybean outstanding sales at the end of August, million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</si>
</sst>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"/>
    <numFmt numFmtId="176" formatCode="0.000"/>
    <numFmt numFmtId="177" formatCode="[$-409]mmm\-yy;@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9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46" fillId="0" borderId="0"/>
    <xf numFmtId="0" fontId="31" fillId="0" borderId="0"/>
    <xf numFmtId="0" fontId="30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4" fontId="32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3" fillId="0" borderId="0" xfId="8"/>
    <xf numFmtId="0" fontId="34" fillId="0" borderId="0" xfId="8" applyFont="1"/>
    <xf numFmtId="0" fontId="39" fillId="0" borderId="0" xfId="8" applyFont="1"/>
    <xf numFmtId="0" fontId="40" fillId="0" borderId="0" xfId="8" applyFont="1"/>
    <xf numFmtId="169" fontId="41" fillId="0" borderId="0" xfId="1" applyNumberFormat="1" applyFont="1" applyFill="1" applyBorder="1" applyAlignment="1">
      <alignment horizontal="center"/>
    </xf>
    <xf numFmtId="169" fontId="41" fillId="0" borderId="0" xfId="1" applyNumberFormat="1" applyFont="1" applyFill="1" applyBorder="1" applyAlignment="1">
      <alignment horizontal="right" indent="1"/>
    </xf>
    <xf numFmtId="0" fontId="47" fillId="0" borderId="0" xfId="7" applyFont="1" applyAlignment="1">
      <alignment horizontal="left"/>
    </xf>
    <xf numFmtId="0" fontId="48" fillId="0" borderId="0" xfId="5" applyFont="1" applyAlignment="1" applyProtection="1"/>
    <xf numFmtId="14" fontId="47" fillId="0" borderId="0" xfId="7" applyNumberFormat="1" applyFont="1" applyAlignment="1">
      <alignment horizontal="left"/>
    </xf>
    <xf numFmtId="0" fontId="48" fillId="0" borderId="0" xfId="4" applyFont="1" applyAlignment="1" applyProtection="1"/>
    <xf numFmtId="0" fontId="41" fillId="0" borderId="0" xfId="7" quotePrefix="1" applyFont="1" applyAlignment="1">
      <alignment horizontal="left"/>
    </xf>
    <xf numFmtId="0" fontId="41" fillId="0" borderId="0" xfId="8" applyFont="1" applyAlignment="1">
      <alignment wrapText="1"/>
    </xf>
    <xf numFmtId="169" fontId="41" fillId="0" borderId="0" xfId="1" applyNumberFormat="1" applyFont="1" applyFill="1" applyBorder="1" applyAlignment="1">
      <alignment horizontal="right"/>
    </xf>
    <xf numFmtId="0" fontId="41" fillId="0" borderId="1" xfId="0" applyFont="1" applyBorder="1"/>
    <xf numFmtId="0" fontId="41" fillId="0" borderId="0" xfId="0" applyFont="1"/>
    <xf numFmtId="0" fontId="41" fillId="0" borderId="2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0" fillId="0" borderId="2" xfId="0" applyBorder="1"/>
    <xf numFmtId="0" fontId="41" fillId="0" borderId="2" xfId="0" applyFont="1" applyBorder="1" applyAlignment="1">
      <alignment horizontal="left"/>
    </xf>
    <xf numFmtId="0" fontId="41" fillId="0" borderId="0" xfId="0" applyFont="1" applyAlignment="1">
      <alignment horizontal="right"/>
    </xf>
    <xf numFmtId="16" fontId="41" fillId="0" borderId="1" xfId="0" quotePrefix="1" applyNumberFormat="1" applyFont="1" applyBorder="1"/>
    <xf numFmtId="16" fontId="41" fillId="0" borderId="1" xfId="0" applyNumberFormat="1" applyFont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41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2" fillId="0" borderId="3" xfId="0" quotePrefix="1" applyFont="1" applyBorder="1" applyAlignment="1">
      <alignment horizontal="center"/>
    </xf>
    <xf numFmtId="0" fontId="42" fillId="0" borderId="0" xfId="0" quotePrefix="1" applyFont="1" applyAlignment="1">
      <alignment horizontal="right"/>
    </xf>
    <xf numFmtId="167" fontId="41" fillId="0" borderId="0" xfId="0" applyNumberFormat="1" applyFont="1" applyAlignment="1">
      <alignment horizontal="center"/>
    </xf>
    <xf numFmtId="165" fontId="41" fillId="0" borderId="0" xfId="1" applyNumberFormat="1" applyFont="1" applyFill="1" applyAlignment="1">
      <alignment horizontal="left"/>
    </xf>
    <xf numFmtId="165" fontId="41" fillId="0" borderId="0" xfId="1" applyNumberFormat="1" applyFont="1" applyFill="1" applyAlignment="1">
      <alignment horizontal="center"/>
    </xf>
    <xf numFmtId="3" fontId="41" fillId="0" borderId="0" xfId="1" applyNumberFormat="1" applyFont="1" applyFill="1" applyBorder="1" applyAlignment="1">
      <alignment horizontal="right" indent="1"/>
    </xf>
    <xf numFmtId="164" fontId="41" fillId="0" borderId="0" xfId="1" applyNumberFormat="1" applyFont="1" applyFill="1" applyBorder="1"/>
    <xf numFmtId="164" fontId="41" fillId="0" borderId="0" xfId="1" applyNumberFormat="1" applyFont="1" applyFill="1" applyBorder="1" applyAlignment="1">
      <alignment horizontal="right"/>
    </xf>
    <xf numFmtId="0" fontId="47" fillId="0" borderId="0" xfId="0" applyFont="1"/>
    <xf numFmtId="169" fontId="41" fillId="0" borderId="0" xfId="1" quotePrefix="1" applyNumberFormat="1" applyFont="1" applyFill="1" applyBorder="1" applyAlignment="1">
      <alignment horizontal="right"/>
    </xf>
    <xf numFmtId="164" fontId="41" fillId="0" borderId="0" xfId="1" applyNumberFormat="1" applyFont="1" applyFill="1" applyBorder="1" applyAlignment="1">
      <alignment horizontal="center"/>
    </xf>
    <xf numFmtId="164" fontId="41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1" fillId="0" borderId="0" xfId="1" applyNumberFormat="1" applyFont="1" applyFill="1"/>
    <xf numFmtId="14" fontId="41" fillId="0" borderId="0" xfId="0" applyNumberFormat="1" applyFont="1" applyAlignment="1">
      <alignment horizontal="left"/>
    </xf>
    <xf numFmtId="3" fontId="41" fillId="0" borderId="0" xfId="1" applyNumberFormat="1" applyFont="1" applyFill="1" applyAlignment="1">
      <alignment horizontal="right" indent="2"/>
    </xf>
    <xf numFmtId="3" fontId="41" fillId="0" borderId="0" xfId="1" applyNumberFormat="1" applyFont="1" applyFill="1" applyAlignment="1">
      <alignment horizontal="right" indent="1"/>
    </xf>
    <xf numFmtId="3" fontId="41" fillId="0" borderId="0" xfId="1" applyNumberFormat="1" applyFont="1" applyFill="1" applyAlignment="1">
      <alignment horizontal="center"/>
    </xf>
    <xf numFmtId="169" fontId="41" fillId="0" borderId="0" xfId="1" applyNumberFormat="1" applyFont="1" applyFill="1" applyBorder="1" applyAlignment="1">
      <alignment horizontal="right" indent="2"/>
    </xf>
    <xf numFmtId="0" fontId="43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1" fillId="0" borderId="1" xfId="1" applyNumberFormat="1" applyFont="1" applyFill="1" applyBorder="1" applyAlignment="1">
      <alignment horizontal="right"/>
    </xf>
    <xf numFmtId="16" fontId="41" fillId="0" borderId="0" xfId="0" applyNumberFormat="1" applyFont="1"/>
    <xf numFmtId="0" fontId="42" fillId="0" borderId="0" xfId="0" applyFont="1" applyAlignment="1">
      <alignment horizontal="center"/>
    </xf>
    <xf numFmtId="2" fontId="41" fillId="0" borderId="0" xfId="0" applyNumberFormat="1" applyFont="1" applyAlignment="1">
      <alignment horizontal="right" indent="2"/>
    </xf>
    <xf numFmtId="170" fontId="41" fillId="0" borderId="0" xfId="0" applyNumberFormat="1" applyFont="1"/>
    <xf numFmtId="43" fontId="41" fillId="0" borderId="0" xfId="1" quotePrefix="1" applyFont="1" applyFill="1" applyBorder="1" applyAlignment="1">
      <alignment horizontal="center"/>
    </xf>
    <xf numFmtId="166" fontId="41" fillId="0" borderId="0" xfId="1" quotePrefix="1" applyNumberFormat="1" applyFont="1" applyFill="1" applyBorder="1" applyAlignment="1">
      <alignment horizontal="center"/>
    </xf>
    <xf numFmtId="43" fontId="41" fillId="0" borderId="0" xfId="1" applyFont="1" applyFill="1" applyBorder="1" applyAlignment="1">
      <alignment horizontal="center"/>
    </xf>
    <xf numFmtId="0" fontId="47" fillId="0" borderId="0" xfId="0" quotePrefix="1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3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42" fillId="0" borderId="3" xfId="0" quotePrefix="1" applyFont="1" applyBorder="1"/>
    <xf numFmtId="0" fontId="42" fillId="0" borderId="3" xfId="0" applyFont="1" applyBorder="1"/>
    <xf numFmtId="43" fontId="41" fillId="0" borderId="0" xfId="1" applyFont="1" applyFill="1" applyBorder="1"/>
    <xf numFmtId="2" fontId="41" fillId="0" borderId="0" xfId="0" applyNumberFormat="1" applyFont="1" applyAlignment="1">
      <alignment horizontal="center"/>
    </xf>
    <xf numFmtId="43" fontId="41" fillId="0" borderId="0" xfId="0" applyNumberFormat="1" applyFont="1"/>
    <xf numFmtId="0" fontId="36" fillId="0" borderId="0" xfId="0" applyFont="1"/>
    <xf numFmtId="2" fontId="0" fillId="0" borderId="0" xfId="0" applyNumberFormat="1"/>
    <xf numFmtId="165" fontId="41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5" fillId="0" borderId="0" xfId="0" applyFont="1" applyAlignment="1">
      <alignment vertical="center"/>
    </xf>
    <xf numFmtId="168" fontId="41" fillId="0" borderId="0" xfId="0" applyNumberFormat="1" applyFont="1"/>
    <xf numFmtId="2" fontId="41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1" fillId="0" borderId="3" xfId="0" applyFont="1" applyBorder="1"/>
    <xf numFmtId="165" fontId="41" fillId="0" borderId="0" xfId="1" applyNumberFormat="1" applyFont="1" applyFill="1"/>
    <xf numFmtId="37" fontId="41" fillId="0" borderId="0" xfId="1" applyNumberFormat="1" applyFont="1" applyFill="1" applyBorder="1" applyAlignment="1">
      <alignment horizontal="center"/>
    </xf>
    <xf numFmtId="37" fontId="41" fillId="0" borderId="0" xfId="1" applyNumberFormat="1" applyFont="1" applyFill="1" applyBorder="1" applyAlignment="1">
      <alignment horizontal="right" indent="2"/>
    </xf>
    <xf numFmtId="165" fontId="41" fillId="0" borderId="0" xfId="1" applyNumberFormat="1" applyFont="1" applyFill="1" applyBorder="1"/>
    <xf numFmtId="37" fontId="41" fillId="0" borderId="0" xfId="1" applyNumberFormat="1" applyFont="1" applyFill="1" applyBorder="1" applyAlignment="1">
      <alignment horizontal="right" indent="1"/>
    </xf>
    <xf numFmtId="9" fontId="41" fillId="0" borderId="0" xfId="12" applyFont="1" applyFill="1"/>
    <xf numFmtId="1" fontId="41" fillId="0" borderId="0" xfId="0" applyNumberFormat="1" applyFont="1" applyAlignment="1">
      <alignment horizontal="center"/>
    </xf>
    <xf numFmtId="0" fontId="42" fillId="0" borderId="4" xfId="0" applyFont="1" applyBorder="1" applyAlignment="1">
      <alignment horizontal="center"/>
    </xf>
    <xf numFmtId="14" fontId="41" fillId="0" borderId="0" xfId="0" applyNumberFormat="1" applyFont="1" applyAlignment="1">
      <alignment horizontal="right" inden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169" fontId="41" fillId="0" borderId="0" xfId="1" applyNumberFormat="1" applyFont="1" applyFill="1" applyAlignment="1">
      <alignment horizontal="center"/>
    </xf>
    <xf numFmtId="0" fontId="43" fillId="0" borderId="3" xfId="0" applyFont="1" applyBorder="1"/>
    <xf numFmtId="164" fontId="41" fillId="0" borderId="3" xfId="0" applyNumberFormat="1" applyFont="1" applyBorder="1"/>
    <xf numFmtId="171" fontId="0" fillId="0" borderId="0" xfId="1" applyNumberFormat="1" applyFont="1" applyFill="1" applyBorder="1"/>
    <xf numFmtId="0" fontId="32" fillId="0" borderId="0" xfId="8" applyFont="1"/>
    <xf numFmtId="0" fontId="32" fillId="0" borderId="0" xfId="0" applyFont="1"/>
    <xf numFmtId="4" fontId="50" fillId="0" borderId="0" xfId="0" applyNumberFormat="1" applyFont="1"/>
    <xf numFmtId="0" fontId="32" fillId="0" borderId="0" xfId="0" applyFont="1" applyAlignment="1">
      <alignment horizontal="right"/>
    </xf>
    <xf numFmtId="2" fontId="32" fillId="0" borderId="0" xfId="0" applyNumberFormat="1" applyFont="1" applyAlignment="1">
      <alignment horizontal="right"/>
    </xf>
    <xf numFmtId="172" fontId="36" fillId="0" borderId="0" xfId="12" applyNumberFormat="1" applyFont="1" applyFill="1"/>
    <xf numFmtId="4" fontId="0" fillId="0" borderId="0" xfId="0" applyNumberFormat="1"/>
    <xf numFmtId="169" fontId="41" fillId="0" borderId="0" xfId="1" applyNumberFormat="1" applyFont="1" applyBorder="1" applyAlignment="1">
      <alignment horizontal="right" indent="1"/>
    </xf>
    <xf numFmtId="0" fontId="32" fillId="0" borderId="0" xfId="20"/>
    <xf numFmtId="37" fontId="0" fillId="0" borderId="0" xfId="0" applyNumberFormat="1"/>
    <xf numFmtId="173" fontId="50" fillId="0" borderId="0" xfId="0" applyNumberFormat="1" applyFont="1"/>
    <xf numFmtId="174" fontId="41" fillId="0" borderId="0" xfId="1" applyNumberFormat="1" applyFont="1" applyFill="1" applyBorder="1" applyAlignment="1">
      <alignment horizontal="right" indent="2"/>
    </xf>
    <xf numFmtId="0" fontId="51" fillId="0" borderId="0" xfId="44" applyFont="1" applyAlignment="1">
      <alignment horizontal="center"/>
    </xf>
    <xf numFmtId="164" fontId="41" fillId="2" borderId="0" xfId="1" applyNumberFormat="1" applyFont="1" applyFill="1" applyBorder="1" applyAlignment="1">
      <alignment horizontal="center"/>
    </xf>
    <xf numFmtId="0" fontId="52" fillId="0" borderId="1" xfId="46" applyFont="1" applyBorder="1" applyAlignment="1">
      <alignment horizontal="center" wrapText="1"/>
    </xf>
    <xf numFmtId="0" fontId="51" fillId="0" borderId="0" xfId="46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20" applyFont="1"/>
    <xf numFmtId="39" fontId="53" fillId="0" borderId="0" xfId="1" applyNumberFormat="1" applyFont="1" applyFill="1" applyAlignment="1">
      <alignment horizontal="right"/>
    </xf>
    <xf numFmtId="169" fontId="49" fillId="0" borderId="0" xfId="1" applyNumberFormat="1" applyFont="1" applyFill="1" applyBorder="1" applyAlignment="1">
      <alignment horizontal="right"/>
    </xf>
    <xf numFmtId="170" fontId="0" fillId="0" borderId="0" xfId="0" applyNumberFormat="1"/>
    <xf numFmtId="175" fontId="50" fillId="0" borderId="0" xfId="0" applyNumberFormat="1" applyFont="1"/>
    <xf numFmtId="37" fontId="41" fillId="0" borderId="0" xfId="0" applyNumberFormat="1" applyFont="1" applyAlignment="1">
      <alignment vertical="center" wrapText="1"/>
    </xf>
    <xf numFmtId="3" fontId="49" fillId="0" borderId="0" xfId="1" applyNumberFormat="1" applyFont="1" applyFill="1" applyBorder="1" applyAlignment="1">
      <alignment horizontal="right" indent="1"/>
    </xf>
    <xf numFmtId="37" fontId="41" fillId="0" borderId="0" xfId="0" applyNumberFormat="1" applyFont="1"/>
    <xf numFmtId="1" fontId="32" fillId="0" borderId="0" xfId="20" applyNumberFormat="1" applyAlignment="1">
      <alignment wrapText="1"/>
    </xf>
    <xf numFmtId="1" fontId="32" fillId="0" borderId="0" xfId="20" applyNumberFormat="1"/>
    <xf numFmtId="172" fontId="0" fillId="0" borderId="0" xfId="12" applyNumberFormat="1" applyFont="1"/>
    <xf numFmtId="1" fontId="0" fillId="0" borderId="0" xfId="20" applyNumberFormat="1" applyFont="1"/>
    <xf numFmtId="177" fontId="32" fillId="0" borderId="0" xfId="20" applyNumberFormat="1"/>
    <xf numFmtId="0" fontId="32" fillId="0" borderId="1" xfId="20" applyBorder="1" applyAlignment="1">
      <alignment wrapText="1"/>
    </xf>
    <xf numFmtId="0" fontId="52" fillId="0" borderId="1" xfId="67" applyFont="1" applyBorder="1" applyAlignment="1">
      <alignment horizontal="center" wrapText="1"/>
    </xf>
    <xf numFmtId="0" fontId="39" fillId="0" borderId="1" xfId="20" applyFont="1" applyBorder="1" applyAlignment="1">
      <alignment horizontal="centerContinuous"/>
    </xf>
    <xf numFmtId="176" fontId="32" fillId="0" borderId="0" xfId="0" applyNumberFormat="1" applyFont="1"/>
    <xf numFmtId="0" fontId="41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43" fontId="41" fillId="0" borderId="1" xfId="1" applyFont="1" applyFill="1" applyBorder="1" applyAlignment="1">
      <alignment horizontal="center"/>
    </xf>
    <xf numFmtId="2" fontId="41" fillId="0" borderId="1" xfId="0" applyNumberFormat="1" applyFont="1" applyBorder="1" applyAlignment="1">
      <alignment horizontal="right" indent="2"/>
    </xf>
    <xf numFmtId="169" fontId="41" fillId="0" borderId="1" xfId="1" applyNumberFormat="1" applyFont="1" applyFill="1" applyBorder="1" applyAlignment="1">
      <alignment horizontal="right" indent="2"/>
    </xf>
    <xf numFmtId="169" fontId="41" fillId="0" borderId="1" xfId="1" applyNumberFormat="1" applyFont="1" applyFill="1" applyBorder="1" applyAlignment="1">
      <alignment horizontal="right" indent="1"/>
    </xf>
    <xf numFmtId="169" fontId="41" fillId="0" borderId="1" xfId="1" applyNumberFormat="1" applyFont="1" applyFill="1" applyBorder="1" applyAlignment="1">
      <alignment horizontal="center"/>
    </xf>
    <xf numFmtId="2" fontId="49" fillId="0" borderId="0" xfId="0" applyNumberFormat="1" applyFont="1" applyAlignment="1">
      <alignment horizontal="right" indent="2"/>
    </xf>
    <xf numFmtId="169" fontId="41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7" fontId="49" fillId="0" borderId="0" xfId="0" applyNumberFormat="1" applyFont="1"/>
    <xf numFmtId="39" fontId="53" fillId="0" borderId="0" xfId="1" applyNumberFormat="1" applyFont="1" applyAlignment="1">
      <alignment horizontal="right"/>
    </xf>
    <xf numFmtId="167" fontId="0" fillId="0" borderId="0" xfId="0" applyNumberFormat="1"/>
    <xf numFmtId="167" fontId="0" fillId="0" borderId="0" xfId="12" applyNumberFormat="1" applyFont="1"/>
    <xf numFmtId="167" fontId="53" fillId="0" borderId="0" xfId="1" applyNumberFormat="1" applyFont="1" applyAlignment="1">
      <alignment horizontal="right"/>
    </xf>
    <xf numFmtId="167" fontId="53" fillId="0" borderId="0" xfId="1" applyNumberFormat="1" applyFont="1"/>
    <xf numFmtId="0" fontId="55" fillId="0" borderId="0" xfId="20" applyFont="1"/>
    <xf numFmtId="9" fontId="0" fillId="0" borderId="0" xfId="12" applyFont="1"/>
    <xf numFmtId="0" fontId="39" fillId="0" borderId="0" xfId="0" applyFont="1"/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/>
    <xf numFmtId="165" fontId="0" fillId="0" borderId="0" xfId="0" applyNumberFormat="1"/>
    <xf numFmtId="37" fontId="41" fillId="0" borderId="1" xfId="1" applyNumberFormat="1" applyFont="1" applyFill="1" applyBorder="1" applyAlignment="1">
      <alignment horizontal="center"/>
    </xf>
    <xf numFmtId="37" fontId="41" fillId="0" borderId="1" xfId="1" applyNumberFormat="1" applyFont="1" applyFill="1" applyBorder="1" applyAlignment="1">
      <alignment horizontal="right" indent="2"/>
    </xf>
    <xf numFmtId="165" fontId="41" fillId="0" borderId="1" xfId="1" applyNumberFormat="1" applyFont="1" applyFill="1" applyBorder="1"/>
    <xf numFmtId="37" fontId="41" fillId="0" borderId="1" xfId="1" applyNumberFormat="1" applyFont="1" applyFill="1" applyBorder="1" applyAlignment="1">
      <alignment horizontal="right" indent="1"/>
    </xf>
    <xf numFmtId="1" fontId="41" fillId="0" borderId="1" xfId="0" applyNumberFormat="1" applyFont="1" applyBorder="1" applyAlignment="1">
      <alignment horizontal="center"/>
    </xf>
    <xf numFmtId="0" fontId="54" fillId="0" borderId="0" xfId="0" applyFont="1"/>
    <xf numFmtId="176" fontId="0" fillId="0" borderId="0" xfId="0" applyNumberFormat="1"/>
    <xf numFmtId="0" fontId="41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2" xfId="0" quotePrefix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5" xfId="0" quotePrefix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5" xfId="0" applyFont="1" applyBorder="1" applyAlignment="1">
      <alignment horizontal="center"/>
    </xf>
  </cellXfs>
  <cellStyles count="72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C0502F"/>
      <color rgb="FFFFFF00"/>
      <color rgb="FFFA6400"/>
      <color rgb="FFFFCF01"/>
      <color rgb="FF00B050"/>
      <color rgb="FF984807"/>
      <color rgb="FF95B3D7"/>
      <color rgb="FFC0504D"/>
      <color rgb="FFD996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U.S. soybean yield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8.0639591103743614E-3"/>
          <c:y val="2.689074136613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2294582310785E-2"/>
          <c:y val="0.2072916111219732"/>
          <c:w val="0.84867434333866165"/>
          <c:h val="0.4608049981336983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Soybean yield, bushels per acre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2005/04</c:v>
                </c:pt>
                <c:pt idx="5">
                  <c:v>2006/05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 Aug*</c:v>
                </c:pt>
                <c:pt idx="23">
                  <c:v>2023/24 Sep*</c:v>
                </c:pt>
              </c:strCache>
            </c:strRef>
          </c:cat>
          <c:val>
            <c:numRef>
              <c:f>'Figure 1'!$B$2:$B$25</c:f>
              <c:numCache>
                <c:formatCode>0.0</c:formatCode>
                <c:ptCount val="24"/>
                <c:pt idx="0">
                  <c:v>39.6</c:v>
                </c:pt>
                <c:pt idx="1">
                  <c:v>38</c:v>
                </c:pt>
                <c:pt idx="2">
                  <c:v>33.9</c:v>
                </c:pt>
                <c:pt idx="3">
                  <c:v>42.2</c:v>
                </c:pt>
                <c:pt idx="4">
                  <c:v>43.1</c:v>
                </c:pt>
                <c:pt idx="5">
                  <c:v>42.9</c:v>
                </c:pt>
                <c:pt idx="6">
                  <c:v>41.7</c:v>
                </c:pt>
                <c:pt idx="7">
                  <c:v>39.700000000000003</c:v>
                </c:pt>
                <c:pt idx="8">
                  <c:v>44</c:v>
                </c:pt>
                <c:pt idx="9">
                  <c:v>43.5</c:v>
                </c:pt>
                <c:pt idx="10">
                  <c:v>42</c:v>
                </c:pt>
                <c:pt idx="11">
                  <c:v>40</c:v>
                </c:pt>
                <c:pt idx="12">
                  <c:v>44</c:v>
                </c:pt>
                <c:pt idx="13">
                  <c:v>47.5</c:v>
                </c:pt>
                <c:pt idx="14">
                  <c:v>48</c:v>
                </c:pt>
                <c:pt idx="15">
                  <c:v>51.9</c:v>
                </c:pt>
                <c:pt idx="16">
                  <c:v>49.3</c:v>
                </c:pt>
                <c:pt idx="17">
                  <c:v>50.6</c:v>
                </c:pt>
                <c:pt idx="18">
                  <c:v>47.4</c:v>
                </c:pt>
                <c:pt idx="19">
                  <c:v>51</c:v>
                </c:pt>
                <c:pt idx="20">
                  <c:v>51.7</c:v>
                </c:pt>
                <c:pt idx="21">
                  <c:v>49.5</c:v>
                </c:pt>
                <c:pt idx="22">
                  <c:v>50.9</c:v>
                </c:pt>
                <c:pt idx="23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072-ADDF-E685A89870AB}"/>
            </c:ext>
          </c:extLst>
        </c:ser>
        <c:ser>
          <c:idx val="0"/>
          <c:order val="1"/>
          <c:tx>
            <c:strRef>
              <c:f>'Figure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13D-4072-ADDF-E685A89870AB}"/>
              </c:ext>
            </c:extLst>
          </c:dPt>
          <c:cat>
            <c:strRef>
              <c:f>'Figure 1'!$A$2:$A$25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2005/04</c:v>
                </c:pt>
                <c:pt idx="5">
                  <c:v>2006/05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 Aug*</c:v>
                </c:pt>
                <c:pt idx="23">
                  <c:v>2023/24 Sep*</c:v>
                </c:pt>
              </c:strCache>
            </c:strRef>
          </c:cat>
          <c:val>
            <c:numRef>
              <c:f>'Figure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3D-4072-ADDF-E685A898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 (September-August) 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0987458804491544"/>
              <c:y val="0.82035601926734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in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Bushels per acre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701685315651333E-2"/>
              <c:y val="8.4562722549071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new-crop outstanding sales at the end of August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788439532578686E-2"/>
          <c:y val="0.18475812224351726"/>
          <c:w val="0.81918660818863442"/>
          <c:h val="0.502499841675286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2'!$A$3:$A$8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2'!$B$3:$B$8</c:f>
              <c:numCache>
                <c:formatCode>0.0</c:formatCode>
                <c:ptCount val="6"/>
                <c:pt idx="0">
                  <c:v>51.110022941770005</c:v>
                </c:pt>
                <c:pt idx="1">
                  <c:v>31.75740483445</c:v>
                </c:pt>
                <c:pt idx="2">
                  <c:v>568.56878811868</c:v>
                </c:pt>
                <c:pt idx="3">
                  <c:v>346.20959734621999</c:v>
                </c:pt>
                <c:pt idx="4">
                  <c:v>467.79284352556004</c:v>
                </c:pt>
                <c:pt idx="5">
                  <c:v>234.15579561166999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A-453D-ADFC-1AD6CD126057}"/>
            </c:ext>
          </c:extLst>
        </c:ser>
        <c:ser>
          <c:idx val="1"/>
          <c:order val="1"/>
          <c:tx>
            <c:strRef>
              <c:f>'Figure 2'!$C$2</c:f>
              <c:strCache>
                <c:ptCount val="1"/>
                <c:pt idx="0">
                  <c:v>Known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2'!$A$3:$A$8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2'!$C$3:$C$8</c:f>
              <c:numCache>
                <c:formatCode>0.0</c:formatCode>
                <c:ptCount val="6"/>
                <c:pt idx="0">
                  <c:v>263.12729235392004</c:v>
                </c:pt>
                <c:pt idx="1">
                  <c:v>166.18243068395</c:v>
                </c:pt>
                <c:pt idx="2">
                  <c:v>187.27449602267001</c:v>
                </c:pt>
                <c:pt idx="3">
                  <c:v>162.84191303301</c:v>
                </c:pt>
                <c:pt idx="4">
                  <c:v>151.72558124074001</c:v>
                </c:pt>
                <c:pt idx="5">
                  <c:v>123.14106925221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A-453D-ADFC-1AD6CD126057}"/>
            </c:ext>
          </c:extLst>
        </c:ser>
        <c:ser>
          <c:idx val="2"/>
          <c:order val="2"/>
          <c:tx>
            <c:strRef>
              <c:f>'Figure 2'!$D$2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2'!$A$3:$A$8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2'!$D$3:$D$8</c:f>
              <c:numCache>
                <c:formatCode>0.0</c:formatCode>
                <c:ptCount val="6"/>
                <c:pt idx="0">
                  <c:v>278.0341420135</c:v>
                </c:pt>
                <c:pt idx="1">
                  <c:v>133.9730782165</c:v>
                </c:pt>
                <c:pt idx="2">
                  <c:v>322.94274530001996</c:v>
                </c:pt>
                <c:pt idx="3">
                  <c:v>262.98582907041998</c:v>
                </c:pt>
                <c:pt idx="4">
                  <c:v>276.71320563900002</c:v>
                </c:pt>
                <c:pt idx="5">
                  <c:v>228.43564506999999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A-453D-ADFC-1AD6CD12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'Figure 2'!$F$2</c:f>
              <c:strCache>
                <c:ptCount val="1"/>
                <c:pt idx="0">
                  <c:v>Percent of final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2'!$A$3:$A$8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2'!$F$3:$F$8</c:f>
              <c:numCache>
                <c:formatCode>0</c:formatCode>
                <c:ptCount val="6"/>
                <c:pt idx="0">
                  <c:v>33.777878632690786</c:v>
                </c:pt>
                <c:pt idx="1">
                  <c:v>19.72296895104509</c:v>
                </c:pt>
                <c:pt idx="2">
                  <c:v>47.612504289566594</c:v>
                </c:pt>
                <c:pt idx="3">
                  <c:v>35.873440693645875</c:v>
                </c:pt>
                <c:pt idx="4">
                  <c:v>45.036765347000006</c:v>
                </c:pt>
                <c:pt idx="5">
                  <c:v>32.722486588484919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DA-453D-ADFC-1AD6CD12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5296"/>
        <c:axId val="47128896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4909254974976892"/>
              <c:y val="0.82356169746000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8.1457564968074291E-3"/>
              <c:y val="0.11251329654174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4712889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0.89020629750271441"/>
              <c:y val="0.10982387255212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155296"/>
        <c:crosses val="max"/>
        <c:crossBetween val="between"/>
      </c:valAx>
      <c:catAx>
        <c:axId val="4715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2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Marketing year 2022/23 U.S. monthly soybean oil domestic disappearance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637313968403127E-2"/>
          <c:y val="0.23931915869201215"/>
          <c:w val="0.88867828894784506"/>
          <c:h val="0.4313191792993323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</c:f>
              <c:strCache>
                <c:ptCount val="1"/>
                <c:pt idx="0">
                  <c:v>Biofuel¹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3'!$A$3:$A$24</c:f>
              <c:numCache>
                <c:formatCode>[$-409]mmm\-yy;@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</c:numCache>
            </c:numRef>
          </c:cat>
          <c:val>
            <c:numRef>
              <c:f>'Figure 3'!$B$3:$B$24</c:f>
              <c:numCache>
                <c:formatCode>0</c:formatCode>
                <c:ptCount val="22"/>
                <c:pt idx="0">
                  <c:v>832.42700000000002</c:v>
                </c:pt>
                <c:pt idx="1">
                  <c:v>818.01271279999992</c:v>
                </c:pt>
                <c:pt idx="2">
                  <c:v>938.34100000000001</c:v>
                </c:pt>
                <c:pt idx="3">
                  <c:v>791.48900000000003</c:v>
                </c:pt>
                <c:pt idx="4">
                  <c:v>758.13099999999997</c:v>
                </c:pt>
                <c:pt idx="5">
                  <c:v>919.11900000000003</c:v>
                </c:pt>
                <c:pt idx="6">
                  <c:v>842.00099999999998</c:v>
                </c:pt>
                <c:pt idx="7">
                  <c:v>855.74599999999998</c:v>
                </c:pt>
                <c:pt idx="8">
                  <c:v>809.79899999999998</c:v>
                </c:pt>
                <c:pt idx="9">
                  <c:v>956.48800000000006</c:v>
                </c:pt>
                <c:pt idx="10">
                  <c:v>924.71799999999996</c:v>
                </c:pt>
                <c:pt idx="11">
                  <c:v>932.48199999999997</c:v>
                </c:pt>
                <c:pt idx="12">
                  <c:v>906.40899999999999</c:v>
                </c:pt>
                <c:pt idx="13">
                  <c:v>943.34199999999998</c:v>
                </c:pt>
                <c:pt idx="14">
                  <c:v>885.65899999999999</c:v>
                </c:pt>
                <c:pt idx="15">
                  <c:v>940.87400000000002</c:v>
                </c:pt>
                <c:pt idx="16">
                  <c:v>909.98699999999997</c:v>
                </c:pt>
                <c:pt idx="17">
                  <c:v>952.70299999999997</c:v>
                </c:pt>
                <c:pt idx="18">
                  <c:v>926.59799999999996</c:v>
                </c:pt>
                <c:pt idx="19">
                  <c:v>1140.8710000000001</c:v>
                </c:pt>
                <c:pt idx="20">
                  <c:v>1206.92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5-46CC-84C8-AA63411F7B61}"/>
            </c:ext>
          </c:extLst>
        </c:ser>
        <c:ser>
          <c:idx val="1"/>
          <c:order val="1"/>
          <c:tx>
            <c:strRef>
              <c:f>'Figure 3'!$C$2</c:f>
              <c:strCache>
                <c:ptCount val="1"/>
                <c:pt idx="0">
                  <c:v>Food, feed, and other industrial²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3'!$A$3:$A$24</c:f>
              <c:numCache>
                <c:formatCode>[$-409]mmm\-yy;@</c:formatCode>
                <c:ptCount val="2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</c:numCache>
            </c:numRef>
          </c:cat>
          <c:val>
            <c:numRef>
              <c:f>'Figure 3'!$C$3:$C$23</c:f>
              <c:numCache>
                <c:formatCode>0</c:formatCode>
                <c:ptCount val="21"/>
                <c:pt idx="0">
                  <c:v>1238.8665449425162</c:v>
                </c:pt>
                <c:pt idx="1">
                  <c:v>1202.5791951889105</c:v>
                </c:pt>
                <c:pt idx="2">
                  <c:v>1192.3257741901489</c:v>
                </c:pt>
                <c:pt idx="3">
                  <c:v>1183.8386333882768</c:v>
                </c:pt>
                <c:pt idx="4">
                  <c:v>1026.5064109403215</c:v>
                </c:pt>
                <c:pt idx="5">
                  <c:v>1236.8087117706305</c:v>
                </c:pt>
                <c:pt idx="6">
                  <c:v>1176.5496951479056</c:v>
                </c:pt>
                <c:pt idx="7">
                  <c:v>1293.8578602987186</c:v>
                </c:pt>
                <c:pt idx="8">
                  <c:v>1278.8797634852426</c:v>
                </c:pt>
                <c:pt idx="9">
                  <c:v>1157.154279888857</c:v>
                </c:pt>
                <c:pt idx="10">
                  <c:v>1293.1227149794981</c:v>
                </c:pt>
                <c:pt idx="11">
                  <c:v>1145.8174447306692</c:v>
                </c:pt>
                <c:pt idx="12">
                  <c:v>1335.408776373396</c:v>
                </c:pt>
                <c:pt idx="13">
                  <c:v>1240.4073674101041</c:v>
                </c:pt>
                <c:pt idx="14">
                  <c:v>1103.589187355306</c:v>
                </c:pt>
                <c:pt idx="15">
                  <c:v>1271.0190419700828</c:v>
                </c:pt>
                <c:pt idx="16">
                  <c:v>1181.4164767279176</c:v>
                </c:pt>
                <c:pt idx="17">
                  <c:v>1383.8268096663091</c:v>
                </c:pt>
                <c:pt idx="18">
                  <c:v>1131.6384162338127</c:v>
                </c:pt>
                <c:pt idx="19">
                  <c:v>1244.921470546235</c:v>
                </c:pt>
                <c:pt idx="20">
                  <c:v>1028.6439040683845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5-46CC-84C8-AA63411F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7863819753941994"/>
              <c:y val="0.79173022892686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MarkSkip val="1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1457655807230748E-3"/>
              <c:y val="0.15979577594606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251803051839151"/>
          <c:y val="0.14573460395040902"/>
          <c:w val="0.52702169606534977"/>
          <c:h val="6.1328660405295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Total oilseed production, crush, and exports in Ukraine, MY 2015/16</a:t>
            </a:r>
            <a:r>
              <a:rPr lang="en-US" sz="1050" b="1" i="0" u="none" strike="noStrike" baseline="0">
                <a:effectLst/>
              </a:rPr>
              <a:t>–</a:t>
            </a:r>
            <a:r>
              <a:rPr lang="en-US" sz="1100" b="1" i="0" baseline="0">
                <a:effectLst/>
              </a:rPr>
              <a:t>2023/24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8.0640372442132516E-3"/>
          <c:y val="1.5604125128135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53374493855429E-2"/>
          <c:y val="0.25925611105840685"/>
          <c:w val="0.85217816288706039"/>
          <c:h val="0.422291767100541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4'!$B$2:$B$10</c:f>
              <c:numCache>
                <c:formatCode>0.0</c:formatCode>
                <c:ptCount val="9"/>
                <c:pt idx="0">
                  <c:v>17.576000000000001</c:v>
                </c:pt>
                <c:pt idx="1">
                  <c:v>20.736000000000001</c:v>
                </c:pt>
                <c:pt idx="2">
                  <c:v>19.902000000000001</c:v>
                </c:pt>
                <c:pt idx="3">
                  <c:v>22.681000000000001</c:v>
                </c:pt>
                <c:pt idx="4">
                  <c:v>24.463999999999999</c:v>
                </c:pt>
                <c:pt idx="5">
                  <c:v>19.850000000000001</c:v>
                </c:pt>
                <c:pt idx="6">
                  <c:v>24.315000000000001</c:v>
                </c:pt>
                <c:pt idx="7">
                  <c:v>19.8</c:v>
                </c:pt>
                <c:pt idx="8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C-4EF2-9237-ACCA9CFAC032}"/>
            </c:ext>
          </c:extLst>
        </c:ser>
        <c:ser>
          <c:idx val="2"/>
          <c:order val="2"/>
          <c:tx>
            <c:strRef>
              <c:f>'Figure 4'!$D$1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4'!$D$2:$D$10</c:f>
              <c:numCache>
                <c:formatCode>0.0</c:formatCode>
                <c:ptCount val="9"/>
                <c:pt idx="0">
                  <c:v>12.925000000000001</c:v>
                </c:pt>
                <c:pt idx="1">
                  <c:v>15.58</c:v>
                </c:pt>
                <c:pt idx="2">
                  <c:v>14.955</c:v>
                </c:pt>
                <c:pt idx="3">
                  <c:v>17.04</c:v>
                </c:pt>
                <c:pt idx="4">
                  <c:v>18.725000000000001</c:v>
                </c:pt>
                <c:pt idx="5">
                  <c:v>15.4</c:v>
                </c:pt>
                <c:pt idx="6">
                  <c:v>12.5</c:v>
                </c:pt>
                <c:pt idx="7">
                  <c:v>14.683</c:v>
                </c:pt>
                <c:pt idx="8">
                  <c:v>15.675000000000001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B-4293-A21B-56FB7A9B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0"/>
          <c:order val="1"/>
          <c:tx>
            <c:strRef>
              <c:f>'Figure 4'!$C$1</c:f>
              <c:strCache>
                <c:ptCount val="1"/>
                <c:pt idx="0">
                  <c:v>Exports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FB7-4C05-9882-6B9D26626C8A}"/>
              </c:ext>
            </c:extLst>
          </c:dPt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4'!$C$2:$C$10</c:f>
              <c:numCache>
                <c:formatCode>0.0</c:formatCode>
                <c:ptCount val="9"/>
                <c:pt idx="0">
                  <c:v>3.8889999999999998</c:v>
                </c:pt>
                <c:pt idx="1">
                  <c:v>4.1280000000000001</c:v>
                </c:pt>
                <c:pt idx="2">
                  <c:v>4.9139999999999997</c:v>
                </c:pt>
                <c:pt idx="3">
                  <c:v>5.1289999999999996</c:v>
                </c:pt>
                <c:pt idx="4">
                  <c:v>5.6820000000000004</c:v>
                </c:pt>
                <c:pt idx="5">
                  <c:v>4.0529999999999999</c:v>
                </c:pt>
                <c:pt idx="6">
                  <c:v>5.71</c:v>
                </c:pt>
                <c:pt idx="7">
                  <c:v>8.5210000000000008</c:v>
                </c:pt>
                <c:pt idx="8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C-4EF2-9237-ACCA9CFA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32768"/>
        <c:axId val="1079425568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284866684240891"/>
              <c:y val="0.82411814185877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030842760375477E-2"/>
              <c:y val="0.13592688865699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1079425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9432768"/>
        <c:crosses val="max"/>
        <c:crossBetween val="between"/>
      </c:valAx>
      <c:catAx>
        <c:axId val="1079432768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metric tons</a:t>
                </a:r>
              </a:p>
              <a:p>
                <a:pPr>
                  <a:defRPr sz="900"/>
                </a:pPr>
                <a:r>
                  <a:rPr lang="en-US" sz="900" baseline="0"/>
                  <a:t>(exports)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90756691231883713"/>
              <c:y val="0.16447699459254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07942556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442750203691054"/>
          <c:y val="0.18020225785029884"/>
          <c:w val="0.43411141021466665"/>
          <c:h val="5.1243462037124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0</xdr:row>
      <xdr:rowOff>0</xdr:rowOff>
    </xdr:from>
    <xdr:to>
      <xdr:col>12</xdr:col>
      <xdr:colOff>396240</xdr:colOff>
      <xdr:row>19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EBD59C-6899-4C49-8D60-1B4378EA6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0.85779</cdr:y>
    </cdr:from>
    <cdr:to>
      <cdr:x>1</cdr:x>
      <cdr:y>0.99183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95600"/>
          <a:ext cx="6080760" cy="452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 An asterisk (*) represents yield forecasts.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 Agricultural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Statistics Service, QuickStats.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552451</xdr:colOff>
      <xdr:row>0</xdr:row>
      <xdr:rowOff>0</xdr:rowOff>
    </xdr:from>
    <xdr:to>
      <xdr:col>16</xdr:col>
      <xdr:colOff>401956</xdr:colOff>
      <xdr:row>20</xdr:row>
      <xdr:rowOff>158115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8BB73E1-841E-455B-854D-A04B1BA24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0.87131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95625"/>
          <a:ext cx="5848350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Export Sales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report.</a:t>
          </a:r>
          <a:endParaRPr lang="en-US" sz="9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0</xdr:rowOff>
    </xdr:from>
    <xdr:to>
      <xdr:col>14</xdr:col>
      <xdr:colOff>30480</xdr:colOff>
      <xdr:row>21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F074A63-EF8E-4747-9246-3F6663793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0.8506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94709"/>
          <a:ext cx="6305550" cy="596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¹ Use of soybean oil in biofuel reported by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Administration.</a:t>
          </a:r>
        </a:p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²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"Food, feed, and other industrial" equals total monthly domestic disappearance minus biofuel.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0</xdr:row>
      <xdr:rowOff>0</xdr:rowOff>
    </xdr:from>
    <xdr:to>
      <xdr:col>15</xdr:col>
      <xdr:colOff>182880</xdr:colOff>
      <xdr:row>20</xdr:row>
      <xdr:rowOff>152400</xdr:rowOff>
    </xdr:to>
    <xdr:graphicFrame macro="">
      <xdr:nvGraphicFramePr>
        <xdr:cNvPr id="39" name="Chart 1">
          <a:extLst>
            <a:ext uri="{FF2B5EF4-FFF2-40B4-BE49-F238E27FC236}">
              <a16:creationId xmlns:a16="http://schemas.microsoft.com/office/drawing/2014/main" id="{5B5733D9-9587-460D-AE5F-104EA64A8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0.85255</cdr:y>
    </cdr:from>
    <cdr:to>
      <cdr:x>1</cdr:x>
      <cdr:y>0.99409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28950"/>
          <a:ext cx="6332220" cy="502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MY=Marketing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year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6640625" defaultRowHeight="13.8"/>
  <cols>
    <col min="1" max="1" width="166.88671875" style="12" customWidth="1"/>
    <col min="2" max="16384" width="9.6640625" style="1"/>
  </cols>
  <sheetData>
    <row r="1" spans="1:3">
      <c r="A1" s="7" t="s">
        <v>0</v>
      </c>
      <c r="B1" s="94"/>
      <c r="C1" s="94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94"/>
    </row>
    <row r="5" spans="1:3">
      <c r="A5" s="10" t="s">
        <v>3</v>
      </c>
      <c r="B5" s="4"/>
      <c r="C5" s="94"/>
    </row>
    <row r="6" spans="1:3">
      <c r="A6" s="10" t="s">
        <v>4</v>
      </c>
      <c r="B6" s="4"/>
      <c r="C6" s="94"/>
    </row>
    <row r="7" spans="1:3">
      <c r="A7" s="10" t="s">
        <v>5</v>
      </c>
      <c r="B7" s="4"/>
      <c r="C7" s="94"/>
    </row>
    <row r="8" spans="1:3">
      <c r="A8" s="10" t="s">
        <v>6</v>
      </c>
      <c r="B8" s="4"/>
      <c r="C8" s="94"/>
    </row>
    <row r="9" spans="1:3">
      <c r="A9" s="10" t="s">
        <v>7</v>
      </c>
      <c r="B9" s="4"/>
      <c r="C9" s="94"/>
    </row>
    <row r="10" spans="1:3">
      <c r="A10" s="10" t="s">
        <v>8</v>
      </c>
      <c r="B10" s="4"/>
      <c r="C10" s="94"/>
    </row>
    <row r="11" spans="1:3">
      <c r="A11" s="10" t="s">
        <v>9</v>
      </c>
      <c r="B11" s="4"/>
      <c r="C11" s="94"/>
    </row>
    <row r="12" spans="1:3">
      <c r="A12" s="10" t="s">
        <v>10</v>
      </c>
      <c r="B12" s="4"/>
      <c r="C12" s="94"/>
    </row>
    <row r="13" spans="1:3">
      <c r="A13" s="11" t="s">
        <v>159</v>
      </c>
      <c r="B13" s="4"/>
      <c r="C13" s="94"/>
    </row>
    <row r="14" spans="1:3" ht="13.2">
      <c r="A14" s="94"/>
      <c r="B14" s="94"/>
      <c r="C14" s="94"/>
    </row>
    <row r="15" spans="1:3">
      <c r="A15" s="7" t="s">
        <v>11</v>
      </c>
      <c r="B15" s="94"/>
      <c r="C15" s="94"/>
    </row>
    <row r="16" spans="1:3">
      <c r="A16" s="9">
        <v>45183</v>
      </c>
      <c r="B16" s="94"/>
      <c r="C16" s="94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4"/>
  <sheetViews>
    <sheetView showGridLines="0" zoomScale="70" zoomScaleNormal="70" workbookViewId="0">
      <pane xSplit="1" ySplit="4" topLeftCell="B5" activePane="bottomRight" state="frozen"/>
      <selection activeCell="A43" sqref="A43"/>
      <selection pane="topRight" activeCell="A43" sqref="A43"/>
      <selection pane="bottomLeft" activeCell="A43" sqref="A43"/>
      <selection pane="bottomRight"/>
    </sheetView>
  </sheetViews>
  <sheetFormatPr defaultColWidth="9.109375" defaultRowHeight="13.2"/>
  <cols>
    <col min="1" max="1" width="21.6640625" customWidth="1"/>
    <col min="2" max="2" width="14.109375" customWidth="1"/>
    <col min="3" max="3" width="9.5546875" customWidth="1"/>
    <col min="4" max="4" width="26.6640625" customWidth="1"/>
    <col min="5" max="5" width="9.6640625" customWidth="1"/>
    <col min="6" max="6" width="10.6640625" customWidth="1"/>
    <col min="7" max="7" width="8.6640625" bestFit="1" customWidth="1"/>
    <col min="8" max="8" width="9.6640625" customWidth="1"/>
    <col min="9" max="9" width="1.6640625" customWidth="1"/>
    <col min="10" max="10" width="12.44140625" customWidth="1"/>
    <col min="11" max="12" width="10.6640625" customWidth="1"/>
    <col min="13" max="13" width="10.33203125" customWidth="1"/>
    <col min="14" max="14" width="9.6640625" customWidth="1"/>
    <col min="17" max="17" width="15.44140625" bestFit="1" customWidth="1"/>
    <col min="18" max="18" width="10.10937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12</v>
      </c>
      <c r="C2" s="128"/>
      <c r="D2" s="17" t="s">
        <v>13</v>
      </c>
      <c r="E2" s="18"/>
      <c r="F2" s="128" t="s">
        <v>14</v>
      </c>
      <c r="G2" s="128"/>
      <c r="H2" s="128"/>
      <c r="I2" s="15"/>
      <c r="J2" s="18"/>
      <c r="K2" s="128"/>
      <c r="L2" s="19" t="s">
        <v>15</v>
      </c>
      <c r="M2" s="128"/>
      <c r="N2" s="15"/>
    </row>
    <row r="3" spans="1:23" ht="13.8">
      <c r="A3" s="15" t="s">
        <v>16</v>
      </c>
      <c r="B3" s="17" t="s">
        <v>17</v>
      </c>
      <c r="C3" s="15" t="s">
        <v>18</v>
      </c>
      <c r="D3" s="17"/>
      <c r="E3" s="20" t="s">
        <v>19</v>
      </c>
      <c r="F3" s="20"/>
      <c r="G3" s="20"/>
      <c r="H3" s="20"/>
      <c r="I3" s="20"/>
      <c r="J3" s="17" t="s">
        <v>20</v>
      </c>
      <c r="K3" s="20" t="s">
        <v>21</v>
      </c>
      <c r="L3" s="20"/>
      <c r="M3" s="20"/>
      <c r="N3" s="20" t="s">
        <v>22</v>
      </c>
    </row>
    <row r="4" spans="1:23" ht="13.8">
      <c r="A4" s="21" t="s">
        <v>23</v>
      </c>
      <c r="B4" s="22"/>
      <c r="C4" s="22"/>
      <c r="D4" s="22"/>
      <c r="E4" s="23" t="s">
        <v>24</v>
      </c>
      <c r="F4" s="23" t="s">
        <v>25</v>
      </c>
      <c r="G4" s="24" t="s">
        <v>26</v>
      </c>
      <c r="H4" s="25" t="s">
        <v>27</v>
      </c>
      <c r="I4" s="24"/>
      <c r="J4" s="24"/>
      <c r="K4" s="24" t="s">
        <v>28</v>
      </c>
      <c r="L4" s="25" t="s">
        <v>29</v>
      </c>
      <c r="M4" s="23" t="s">
        <v>27</v>
      </c>
      <c r="N4" s="24" t="s">
        <v>24</v>
      </c>
      <c r="W4" s="26"/>
    </row>
    <row r="5" spans="1:23" ht="14.4">
      <c r="A5" s="15"/>
      <c r="B5" s="27" t="s">
        <v>30</v>
      </c>
      <c r="C5" s="129"/>
      <c r="D5" s="28" t="s">
        <v>31</v>
      </c>
      <c r="G5" s="27"/>
      <c r="I5" s="27"/>
      <c r="J5" s="27" t="s">
        <v>32</v>
      </c>
      <c r="K5" s="27"/>
      <c r="L5" s="27"/>
      <c r="M5" s="27"/>
      <c r="N5" s="27"/>
      <c r="W5" s="26"/>
    </row>
    <row r="6" spans="1:23" ht="16.5" customHeight="1">
      <c r="A6" s="15" t="s">
        <v>33</v>
      </c>
      <c r="B6" s="29">
        <v>87.194999999999993</v>
      </c>
      <c r="C6" s="29">
        <v>86.311999999999998</v>
      </c>
      <c r="D6" s="29">
        <f>F6/C6</f>
        <v>51.735355454629712</v>
      </c>
      <c r="E6" s="30">
        <v>256.97899999999998</v>
      </c>
      <c r="F6" s="31">
        <f>F27</f>
        <v>4465.3819999999996</v>
      </c>
      <c r="G6" s="32">
        <f>G27</f>
        <v>15.915255741600001</v>
      </c>
      <c r="H6" s="32">
        <f>SUM(E6:G6)</f>
        <v>4738.2762557415999</v>
      </c>
      <c r="I6" s="15"/>
      <c r="J6" s="31">
        <f>J27</f>
        <v>2203.8901705391709</v>
      </c>
      <c r="K6" s="31">
        <f t="shared" ref="K6" si="0">M6-L6-J6</f>
        <v>107.86113147202877</v>
      </c>
      <c r="L6" s="32">
        <f>L27</f>
        <v>2152.1309537304001</v>
      </c>
      <c r="M6" s="32">
        <f>H6-N6</f>
        <v>4463.8822557415997</v>
      </c>
      <c r="N6" s="32">
        <f>N26</f>
        <v>274.39400000000001</v>
      </c>
    </row>
    <row r="7" spans="1:23" ht="16.5" customHeight="1">
      <c r="A7" s="15" t="s">
        <v>34</v>
      </c>
      <c r="B7" s="29">
        <v>87.45</v>
      </c>
      <c r="C7" s="29">
        <v>86.335999999999999</v>
      </c>
      <c r="D7" s="29">
        <f>F7/C7</f>
        <v>49.528852390659743</v>
      </c>
      <c r="E7" s="30">
        <f>N6</f>
        <v>274.39400000000001</v>
      </c>
      <c r="F7" s="31">
        <v>4276.1229999999996</v>
      </c>
      <c r="G7" s="32">
        <v>30</v>
      </c>
      <c r="H7" s="32">
        <f>SUM(E7:G7)</f>
        <v>4580.5169999999998</v>
      </c>
      <c r="I7" s="15"/>
      <c r="J7" s="31">
        <v>2220</v>
      </c>
      <c r="K7" s="31">
        <v>120.28</v>
      </c>
      <c r="L7" s="32">
        <v>1990</v>
      </c>
      <c r="M7" s="32">
        <f>SUM(J7:L7)</f>
        <v>4330.2800000000007</v>
      </c>
      <c r="N7" s="32">
        <f>H7-M7</f>
        <v>250.23699999999917</v>
      </c>
      <c r="P7" s="152"/>
    </row>
    <row r="8" spans="1:23" ht="16.5" customHeight="1">
      <c r="A8" s="15" t="s">
        <v>35</v>
      </c>
      <c r="B8" s="29">
        <v>83.6</v>
      </c>
      <c r="C8" s="29">
        <v>82.790999999999997</v>
      </c>
      <c r="D8" s="29">
        <f>F8/C8</f>
        <v>50.078341848751677</v>
      </c>
      <c r="E8" s="30">
        <f>N7</f>
        <v>250.23699999999917</v>
      </c>
      <c r="F8" s="31">
        <v>4146.0360000000001</v>
      </c>
      <c r="G8" s="32">
        <v>30</v>
      </c>
      <c r="H8" s="32">
        <f>SUM(E8:G8)</f>
        <v>4426.2729999999992</v>
      </c>
      <c r="I8" s="15"/>
      <c r="J8" s="31">
        <v>2290</v>
      </c>
      <c r="K8" s="31">
        <v>126</v>
      </c>
      <c r="L8" s="32">
        <v>1790</v>
      </c>
      <c r="M8" s="32">
        <f>SUM(J8:L8)</f>
        <v>4206</v>
      </c>
      <c r="N8" s="32">
        <f>H8-M8</f>
        <v>220.27299999999923</v>
      </c>
      <c r="P8" s="152"/>
    </row>
    <row r="9" spans="1:23" ht="16.5" customHeight="1">
      <c r="A9" s="15"/>
      <c r="B9" s="15"/>
      <c r="C9" s="15"/>
      <c r="D9" s="15"/>
      <c r="E9" s="33"/>
      <c r="F9" s="33"/>
      <c r="G9" s="34"/>
      <c r="H9" s="33"/>
      <c r="I9" s="33"/>
      <c r="J9" s="34"/>
      <c r="K9" s="34"/>
      <c r="L9" s="34"/>
      <c r="M9" s="34"/>
      <c r="N9" s="34"/>
    </row>
    <row r="10" spans="1:23" ht="16.5" customHeight="1">
      <c r="A10" s="35" t="s">
        <v>33</v>
      </c>
      <c r="B10" s="95"/>
      <c r="C10" s="95"/>
      <c r="D10" s="95"/>
      <c r="E10" s="37"/>
      <c r="F10" s="38"/>
      <c r="G10" s="6"/>
      <c r="H10" s="13"/>
      <c r="I10" s="95"/>
      <c r="J10" s="13"/>
      <c r="K10" s="36"/>
      <c r="L10" s="6"/>
      <c r="M10" s="6"/>
      <c r="N10" s="13"/>
    </row>
    <row r="11" spans="1:23" ht="16.5" customHeight="1">
      <c r="A11" s="15" t="s">
        <v>36</v>
      </c>
      <c r="B11" s="95"/>
      <c r="C11" s="95"/>
      <c r="D11" s="100"/>
      <c r="E11" s="37"/>
      <c r="F11" s="38"/>
      <c r="G11" s="6">
        <f>(24488.6*36.744)/1000000</f>
        <v>0.89980911839999989</v>
      </c>
      <c r="I11" s="95"/>
      <c r="J11" s="13">
        <f>((4924574*0.907185)*36.744)/1000000</f>
        <v>164.15380766099736</v>
      </c>
      <c r="K11" s="36"/>
      <c r="L11" s="6">
        <f>(2099065.6*36.744)/1000000</f>
        <v>77.128066406400009</v>
      </c>
      <c r="M11" s="6"/>
      <c r="N11" s="13"/>
      <c r="Q11" s="100"/>
    </row>
    <row r="12" spans="1:23" ht="16.5" customHeight="1">
      <c r="A12" s="15" t="s">
        <v>37</v>
      </c>
      <c r="B12" s="95"/>
      <c r="C12" s="95"/>
      <c r="D12" s="100"/>
      <c r="E12" s="37"/>
      <c r="F12" s="38"/>
      <c r="G12" s="6">
        <f>(19229.4*36.744)/1000000</f>
        <v>0.70656507359999998</v>
      </c>
      <c r="I12" s="95"/>
      <c r="J12" s="13">
        <f>((5908157*0.907185)*36.744)/1000000</f>
        <v>196.9401754972055</v>
      </c>
      <c r="K12" s="36"/>
      <c r="L12" s="6">
        <f>(10694811.7*36.744)/1000000</f>
        <v>392.97016110480001</v>
      </c>
      <c r="M12" s="6"/>
      <c r="N12" s="13"/>
      <c r="Q12" s="100"/>
    </row>
    <row r="13" spans="1:23" ht="16.5" customHeight="1">
      <c r="A13" s="15" t="s">
        <v>38</v>
      </c>
      <c r="B13" s="95"/>
      <c r="C13" s="95"/>
      <c r="D13" s="100"/>
      <c r="E13" s="37"/>
      <c r="F13" s="38"/>
      <c r="G13" s="6">
        <f>(34894.1*36.744)/1000000</f>
        <v>1.2821488103999998</v>
      </c>
      <c r="I13" s="95"/>
      <c r="J13" s="13">
        <f>((5717943*0.907185)*36.744)/1000000</f>
        <v>190.59965703399854</v>
      </c>
      <c r="K13" s="36"/>
      <c r="L13" s="6">
        <f>(10679456.7*36.744)/1000000</f>
        <v>392.40595698479996</v>
      </c>
      <c r="M13" s="6"/>
      <c r="N13" s="13"/>
      <c r="Q13" s="100"/>
    </row>
    <row r="14" spans="1:23" ht="16.5" customHeight="1">
      <c r="A14" s="15" t="s">
        <v>39</v>
      </c>
      <c r="B14" s="95"/>
      <c r="C14" s="95"/>
      <c r="E14" s="37">
        <f>E6</f>
        <v>256.97899999999998</v>
      </c>
      <c r="F14" s="37">
        <f>4465.382</f>
        <v>4465.3819999999996</v>
      </c>
      <c r="G14" s="6">
        <f>SUM(G11:G13)</f>
        <v>2.8885230023999995</v>
      </c>
      <c r="H14" s="13">
        <f>SUM(E14:G14)</f>
        <v>4725.2495230023997</v>
      </c>
      <c r="I14" s="95"/>
      <c r="J14" s="13">
        <f>SUM(J11:J13)</f>
        <v>551.69364019220143</v>
      </c>
      <c r="K14" s="36">
        <f>M14-L14-J14</f>
        <v>174.52769831419835</v>
      </c>
      <c r="L14" s="6">
        <f>SUM(L11:L13)</f>
        <v>862.50418449599999</v>
      </c>
      <c r="M14" s="6">
        <f>H14-N14</f>
        <v>1588.7255230023998</v>
      </c>
      <c r="N14" s="13">
        <v>3136.5239999999999</v>
      </c>
    </row>
    <row r="15" spans="1:23" ht="16.5" customHeight="1">
      <c r="A15" s="15" t="s">
        <v>40</v>
      </c>
      <c r="B15" s="95"/>
      <c r="C15" s="95"/>
      <c r="D15" s="100"/>
      <c r="E15" s="37"/>
      <c r="F15" s="37"/>
      <c r="G15" s="6">
        <f>(27884.8*36.744)/1000000</f>
        <v>1.0245990912</v>
      </c>
      <c r="H15" s="13"/>
      <c r="I15" s="95"/>
      <c r="J15" s="13">
        <f>((5947222*0.907185)*36.744)/1000000</f>
        <v>198.24235280153209</v>
      </c>
      <c r="K15" s="36"/>
      <c r="L15" s="6">
        <f>(7936612.7*36.744)/1000000</f>
        <v>291.62289704879998</v>
      </c>
      <c r="M15" s="6"/>
      <c r="N15" s="13"/>
    </row>
    <row r="16" spans="1:23" ht="16.5" customHeight="1">
      <c r="A16" s="15" t="s">
        <v>41</v>
      </c>
      <c r="B16" s="95"/>
      <c r="C16" s="95"/>
      <c r="D16" s="100"/>
      <c r="E16" s="37"/>
      <c r="F16" s="37"/>
      <c r="G16" s="6">
        <f>(23985.1*36.744)/1000000</f>
        <v>0.88130851440000002</v>
      </c>
      <c r="H16" s="13"/>
      <c r="I16" s="95"/>
      <c r="J16" s="13">
        <f>((5828974*0.907185)*36.744)/1000000</f>
        <v>194.30072060181334</v>
      </c>
      <c r="K16" s="36"/>
      <c r="L16" s="6">
        <f>(6529270.8*36.744)/1000000</f>
        <v>239.91152627519998</v>
      </c>
      <c r="M16" s="6"/>
      <c r="N16" s="13"/>
    </row>
    <row r="17" spans="1:17" ht="16.5" customHeight="1">
      <c r="A17" s="15" t="s">
        <v>42</v>
      </c>
      <c r="B17" s="95"/>
      <c r="C17" s="95"/>
      <c r="D17" s="100"/>
      <c r="E17" s="37"/>
      <c r="F17" s="37"/>
      <c r="G17" s="6">
        <f>(47263.6*36.744)/1000000</f>
        <v>1.7366537183999999</v>
      </c>
      <c r="H17" s="13"/>
      <c r="I17" s="95"/>
      <c r="J17" s="13">
        <f>((5232453*0.907185)*36.744)/1000000</f>
        <v>174.41652483183492</v>
      </c>
      <c r="K17" s="36"/>
      <c r="L17" s="6">
        <f>(3809000.1*36.744)/1000000</f>
        <v>139.95789967440001</v>
      </c>
      <c r="M17" s="6"/>
      <c r="N17" s="13"/>
      <c r="Q17" s="100"/>
    </row>
    <row r="18" spans="1:17" ht="16.5" customHeight="1">
      <c r="A18" s="15" t="s">
        <v>43</v>
      </c>
      <c r="B18" s="95"/>
      <c r="C18" s="95"/>
      <c r="E18" s="37">
        <f>N14</f>
        <v>3136.5239999999999</v>
      </c>
      <c r="F18" s="37"/>
      <c r="G18" s="6">
        <f>SUM(G15:G17)</f>
        <v>3.6425613239999999</v>
      </c>
      <c r="H18" s="13">
        <f>E18+F18+G18</f>
        <v>3140.1665613239998</v>
      </c>
      <c r="I18" s="95"/>
      <c r="J18" s="13">
        <f>SUM(J15:J17)</f>
        <v>566.95959823518035</v>
      </c>
      <c r="K18" s="36">
        <f>M18-L18-J18</f>
        <v>-30.102359909580514</v>
      </c>
      <c r="L18" s="6">
        <f>SUM(L15:L17)</f>
        <v>671.49232299839991</v>
      </c>
      <c r="M18" s="6">
        <f>H18-N18</f>
        <v>1208.3495613239998</v>
      </c>
      <c r="N18" s="13">
        <v>1931.817</v>
      </c>
      <c r="P18" s="39"/>
    </row>
    <row r="19" spans="1:17" ht="16.5" customHeight="1">
      <c r="A19" s="15" t="s">
        <v>44</v>
      </c>
      <c r="B19" s="95"/>
      <c r="C19" s="95"/>
      <c r="D19" s="100"/>
      <c r="E19" s="37"/>
      <c r="F19" s="37"/>
      <c r="G19" s="6">
        <f>(33646.7*36.744)/1000000</f>
        <v>1.2363143447999998</v>
      </c>
      <c r="H19" s="13"/>
      <c r="I19" s="95"/>
      <c r="J19" s="13">
        <f>((5786159*0.907185)*36.744)/1000000</f>
        <v>192.87354227633676</v>
      </c>
      <c r="K19" s="36"/>
      <c r="L19" s="6">
        <f>(3018428.5*36.744)/1000000</f>
        <v>110.909136804</v>
      </c>
      <c r="M19" s="6"/>
      <c r="N19" s="13"/>
      <c r="Q19" s="100"/>
    </row>
    <row r="20" spans="1:17" ht="16.5" customHeight="1">
      <c r="A20" s="15" t="s">
        <v>45</v>
      </c>
      <c r="B20" s="95"/>
      <c r="C20" s="95"/>
      <c r="D20" s="100"/>
      <c r="E20" s="37"/>
      <c r="F20" s="37"/>
      <c r="G20" s="6">
        <f>(49197*36.744)/1000000</f>
        <v>1.8076945680000001</v>
      </c>
      <c r="H20" s="13"/>
      <c r="I20" s="95"/>
      <c r="J20" s="13">
        <f>((5426712*0.907185)*36.744)/1000000</f>
        <v>180.89187772985568</v>
      </c>
      <c r="K20" s="36"/>
      <c r="L20" s="6">
        <f>(3550990.4*36.744)/1000000</f>
        <v>130.47759125759998</v>
      </c>
      <c r="M20" s="6"/>
      <c r="N20" s="13"/>
    </row>
    <row r="21" spans="1:17" ht="16.5" customHeight="1">
      <c r="A21" s="15" t="s">
        <v>46</v>
      </c>
      <c r="B21" s="95"/>
      <c r="C21" s="95"/>
      <c r="D21" s="100"/>
      <c r="E21" s="37"/>
      <c r="F21" s="37"/>
      <c r="G21" s="6">
        <f>(30538.1*36.744)/1000000</f>
        <v>1.1220919464000001</v>
      </c>
      <c r="H21" s="13"/>
      <c r="I21" s="95"/>
      <c r="J21" s="13">
        <f>((5427160*0.907185)*36.744)/1000000</f>
        <v>180.90681118518239</v>
      </c>
      <c r="K21" s="36"/>
      <c r="L21" s="6">
        <f>(2448876.2*36.744)/1000000</f>
        <v>89.981507092800001</v>
      </c>
      <c r="M21" s="6"/>
      <c r="N21" s="13"/>
      <c r="Q21" s="100"/>
    </row>
    <row r="22" spans="1:17" ht="16.5" customHeight="1">
      <c r="A22" s="15" t="s">
        <v>47</v>
      </c>
      <c r="B22" s="95"/>
      <c r="C22" s="95"/>
      <c r="E22" s="37">
        <f>N18</f>
        <v>1931.817</v>
      </c>
      <c r="F22" s="37"/>
      <c r="G22" s="6">
        <f>SUM(G19:G21)</f>
        <v>4.1661008592000002</v>
      </c>
      <c r="H22" s="13">
        <f>E22+F22+G22</f>
        <v>1935.9831008592</v>
      </c>
      <c r="I22" s="95"/>
      <c r="J22" s="13">
        <f>SUM(J19:J21)</f>
        <v>554.67223119137486</v>
      </c>
      <c r="K22" s="36">
        <f>M22-L22-J22</f>
        <v>82.417634513425241</v>
      </c>
      <c r="L22" s="6">
        <f>SUM(L19:L21)</f>
        <v>331.36823515439994</v>
      </c>
      <c r="M22" s="6">
        <f>H22-N22</f>
        <v>968.45810085920004</v>
      </c>
      <c r="N22" s="13">
        <v>967.52499999999998</v>
      </c>
    </row>
    <row r="23" spans="1:17" ht="16.5" customHeight="1">
      <c r="A23" s="15" t="s">
        <v>48</v>
      </c>
      <c r="B23" s="95"/>
      <c r="C23" s="95"/>
      <c r="E23" s="37"/>
      <c r="F23" s="37"/>
      <c r="G23" s="6">
        <f>(21131.7*36.744)/1000000</f>
        <v>0.77646318480000009</v>
      </c>
      <c r="H23" s="13"/>
      <c r="I23" s="95"/>
      <c r="J23" s="13">
        <f>((5222412*0.907185)*36.744)/1000000</f>
        <v>174.08182209760369</v>
      </c>
      <c r="K23" s="36"/>
      <c r="L23" s="6">
        <f>(2256761*36.744)/1000000</f>
        <v>82.922426184000003</v>
      </c>
      <c r="M23" s="6"/>
      <c r="N23" s="13"/>
    </row>
    <row r="24" spans="1:17" ht="16.5" customHeight="1">
      <c r="A24" s="15" t="s">
        <v>49</v>
      </c>
      <c r="B24" s="95"/>
      <c r="C24" s="95"/>
      <c r="E24" s="37"/>
      <c r="F24" s="37"/>
      <c r="G24" s="6">
        <f>(60176.9*36.744)/1000000</f>
        <v>2.2111400136000001</v>
      </c>
      <c r="H24" s="13"/>
      <c r="I24" s="95"/>
      <c r="J24" s="13">
        <f>((5441780*0.907185)*36.744)/1000000</f>
        <v>181.39414849963919</v>
      </c>
      <c r="K24" s="36"/>
      <c r="L24" s="6">
        <f>(2315581.7*36.744)/1000000</f>
        <v>85.083733984800006</v>
      </c>
      <c r="M24" s="6"/>
      <c r="N24" s="13"/>
      <c r="Q24" s="100"/>
    </row>
    <row r="25" spans="1:17" ht="16.5" customHeight="1">
      <c r="A25" s="15" t="s">
        <v>50</v>
      </c>
      <c r="B25" s="95"/>
      <c r="C25" s="95"/>
      <c r="E25" s="37"/>
      <c r="F25" s="37"/>
      <c r="G25" s="6">
        <f>(60702.9*36.744)/1000000</f>
        <v>2.2304673576000003</v>
      </c>
      <c r="H25" s="13"/>
      <c r="I25" s="95"/>
      <c r="J25" s="13">
        <f>((5252619*0.907185)*36.744)/1000000</f>
        <v>175.08873032317118</v>
      </c>
      <c r="K25" s="36"/>
      <c r="L25" s="6">
        <f>(3232093.8*36.744)/1000000</f>
        <v>118.76005458719999</v>
      </c>
      <c r="M25" s="6"/>
      <c r="N25" s="13"/>
    </row>
    <row r="26" spans="1:17" ht="16.5" customHeight="1">
      <c r="A26" s="15" t="s">
        <v>51</v>
      </c>
      <c r="B26" s="95"/>
      <c r="C26" s="95"/>
      <c r="E26" s="37">
        <f>N22</f>
        <v>967.52499999999998</v>
      </c>
      <c r="F26" s="37"/>
      <c r="G26" s="6">
        <f>SUM(G23:G25)</f>
        <v>5.2180705560000007</v>
      </c>
      <c r="H26" s="13">
        <f>E26+F26+G26</f>
        <v>972.74307055600002</v>
      </c>
      <c r="I26" s="95"/>
      <c r="J26" s="13">
        <f>SUM(J23:J25)</f>
        <v>530.564700920414</v>
      </c>
      <c r="K26" s="36">
        <f>M26-L26-J26</f>
        <v>-118.98184512041399</v>
      </c>
      <c r="L26" s="6">
        <f>SUM(L23:L25)</f>
        <v>286.76621475600001</v>
      </c>
      <c r="M26" s="6">
        <f>H26-N26</f>
        <v>698.34907055600002</v>
      </c>
      <c r="N26" s="13">
        <f>274.394</f>
        <v>274.39400000000001</v>
      </c>
    </row>
    <row r="27" spans="1:17" ht="16.5" customHeight="1">
      <c r="A27" s="15" t="s">
        <v>27</v>
      </c>
      <c r="B27" s="95"/>
      <c r="C27" s="95"/>
      <c r="D27" s="95"/>
      <c r="E27" s="37"/>
      <c r="F27" s="37">
        <f>F14</f>
        <v>4465.3819999999996</v>
      </c>
      <c r="G27" s="6">
        <f>(433138.9*36.744)/1000000</f>
        <v>15.915255741600001</v>
      </c>
      <c r="H27" s="13">
        <f>E14+F27+G27</f>
        <v>4738.2762557415999</v>
      </c>
      <c r="I27" s="95"/>
      <c r="J27" s="13">
        <f>SUM(J14,J18,J22,J26)</f>
        <v>2203.8901705391709</v>
      </c>
      <c r="K27" s="36">
        <f>SUM(K14,K18,K22,K26)</f>
        <v>107.86112779762908</v>
      </c>
      <c r="L27" s="117">
        <f>(58570949.1*36.744)/1000000</f>
        <v>2152.1309537304001</v>
      </c>
      <c r="M27" s="6">
        <f>SUM(M14,M18,M22,M26)</f>
        <v>4463.8822557415997</v>
      </c>
      <c r="N27" s="13"/>
      <c r="Q27" s="100"/>
    </row>
    <row r="28" spans="1:17" ht="16.5" customHeight="1">
      <c r="A28" s="15"/>
      <c r="B28" s="95"/>
      <c r="C28" s="95"/>
      <c r="D28" s="95"/>
      <c r="E28" s="37"/>
      <c r="F28" s="37"/>
      <c r="G28" s="6"/>
      <c r="H28" s="13"/>
      <c r="I28" s="95"/>
      <c r="J28" s="13"/>
      <c r="K28" s="36"/>
      <c r="L28" s="6"/>
      <c r="M28" s="6"/>
      <c r="N28" s="13"/>
    </row>
    <row r="29" spans="1:17" ht="16.5" customHeight="1">
      <c r="A29" s="35" t="s">
        <v>52</v>
      </c>
      <c r="B29" s="95"/>
      <c r="C29" s="95"/>
      <c r="D29" s="95"/>
      <c r="E29" s="37"/>
      <c r="F29" s="37"/>
      <c r="G29" s="6"/>
      <c r="H29" s="13"/>
      <c r="I29" s="95"/>
      <c r="J29" s="13"/>
      <c r="K29" s="36"/>
      <c r="L29" s="6"/>
      <c r="M29" s="6"/>
      <c r="N29" s="13"/>
    </row>
    <row r="30" spans="1:17" ht="16.5" customHeight="1">
      <c r="A30" s="15" t="s">
        <v>36</v>
      </c>
      <c r="B30" s="95"/>
      <c r="C30" s="95"/>
      <c r="D30" s="95"/>
      <c r="E30" s="37"/>
      <c r="F30" s="37"/>
      <c r="G30" s="6">
        <f>(31794.8*36.744)/1000000</f>
        <v>1.1682681311999998</v>
      </c>
      <c r="H30" s="13"/>
      <c r="I30" s="95"/>
      <c r="J30" s="6">
        <f>((5028287*0.907185)*36.744)/1000000</f>
        <v>167.6109359027387</v>
      </c>
      <c r="K30" s="36"/>
      <c r="L30" s="6">
        <f>(2077930.3*36.744)/1000000</f>
        <v>76.351470943200013</v>
      </c>
      <c r="M30" s="6"/>
      <c r="N30" s="13"/>
    </row>
    <row r="31" spans="1:17" ht="16.5" customHeight="1">
      <c r="A31" s="15" t="s">
        <v>37</v>
      </c>
      <c r="B31" s="95"/>
      <c r="C31" s="95"/>
      <c r="D31" s="95"/>
      <c r="E31" s="37"/>
      <c r="F31" s="37"/>
      <c r="G31" s="6">
        <f>(33827.2*36.744)/1000000</f>
        <v>1.2429466367999999</v>
      </c>
      <c r="H31" s="13"/>
      <c r="I31" s="95"/>
      <c r="J31" s="6">
        <f>((5899694*0.907185)*36.744)/1000000</f>
        <v>196.65807319267415</v>
      </c>
      <c r="K31" s="36"/>
      <c r="L31" s="6">
        <f>(9947619.5*36.744)/1000000</f>
        <v>365.51533090800001</v>
      </c>
      <c r="M31" s="6"/>
      <c r="N31" s="13"/>
    </row>
    <row r="32" spans="1:17" ht="16.5" customHeight="1">
      <c r="A32" s="15" t="s">
        <v>38</v>
      </c>
      <c r="B32" s="95"/>
      <c r="C32" s="95"/>
      <c r="D32" s="95"/>
      <c r="E32" s="37"/>
      <c r="F32" s="37"/>
      <c r="G32" s="6">
        <f>(35058.7*36.744)/1000000</f>
        <v>1.2881968727999997</v>
      </c>
      <c r="H32" s="13"/>
      <c r="I32" s="95"/>
      <c r="J32" s="6">
        <f>((5687098*0.907185)*36.744)/1000000</f>
        <v>189.57148196803271</v>
      </c>
      <c r="K32" s="36"/>
      <c r="L32" s="6">
        <f>(9794669.4*36.744)/1000000</f>
        <v>359.8953324336</v>
      </c>
      <c r="M32" s="6"/>
      <c r="N32" s="13"/>
    </row>
    <row r="33" spans="1:73" ht="16.5" customHeight="1">
      <c r="A33" s="15" t="s">
        <v>39</v>
      </c>
      <c r="B33" s="95"/>
      <c r="C33" s="95"/>
      <c r="D33" s="95"/>
      <c r="E33" s="37">
        <f>N26</f>
        <v>274.39400000000001</v>
      </c>
      <c r="F33" s="107">
        <f>4276.123</f>
        <v>4276.1229999999996</v>
      </c>
      <c r="G33" s="6">
        <f>SUM(G30:G32)</f>
        <v>3.6994116407999993</v>
      </c>
      <c r="H33" s="13">
        <f>SUM(E33:G33)</f>
        <v>4554.2164116407994</v>
      </c>
      <c r="I33" s="95"/>
      <c r="J33" s="6">
        <f>SUM(J30:J32)</f>
        <v>553.8404910634456</v>
      </c>
      <c r="K33" s="36">
        <f>M33-L33-J33</f>
        <v>177.46178629255371</v>
      </c>
      <c r="L33" s="6">
        <f>SUM(L30:L32)</f>
        <v>801.76213428480003</v>
      </c>
      <c r="M33" s="6">
        <f>H33-N33</f>
        <v>1533.0644116407993</v>
      </c>
      <c r="N33" s="13">
        <f>3021.152</f>
        <v>3021.152</v>
      </c>
    </row>
    <row r="34" spans="1:73" ht="16.5" customHeight="1">
      <c r="A34" s="15" t="s">
        <v>40</v>
      </c>
      <c r="B34" s="95"/>
      <c r="C34" s="95"/>
      <c r="D34" s="95"/>
      <c r="E34" s="37"/>
      <c r="F34" s="107"/>
      <c r="G34" s="6">
        <f>(36017.3*36.744)/1000000</f>
        <v>1.3234196711999999</v>
      </c>
      <c r="H34" s="13"/>
      <c r="I34" s="95"/>
      <c r="J34" s="6">
        <f>((5622561*0.907185)*36.744)/1000000</f>
        <v>187.42023106084403</v>
      </c>
      <c r="K34" s="36"/>
      <c r="L34" s="6">
        <f>(7968849.1*36.744)/1000000</f>
        <v>292.80739133039998</v>
      </c>
      <c r="M34" s="6"/>
      <c r="N34" s="13"/>
    </row>
    <row r="35" spans="1:73" ht="16.5" customHeight="1">
      <c r="A35" s="15" t="s">
        <v>41</v>
      </c>
      <c r="B35" s="95"/>
      <c r="C35" s="95"/>
      <c r="D35" s="95"/>
      <c r="E35" s="37"/>
      <c r="F35" s="107"/>
      <c r="G35" s="6">
        <f>(5893.9*36.744)/1000000</f>
        <v>0.21656546159999998</v>
      </c>
      <c r="H35" s="13"/>
      <c r="I35" s="95"/>
      <c r="J35" s="6">
        <f>((5734398*0.907185)*36.744)/1000000</f>
        <v>191.14816151480471</v>
      </c>
      <c r="K35" s="36"/>
      <c r="L35" s="6">
        <f>(8559125.5*36.744)/1000000</f>
        <v>314.496507372</v>
      </c>
      <c r="M35" s="6"/>
      <c r="N35" s="13"/>
    </row>
    <row r="36" spans="1:73" ht="16.5" customHeight="1">
      <c r="A36" s="15" t="s">
        <v>42</v>
      </c>
      <c r="B36" s="95"/>
      <c r="C36" s="95"/>
      <c r="D36" s="95"/>
      <c r="E36" s="37"/>
      <c r="F36" s="107"/>
      <c r="G36" s="6">
        <f>(27761.8*36.744)/1000000</f>
        <v>1.0200795791999999</v>
      </c>
      <c r="H36" s="13"/>
      <c r="I36" s="95"/>
      <c r="J36" s="6">
        <f>((5306995*0.907185)*36.744)/1000000</f>
        <v>176.9012784634518</v>
      </c>
      <c r="K36" s="36"/>
      <c r="L36" s="6">
        <f>(5374314*36.744)/1000000</f>
        <v>197.47379361599999</v>
      </c>
      <c r="M36" s="6"/>
      <c r="N36" s="13"/>
      <c r="P36" s="39"/>
    </row>
    <row r="37" spans="1:73" ht="16.5" customHeight="1">
      <c r="A37" s="15" t="s">
        <v>43</v>
      </c>
      <c r="B37" s="95"/>
      <c r="C37" s="95"/>
      <c r="D37" s="95"/>
      <c r="E37" s="37">
        <f>N33</f>
        <v>3021.152</v>
      </c>
      <c r="F37" s="107"/>
      <c r="G37" s="6">
        <f>SUM(G34:G36)</f>
        <v>2.560064712</v>
      </c>
      <c r="H37" s="13">
        <f>SUM(E37:G37)</f>
        <v>3023.712064712</v>
      </c>
      <c r="I37" s="95"/>
      <c r="J37" s="6">
        <f>SUM(J34:J36)</f>
        <v>555.4696710391006</v>
      </c>
      <c r="K37" s="36">
        <f>M37-L37-J37</f>
        <v>-23.167298645500523</v>
      </c>
      <c r="L37" s="6">
        <f>SUM(L34:L36)</f>
        <v>804.77769231839989</v>
      </c>
      <c r="M37" s="6">
        <f>H37-N37</f>
        <v>1337.080064712</v>
      </c>
      <c r="N37" s="13">
        <f>1686.632</f>
        <v>1686.6320000000001</v>
      </c>
    </row>
    <row r="38" spans="1:73" ht="16.5" customHeight="1">
      <c r="A38" s="15" t="s">
        <v>44</v>
      </c>
      <c r="B38" s="95"/>
      <c r="C38" s="95"/>
      <c r="D38" s="95"/>
      <c r="E38" s="37"/>
      <c r="F38" s="107"/>
      <c r="G38" s="6">
        <f>(34752.6*36.744)/1000000</f>
        <v>1.2769495343999999</v>
      </c>
      <c r="H38" s="13"/>
      <c r="I38" s="95"/>
      <c r="J38" s="6">
        <f>((5939012*0.907185)*36.744)/1000000</f>
        <v>197.9686838992277</v>
      </c>
      <c r="K38" s="36"/>
      <c r="L38" s="6">
        <f>(3135729.4*36.744)/1000000</f>
        <v>115.21924107359999</v>
      </c>
      <c r="M38" s="6"/>
      <c r="N38" s="13"/>
    </row>
    <row r="39" spans="1:73" ht="16.5" customHeight="1">
      <c r="A39" s="15" t="s">
        <v>45</v>
      </c>
      <c r="B39" s="95"/>
      <c r="C39" s="95"/>
      <c r="D39" s="95"/>
      <c r="E39" s="37"/>
      <c r="F39" s="107"/>
      <c r="G39" s="6">
        <f>(8485.3*36.744)/1000000</f>
        <v>0.31178386319999996</v>
      </c>
      <c r="H39" s="13"/>
      <c r="I39" s="95"/>
      <c r="J39" s="6">
        <f>((5609607*0.907185)*36.744)/1000000</f>
        <v>186.98842753338349</v>
      </c>
      <c r="K39" s="36"/>
      <c r="L39" s="6">
        <f>(2554266.9*36.744)/1000000</f>
        <v>93.853982973599997</v>
      </c>
      <c r="M39" s="6"/>
      <c r="N39" s="13"/>
    </row>
    <row r="40" spans="1:73" ht="16.5" customHeight="1">
      <c r="A40" s="15" t="s">
        <v>46</v>
      </c>
      <c r="B40" s="95"/>
      <c r="C40" s="95"/>
      <c r="D40" s="95"/>
      <c r="E40" s="37"/>
      <c r="F40" s="107"/>
      <c r="G40" s="6">
        <f>(126995.3*36.744)/1000000</f>
        <v>4.6663153032000002</v>
      </c>
      <c r="H40" s="13"/>
      <c r="I40" s="95"/>
      <c r="J40" s="6">
        <f>((5679096*0.907185)*36.744)/1000000</f>
        <v>189.30474645570143</v>
      </c>
      <c r="K40" s="36"/>
      <c r="L40" s="6">
        <f>(986447.6*36.744)/1000000</f>
        <v>36.246030614399999</v>
      </c>
      <c r="M40" s="6"/>
      <c r="N40" s="13"/>
    </row>
    <row r="41" spans="1:73" ht="16.5" customHeight="1">
      <c r="A41" s="15" t="s">
        <v>47</v>
      </c>
      <c r="B41" s="95"/>
      <c r="C41" s="95"/>
      <c r="D41" s="95"/>
      <c r="E41" s="37">
        <f>N37</f>
        <v>1686.6320000000001</v>
      </c>
      <c r="F41" s="107"/>
      <c r="G41" s="6">
        <f>SUM(G38:G40)</f>
        <v>6.2550487007999998</v>
      </c>
      <c r="H41" s="13">
        <f>SUM(E41:G41)</f>
        <v>1692.8870487008001</v>
      </c>
      <c r="I41" s="95"/>
      <c r="J41" s="6">
        <f>SUM(J38:J40)</f>
        <v>574.26185788831265</v>
      </c>
      <c r="K41" s="36">
        <f>M41-L41-J41</f>
        <v>77.734936150887393</v>
      </c>
      <c r="L41" s="6">
        <f>SUM(L38:L40)</f>
        <v>245.31925466159998</v>
      </c>
      <c r="M41" s="6">
        <f>H41-N41</f>
        <v>897.31604870080002</v>
      </c>
      <c r="N41" s="13">
        <f>795.571</f>
        <v>795.57100000000003</v>
      </c>
    </row>
    <row r="42" spans="1:73" ht="16.5" customHeight="1">
      <c r="A42" s="15" t="s">
        <v>48</v>
      </c>
      <c r="B42" s="95"/>
      <c r="C42" s="95"/>
      <c r="D42" s="95"/>
      <c r="E42" s="37"/>
      <c r="F42" s="107"/>
      <c r="G42" s="6">
        <f>(166679*36.744)/1000000</f>
        <v>6.1244531760000003</v>
      </c>
      <c r="H42" s="13"/>
      <c r="I42" s="95"/>
      <c r="J42" s="6">
        <f>((5236516*0.907185)*36.744)/1000000</f>
        <v>174.55195927155023</v>
      </c>
      <c r="K42" s="36"/>
      <c r="L42" s="6">
        <f>(831037.3*36.744)/1000000</f>
        <v>30.535634551200001</v>
      </c>
      <c r="M42" s="6"/>
      <c r="N42" s="13"/>
    </row>
    <row r="43" spans="1:73" ht="16.5" customHeight="1">
      <c r="A43" s="15" t="s">
        <v>49</v>
      </c>
      <c r="B43" s="95"/>
      <c r="C43" s="95"/>
      <c r="D43" s="95"/>
      <c r="E43" s="37"/>
      <c r="F43" s="107"/>
      <c r="G43" s="6">
        <f>(114325.1*36.744)/1000000</f>
        <v>4.200761474400001</v>
      </c>
      <c r="H43" s="13"/>
      <c r="I43" s="95"/>
      <c r="J43" s="6">
        <f>((5544583*0.907185)*36.744)/1000000</f>
        <v>184.82094316024811</v>
      </c>
      <c r="K43" s="36"/>
      <c r="L43" s="6">
        <f>(1275803.3*36.744)/1000000</f>
        <v>46.878116455200001</v>
      </c>
      <c r="M43" s="6"/>
      <c r="N43" s="13"/>
    </row>
    <row r="44" spans="1:73" ht="16.5" customHeight="1">
      <c r="A44" s="15" t="s">
        <v>27</v>
      </c>
      <c r="B44" s="95"/>
      <c r="C44" s="95"/>
      <c r="D44" s="95"/>
      <c r="E44" s="37"/>
      <c r="F44" s="107"/>
      <c r="G44" s="6">
        <f>SUM(G33,G37,G41,G42,G43)</f>
        <v>22.839739703999999</v>
      </c>
      <c r="H44" s="113"/>
      <c r="I44" s="95"/>
      <c r="J44" s="6">
        <f>SUM(J33,J37,J41,J42,J43)</f>
        <v>2042.9449224226571</v>
      </c>
      <c r="K44" s="36"/>
      <c r="L44" s="6">
        <f>SUM(L33,L37,L41,L42,L43)</f>
        <v>1929.2728322711998</v>
      </c>
      <c r="M44" s="6"/>
      <c r="N44" s="13"/>
    </row>
    <row r="45" spans="1:73" ht="16.5" customHeight="1">
      <c r="A45" s="91" t="s">
        <v>53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92"/>
      <c r="M45" s="78"/>
      <c r="N45" s="78"/>
    </row>
    <row r="46" spans="1:73" ht="16.5" customHeight="1">
      <c r="A46" s="15" t="s">
        <v>54</v>
      </c>
      <c r="B46" s="15"/>
      <c r="C46" s="15"/>
      <c r="D46" s="15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73" ht="16.5" customHeight="1">
      <c r="A47" s="20" t="s">
        <v>55</v>
      </c>
      <c r="B47" s="41">
        <f>Contents!A16</f>
        <v>45183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95"/>
      <c r="P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</row>
    <row r="48" spans="1:73">
      <c r="O48" s="95"/>
      <c r="P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</row>
    <row r="49" spans="10:73">
      <c r="O49" s="95"/>
      <c r="P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</row>
    <row r="50" spans="10:73">
      <c r="O50" s="95"/>
      <c r="P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</row>
    <row r="51" spans="10:73">
      <c r="O51" s="95"/>
      <c r="P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</row>
    <row r="52" spans="10:73">
      <c r="J52" s="39"/>
      <c r="L52" s="39"/>
      <c r="O52" s="95"/>
      <c r="P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</row>
    <row r="53" spans="10:73">
      <c r="J53" s="39"/>
      <c r="L53" s="39"/>
      <c r="O53" s="95"/>
      <c r="P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</row>
    <row r="54" spans="10:73">
      <c r="J54" s="39"/>
      <c r="L54" s="39"/>
      <c r="O54" s="95"/>
      <c r="P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</row>
    <row r="55" spans="10:73">
      <c r="O55" s="95"/>
      <c r="P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</row>
    <row r="56" spans="10:73">
      <c r="O56" s="95"/>
      <c r="P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</row>
    <row r="57" spans="10:73">
      <c r="O57" s="95"/>
      <c r="P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</row>
    <row r="58" spans="10:73">
      <c r="O58" s="95"/>
      <c r="P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</row>
    <row r="59" spans="10:73">
      <c r="O59" s="95"/>
      <c r="P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</row>
    <row r="60" spans="10:73">
      <c r="O60" s="95"/>
      <c r="P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</row>
    <row r="61" spans="10:73">
      <c r="O61" s="95"/>
      <c r="P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</row>
    <row r="62" spans="10:73">
      <c r="O62" s="95"/>
      <c r="P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</row>
    <row r="63" spans="10:73">
      <c r="O63" s="95"/>
      <c r="P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</row>
    <row r="64" spans="10:73">
      <c r="O64" s="95"/>
      <c r="P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</row>
    <row r="65" spans="15:73">
      <c r="O65" s="95"/>
      <c r="P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</row>
    <row r="66" spans="15:73">
      <c r="O66" s="95"/>
      <c r="P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</row>
    <row r="67" spans="15:73">
      <c r="O67" s="95"/>
      <c r="P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</row>
    <row r="68" spans="15:73">
      <c r="O68" s="95"/>
      <c r="P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</row>
    <row r="69" spans="15:73">
      <c r="O69" s="95"/>
      <c r="P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</row>
    <row r="70" spans="15:73">
      <c r="O70" s="95"/>
      <c r="P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</row>
    <row r="71" spans="15:73">
      <c r="O71" s="95"/>
      <c r="P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</row>
    <row r="72" spans="15:73">
      <c r="O72" s="95"/>
      <c r="P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</row>
    <row r="73" spans="15:73">
      <c r="O73" s="95"/>
      <c r="P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</row>
    <row r="74" spans="15:73">
      <c r="O74" s="95"/>
      <c r="P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</row>
    <row r="75" spans="15:73"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</row>
    <row r="76" spans="15:73"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</row>
    <row r="77" spans="15:73"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</row>
    <row r="78" spans="15:73"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</row>
    <row r="79" spans="15:73"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</row>
    <row r="80" spans="15:73"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</row>
    <row r="81" spans="15:73"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</row>
    <row r="82" spans="15:73"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</row>
    <row r="83" spans="15:73"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</row>
    <row r="84" spans="15:73"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</row>
    <row r="85" spans="15:73"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</row>
    <row r="86" spans="15:73"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</row>
    <row r="87" spans="15:73"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</row>
    <row r="88" spans="15:73"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</row>
    <row r="89" spans="15:73"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</row>
    <row r="90" spans="15:73"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</row>
    <row r="91" spans="15:73"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</row>
    <row r="92" spans="15:73"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</row>
    <row r="93" spans="15:73"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</row>
    <row r="94" spans="15:73"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</row>
    <row r="95" spans="15:73"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</row>
    <row r="96" spans="15:73"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</row>
    <row r="97" spans="15:73"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</row>
    <row r="98" spans="15:73"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</row>
    <row r="99" spans="15:73"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</row>
    <row r="100" spans="15:73"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</row>
    <row r="101" spans="15:73"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</row>
    <row r="102" spans="15:73"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</row>
    <row r="103" spans="15:73"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</row>
    <row r="104" spans="15:73"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</row>
    <row r="105" spans="15:73"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</row>
    <row r="106" spans="15:73"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</row>
    <row r="107" spans="15:73"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</row>
    <row r="108" spans="15:73"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</row>
    <row r="109" spans="15:73"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</row>
    <row r="110" spans="15:73"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</row>
    <row r="111" spans="15:73"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</row>
    <row r="112" spans="15:73"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</row>
    <row r="113" spans="15:73"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</row>
    <row r="114" spans="15:73"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</row>
    <row r="115" spans="15:73"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</row>
    <row r="116" spans="15:73"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</row>
    <row r="117" spans="15:73"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</row>
    <row r="118" spans="15:73"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</row>
    <row r="119" spans="15:73"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</row>
    <row r="120" spans="15:73"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</row>
    <row r="121" spans="15:73"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</row>
    <row r="122" spans="15:73"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</row>
    <row r="123" spans="15:73"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</row>
    <row r="124" spans="15:73"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</row>
    <row r="125" spans="15:73"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</row>
    <row r="126" spans="15:73"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</row>
    <row r="127" spans="15:73"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</row>
    <row r="128" spans="15:73"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</row>
    <row r="129" spans="15:73"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</row>
    <row r="130" spans="15:73"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</row>
    <row r="131" spans="15:73"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</row>
    <row r="132" spans="15:73"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</row>
    <row r="133" spans="15:73"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</row>
    <row r="134" spans="15:73"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</row>
    <row r="135" spans="15:73"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</row>
    <row r="136" spans="15:73"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</row>
    <row r="137" spans="15:73"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</row>
    <row r="138" spans="15:73"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</row>
    <row r="139" spans="15:73"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</row>
    <row r="140" spans="15:73"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</row>
    <row r="141" spans="15:73"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</row>
    <row r="142" spans="15:73"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</row>
    <row r="143" spans="15:73"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</row>
    <row r="144" spans="15:73"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</row>
    <row r="145" spans="15:73"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</row>
    <row r="146" spans="15:73"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</row>
    <row r="147" spans="15:73"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</row>
    <row r="148" spans="15:73"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</row>
    <row r="149" spans="15:73"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</row>
    <row r="150" spans="15:73"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</row>
    <row r="151" spans="15:73"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</row>
    <row r="152" spans="15:73"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</row>
    <row r="153" spans="15:73"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</row>
    <row r="154" spans="15:73"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</row>
    <row r="155" spans="15:73"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</row>
    <row r="156" spans="15:73"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</row>
    <row r="157" spans="15:73"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</row>
    <row r="158" spans="15:73"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</row>
    <row r="159" spans="15:73"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</row>
    <row r="160" spans="15:73"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</row>
    <row r="161" spans="15:73"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</row>
    <row r="162" spans="15:73"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</row>
    <row r="163" spans="15:73"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</row>
    <row r="164" spans="15:73"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</row>
    <row r="165" spans="15:73"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</row>
    <row r="166" spans="15:73"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</row>
    <row r="167" spans="15:73"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</row>
    <row r="168" spans="15:73"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</row>
    <row r="169" spans="15:73"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</row>
    <row r="170" spans="15:73"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</row>
    <row r="171" spans="15:73"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</row>
    <row r="172" spans="15:73"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</row>
    <row r="173" spans="15:73"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</row>
    <row r="174" spans="15:73"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</row>
    <row r="175" spans="15:73"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</row>
    <row r="176" spans="15:73"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</row>
    <row r="177" spans="15:73"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</row>
    <row r="178" spans="15:73"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</row>
    <row r="179" spans="15:73"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</row>
    <row r="180" spans="15:73"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</row>
    <row r="181" spans="15:73"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</row>
    <row r="182" spans="15:73"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</row>
    <row r="183" spans="15:73"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</row>
    <row r="184" spans="15:73"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</row>
    <row r="185" spans="15:73"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</row>
    <row r="186" spans="15:73"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</row>
    <row r="187" spans="15:73"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</row>
    <row r="188" spans="15:73"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</row>
    <row r="189" spans="15:73"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</row>
    <row r="190" spans="15:73"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</row>
    <row r="191" spans="15:73"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</row>
    <row r="192" spans="15:73"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</row>
    <row r="193" spans="15:73"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</row>
    <row r="194" spans="15:73"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</row>
    <row r="195" spans="15:73"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</row>
    <row r="196" spans="15:73"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</row>
    <row r="197" spans="15:73"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</row>
    <row r="198" spans="15:73"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</row>
    <row r="199" spans="15:73"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</row>
    <row r="200" spans="15:73"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</row>
    <row r="201" spans="15:73"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</row>
    <row r="202" spans="15:73"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</row>
    <row r="203" spans="15:73"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</row>
    <row r="204" spans="15:73"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</row>
    <row r="205" spans="15:73"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</row>
    <row r="206" spans="15:73"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</row>
    <row r="207" spans="15:73"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</row>
    <row r="208" spans="15:73"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</row>
    <row r="209" spans="15:73"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</row>
    <row r="210" spans="15:73"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</row>
    <row r="211" spans="15:73"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</row>
    <row r="212" spans="15:73"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</row>
    <row r="213" spans="15:73"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</row>
    <row r="214" spans="15:73"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</row>
    <row r="215" spans="15:73"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</row>
    <row r="216" spans="15:73"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</row>
    <row r="217" spans="15:73"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</row>
    <row r="218" spans="15:73"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</row>
    <row r="219" spans="15:73"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</row>
    <row r="220" spans="15:73"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</row>
    <row r="221" spans="15:73"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</row>
    <row r="222" spans="15:73"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</row>
    <row r="223" spans="15:73"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</row>
    <row r="224" spans="15:73"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</row>
    <row r="225" spans="15:73"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</row>
    <row r="226" spans="15:73"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</row>
    <row r="227" spans="15:73"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</row>
    <row r="228" spans="15:73"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</row>
    <row r="229" spans="15:73"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</row>
    <row r="230" spans="15:73"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</row>
    <row r="231" spans="15:73"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</row>
    <row r="232" spans="15:73"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</row>
    <row r="233" spans="15:73"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</row>
    <row r="234" spans="15:73"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</row>
    <row r="235" spans="15:73"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</row>
    <row r="236" spans="15:73"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</row>
    <row r="237" spans="15:73"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</row>
    <row r="238" spans="15:73"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</row>
    <row r="239" spans="15:73"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</row>
    <row r="240" spans="15:73"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</row>
    <row r="241" spans="15:73"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</row>
    <row r="242" spans="15:73"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</row>
    <row r="243" spans="15:73"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</row>
    <row r="244" spans="15:73"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</row>
    <row r="245" spans="15:73"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</row>
    <row r="246" spans="15:73"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</row>
    <row r="247" spans="15:73"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</row>
    <row r="248" spans="15:73"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</row>
    <row r="249" spans="15:73"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</row>
    <row r="250" spans="15:73"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</row>
    <row r="251" spans="15:73"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</row>
    <row r="252" spans="15:73"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</row>
    <row r="253" spans="15:73"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</row>
    <row r="254" spans="15:73"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</row>
    <row r="255" spans="15:73"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</row>
    <row r="256" spans="15:73"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</row>
    <row r="257" spans="15:73"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</row>
    <row r="258" spans="15:73"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</row>
    <row r="259" spans="15:73"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</row>
    <row r="260" spans="15:73"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</row>
    <row r="261" spans="15:73"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</row>
    <row r="262" spans="15:73"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</row>
    <row r="263" spans="15:73"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</row>
    <row r="264" spans="15:73"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</row>
    <row r="265" spans="15:73"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</row>
    <row r="266" spans="15:73"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</row>
    <row r="267" spans="15:73"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</row>
    <row r="268" spans="15:73"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</row>
    <row r="269" spans="15:73"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</row>
    <row r="270" spans="15:73"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</row>
    <row r="271" spans="15:73"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</row>
    <row r="272" spans="15:73"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</row>
    <row r="273" spans="15:73"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</row>
    <row r="274" spans="15:73"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</row>
    <row r="275" spans="15:73"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</row>
    <row r="276" spans="15:73"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</row>
    <row r="277" spans="15:73"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</row>
    <row r="278" spans="15:73"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</row>
    <row r="279" spans="15:73"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</row>
    <row r="280" spans="15:73"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</row>
    <row r="281" spans="15:73"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</row>
    <row r="282" spans="15:73"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</row>
    <row r="283" spans="15:73"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</row>
    <row r="284" spans="15:73"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</row>
    <row r="285" spans="15:73"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</row>
    <row r="286" spans="15:73"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</row>
    <row r="287" spans="15:73"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</row>
    <row r="288" spans="15:73"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</row>
    <row r="289" spans="15:73"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</row>
    <row r="290" spans="15:73"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</row>
    <row r="291" spans="15:73"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</row>
    <row r="292" spans="15:73"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</row>
    <row r="293" spans="15:73"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</row>
    <row r="294" spans="15:73"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</row>
    <row r="295" spans="15:73"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</row>
    <row r="296" spans="15:73"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</row>
    <row r="297" spans="15:73"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</row>
    <row r="298" spans="15:73"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</row>
    <row r="299" spans="15:73"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</row>
    <row r="300" spans="15:73"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</row>
    <row r="301" spans="15:73"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</row>
    <row r="302" spans="15:73"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</row>
    <row r="303" spans="15:73"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</row>
    <row r="304" spans="15:73"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</row>
    <row r="305" spans="15:73"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</row>
    <row r="306" spans="15:73"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</row>
    <row r="307" spans="15:73"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</row>
    <row r="308" spans="15:73"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</row>
    <row r="309" spans="15:73"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</row>
    <row r="310" spans="15:73"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</row>
    <row r="311" spans="15:73"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</row>
    <row r="312" spans="15:73"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</row>
    <row r="313" spans="15:73"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</row>
    <row r="314" spans="15:73"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</row>
    <row r="315" spans="15:73"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</row>
    <row r="316" spans="15:73"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</row>
    <row r="317" spans="15:73"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</row>
    <row r="318" spans="15:73"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</row>
    <row r="319" spans="15:73"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</row>
    <row r="320" spans="15:73"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</row>
    <row r="321" spans="15:73"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</row>
    <row r="322" spans="15:73"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</row>
    <row r="323" spans="15:73"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</row>
    <row r="324" spans="15:73"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</row>
    <row r="325" spans="15:73"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</row>
    <row r="326" spans="15:73"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</row>
    <row r="327" spans="15:73"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</row>
    <row r="328" spans="15:73"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</row>
    <row r="329" spans="15:73"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</row>
    <row r="330" spans="15:73"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</row>
    <row r="331" spans="15:73"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</row>
    <row r="332" spans="15:73"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</row>
    <row r="333" spans="15:73"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</row>
    <row r="334" spans="15:73"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</row>
    <row r="335" spans="15:73"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</row>
    <row r="336" spans="15:73"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</row>
    <row r="337" spans="15:73"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</row>
    <row r="338" spans="15:73"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</row>
    <row r="339" spans="15:73"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</row>
    <row r="340" spans="15:73"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</row>
    <row r="341" spans="15:73"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</row>
    <row r="342" spans="15:73"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</row>
    <row r="343" spans="15:73"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</row>
    <row r="344" spans="15:73"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</row>
    <row r="345" spans="15:73"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</row>
    <row r="346" spans="15:73"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</row>
    <row r="347" spans="15:73"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</row>
    <row r="348" spans="15:73"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</row>
    <row r="349" spans="15:73"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</row>
    <row r="350" spans="15:73"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</row>
    <row r="351" spans="15:73"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</row>
    <row r="352" spans="15:73"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</row>
    <row r="353" spans="15:73"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</row>
    <row r="354" spans="15:73"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</row>
    <row r="355" spans="15:73"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</row>
    <row r="356" spans="15:73"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</row>
    <row r="357" spans="15:73"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</row>
    <row r="358" spans="15:73"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</row>
    <row r="359" spans="15:73"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</row>
    <row r="360" spans="15:73"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</row>
    <row r="361" spans="15:73"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</row>
    <row r="362" spans="15:73"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</row>
    <row r="363" spans="15:73"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</row>
    <row r="364" spans="15:73"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</row>
    <row r="365" spans="15:73"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</row>
    <row r="366" spans="15:73"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</row>
    <row r="367" spans="15:73"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</row>
    <row r="368" spans="15:73"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</row>
    <row r="369" spans="15:73"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</row>
    <row r="370" spans="15:73"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</row>
    <row r="371" spans="15:73"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</row>
    <row r="372" spans="15:73"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</row>
    <row r="373" spans="15:73"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</row>
    <row r="374" spans="15:73"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</row>
    <row r="375" spans="15:73"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</row>
    <row r="376" spans="15:73"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</row>
    <row r="377" spans="15:73"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</row>
    <row r="378" spans="15:73"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</row>
    <row r="379" spans="15:73"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</row>
    <row r="380" spans="15:73"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</row>
    <row r="381" spans="15:73"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</row>
    <row r="382" spans="15:73"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</row>
    <row r="383" spans="15:73"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</row>
    <row r="384" spans="15:73"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</row>
    <row r="385" spans="15:73"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</row>
    <row r="386" spans="15:73"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</row>
    <row r="387" spans="15:73"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</row>
    <row r="388" spans="15:73"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</row>
    <row r="389" spans="15:73"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</row>
    <row r="390" spans="15:73"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</row>
    <row r="391" spans="15:73"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</row>
    <row r="392" spans="15:73"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</row>
    <row r="393" spans="15:73"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</row>
    <row r="394" spans="15:73"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</row>
    <row r="395" spans="15:73"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</row>
    <row r="396" spans="15:73"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</row>
    <row r="397" spans="15:73"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</row>
    <row r="398" spans="15:73"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</row>
    <row r="399" spans="15:73"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</row>
    <row r="400" spans="15:73"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</row>
    <row r="401" spans="15:73"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</row>
    <row r="402" spans="15:73"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</row>
    <row r="403" spans="15:73"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</row>
    <row r="404" spans="15:73"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</row>
    <row r="405" spans="15:73"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</row>
    <row r="406" spans="15:73"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</row>
    <row r="407" spans="15:73"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</row>
    <row r="408" spans="15:73"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</row>
    <row r="409" spans="15:73"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</row>
    <row r="410" spans="15:73"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</row>
    <row r="411" spans="15:73"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</row>
    <row r="412" spans="15:73"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</row>
    <row r="413" spans="15:73"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</row>
    <row r="414" spans="15:73"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</row>
    <row r="415" spans="15:73"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</row>
    <row r="416" spans="15:73"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</row>
    <row r="417" spans="15:73"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</row>
    <row r="418" spans="15:73"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</row>
    <row r="419" spans="15:73"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</row>
    <row r="420" spans="15:73"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</row>
    <row r="421" spans="15:73"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</row>
    <row r="422" spans="15:73"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</row>
    <row r="423" spans="15:73"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</row>
    <row r="424" spans="15:73"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</row>
    <row r="425" spans="15:73"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</row>
    <row r="426" spans="15:73"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</row>
    <row r="427" spans="15:73"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</row>
    <row r="428" spans="15:73"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</row>
    <row r="429" spans="15:73"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</row>
    <row r="430" spans="15:73"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</row>
    <row r="431" spans="15:73"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</row>
    <row r="432" spans="15:73"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</row>
    <row r="433" spans="15:73"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</row>
    <row r="434" spans="15:73"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</row>
    <row r="435" spans="15:73"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</row>
    <row r="436" spans="15:73"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</row>
    <row r="437" spans="15:73"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</row>
    <row r="438" spans="15:73"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</row>
    <row r="439" spans="15:73"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</row>
    <row r="440" spans="15:73"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</row>
    <row r="441" spans="15:73"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</row>
    <row r="442" spans="15:73"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</row>
    <row r="443" spans="15:73"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</row>
    <row r="444" spans="15:73"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</row>
    <row r="445" spans="15:73"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</row>
    <row r="446" spans="15:73"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</row>
    <row r="447" spans="15:73"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</row>
    <row r="448" spans="15:73"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</row>
    <row r="449" spans="15:73"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</row>
    <row r="450" spans="15:73"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</row>
    <row r="451" spans="15:73"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</row>
    <row r="452" spans="15:73"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</row>
    <row r="453" spans="15:73"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</row>
    <row r="454" spans="15:73"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</row>
    <row r="455" spans="15:73"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</row>
    <row r="456" spans="15:73"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</row>
    <row r="457" spans="15:73"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</row>
    <row r="458" spans="15:73"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</row>
    <row r="459" spans="15:73"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</row>
    <row r="460" spans="15:73"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</row>
    <row r="461" spans="15:73"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</row>
    <row r="462" spans="15:73"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</row>
    <row r="463" spans="15:73"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</row>
    <row r="464" spans="15:73"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</row>
    <row r="465" spans="15:73"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</row>
    <row r="466" spans="15:73"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</row>
    <row r="467" spans="15:73"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</row>
    <row r="468" spans="15:73"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</row>
    <row r="469" spans="15:73"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</row>
    <row r="470" spans="15:73"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</row>
    <row r="471" spans="15:73"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</row>
    <row r="472" spans="15:73"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</row>
    <row r="473" spans="15:73"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</row>
    <row r="474" spans="15:73"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</row>
    <row r="475" spans="15:73"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</row>
    <row r="476" spans="15:73"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</row>
    <row r="477" spans="15:73"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</row>
    <row r="478" spans="15:73"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</row>
    <row r="479" spans="15:73"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</row>
    <row r="480" spans="15:73"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</row>
    <row r="481" spans="15:73"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</row>
    <row r="482" spans="15:73"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</row>
    <row r="483" spans="15:73"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</row>
    <row r="484" spans="15:73"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</row>
    <row r="485" spans="15:73"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</row>
    <row r="486" spans="15:73"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</row>
    <row r="487" spans="15:73"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</row>
    <row r="488" spans="15:73"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</row>
    <row r="489" spans="15:73"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</row>
    <row r="490" spans="15:73"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</row>
    <row r="491" spans="15:73"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</row>
    <row r="492" spans="15:73"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</row>
    <row r="493" spans="15:73"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</row>
    <row r="494" spans="15:73"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</row>
    <row r="495" spans="15:73"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</row>
    <row r="496" spans="15:73"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</row>
    <row r="497" spans="15:73"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</row>
    <row r="498" spans="15:73"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</row>
    <row r="499" spans="15:73"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</row>
    <row r="500" spans="15:73"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</row>
    <row r="501" spans="15:73"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</row>
    <row r="502" spans="15:73"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</row>
    <row r="503" spans="15:73"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</row>
    <row r="504" spans="15:73"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</row>
    <row r="505" spans="15:73"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</row>
    <row r="506" spans="15:73"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</row>
    <row r="507" spans="15:73"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</row>
    <row r="508" spans="15:73"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</row>
    <row r="509" spans="15:73"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</row>
    <row r="510" spans="15:73"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</row>
    <row r="511" spans="15:73"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</row>
    <row r="512" spans="15:73"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</row>
    <row r="513" spans="15:73"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</row>
    <row r="514" spans="15:73"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</row>
    <row r="515" spans="15:73"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</row>
    <row r="516" spans="15:73"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</row>
    <row r="517" spans="15:73"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</row>
    <row r="518" spans="15:73"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</row>
    <row r="519" spans="15:73"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</row>
    <row r="520" spans="15:73"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</row>
    <row r="521" spans="15:73"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</row>
    <row r="522" spans="15:73"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</row>
    <row r="523" spans="15:73"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</row>
    <row r="524" spans="15:73"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</row>
    <row r="525" spans="15:73"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</row>
    <row r="526" spans="15:73"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</row>
    <row r="527" spans="15:73"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</row>
    <row r="528" spans="15:73"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</row>
    <row r="529" spans="15:73"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</row>
    <row r="530" spans="15:73"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</row>
    <row r="531" spans="15:73"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</row>
    <row r="532" spans="15:73"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</row>
    <row r="533" spans="15:73"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</row>
    <row r="534" spans="15:73"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</row>
    <row r="535" spans="15:73"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</row>
    <row r="536" spans="15:73"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</row>
    <row r="537" spans="15:73"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</row>
    <row r="538" spans="15:73"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</row>
    <row r="539" spans="15:73"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</row>
    <row r="540" spans="15:73"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</row>
    <row r="541" spans="15:73"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</row>
    <row r="542" spans="15:73"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</row>
    <row r="543" spans="15:73"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</row>
    <row r="544" spans="15:73"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</row>
  </sheetData>
  <dataConsolidate link="1"/>
  <phoneticPr fontId="34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0"/>
  <sheetViews>
    <sheetView showGridLines="0" zoomScale="70" zoomScaleNormal="70" workbookViewId="0"/>
  </sheetViews>
  <sheetFormatPr defaultColWidth="9.109375" defaultRowHeight="13.2"/>
  <cols>
    <col min="1" max="1" width="16" customWidth="1"/>
    <col min="2" max="2" width="12.33203125" bestFit="1" customWidth="1"/>
    <col min="3" max="3" width="13" bestFit="1" customWidth="1"/>
    <col min="4" max="4" width="11" bestFit="1" customWidth="1"/>
    <col min="5" max="5" width="11.5546875" bestFit="1" customWidth="1"/>
    <col min="6" max="6" width="1.6640625" customWidth="1"/>
    <col min="7" max="9" width="11.5546875" bestFit="1" customWidth="1"/>
    <col min="10" max="10" width="10.6640625" customWidth="1"/>
    <col min="11" max="11" width="13.5546875" customWidth="1"/>
    <col min="12" max="12" width="11.664062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60" t="s">
        <v>56</v>
      </c>
      <c r="C2" s="160"/>
      <c r="D2" s="160"/>
      <c r="E2" s="160"/>
      <c r="F2" s="15"/>
      <c r="G2" s="160" t="s">
        <v>57</v>
      </c>
      <c r="H2" s="160"/>
      <c r="I2" s="160"/>
      <c r="J2" s="15"/>
    </row>
    <row r="3" spans="1:12" ht="13.8">
      <c r="A3" s="15" t="s">
        <v>16</v>
      </c>
      <c r="B3" s="17" t="s">
        <v>19</v>
      </c>
      <c r="C3" s="20"/>
      <c r="D3" s="20"/>
      <c r="E3" s="20"/>
      <c r="F3" s="20"/>
      <c r="G3" s="20"/>
      <c r="H3" s="20"/>
      <c r="I3" s="20"/>
      <c r="J3" s="17" t="s">
        <v>58</v>
      </c>
    </row>
    <row r="4" spans="1:12" ht="13.8">
      <c r="A4" s="21" t="s">
        <v>59</v>
      </c>
      <c r="B4" s="23" t="s">
        <v>60</v>
      </c>
      <c r="C4" s="23" t="s">
        <v>25</v>
      </c>
      <c r="D4" s="23" t="s">
        <v>26</v>
      </c>
      <c r="E4" s="25" t="s">
        <v>61</v>
      </c>
      <c r="F4" s="24"/>
      <c r="G4" s="23" t="s">
        <v>62</v>
      </c>
      <c r="H4" s="23" t="s">
        <v>63</v>
      </c>
      <c r="I4" s="23" t="s">
        <v>61</v>
      </c>
      <c r="J4" s="23" t="s">
        <v>64</v>
      </c>
    </row>
    <row r="5" spans="1:12" ht="14.4">
      <c r="A5" s="15"/>
      <c r="B5" s="161" t="s">
        <v>65</v>
      </c>
      <c r="C5" s="161"/>
      <c r="D5" s="161"/>
      <c r="E5" s="161"/>
      <c r="F5" s="161"/>
      <c r="G5" s="161"/>
      <c r="H5" s="161"/>
      <c r="I5" s="161"/>
      <c r="J5" s="161"/>
    </row>
    <row r="6" spans="1:12" ht="13.8">
      <c r="A6" s="15" t="s">
        <v>33</v>
      </c>
      <c r="B6" s="42">
        <v>340.786</v>
      </c>
      <c r="C6" s="43">
        <f>C23</f>
        <v>51814.455000000002</v>
      </c>
      <c r="D6" s="43">
        <f>D23</f>
        <v>654.51012091299992</v>
      </c>
      <c r="E6" s="32">
        <f>E23</f>
        <v>52809.751120913003</v>
      </c>
      <c r="F6" s="43"/>
      <c r="G6" s="43">
        <f>G23</f>
        <v>38958.712443149998</v>
      </c>
      <c r="H6" s="43">
        <f>H23</f>
        <v>13540.111898224999</v>
      </c>
      <c r="I6" s="43">
        <f>I23</f>
        <v>52498.824231143997</v>
      </c>
      <c r="J6" s="43">
        <f>J22</f>
        <v>310.92700000000002</v>
      </c>
    </row>
    <row r="7" spans="1:12" ht="16.2">
      <c r="A7" s="15" t="s">
        <v>34</v>
      </c>
      <c r="B7" s="42">
        <f>J6</f>
        <v>310.92700000000002</v>
      </c>
      <c r="C7" s="43">
        <v>52564.07</v>
      </c>
      <c r="D7" s="43">
        <v>625</v>
      </c>
      <c r="E7" s="32">
        <f>SUM(B7:D7)</f>
        <v>53499.997000000003</v>
      </c>
      <c r="F7" s="43"/>
      <c r="G7" s="43">
        <v>38750</v>
      </c>
      <c r="H7" s="43">
        <v>14400</v>
      </c>
      <c r="I7" s="43">
        <f>G7+H7</f>
        <v>53150</v>
      </c>
      <c r="J7" s="43">
        <f>E7-I7</f>
        <v>349.99700000000303</v>
      </c>
    </row>
    <row r="8" spans="1:12" ht="16.2">
      <c r="A8" s="15" t="s">
        <v>35</v>
      </c>
      <c r="B8" s="42">
        <f>J7</f>
        <v>349.99700000000303</v>
      </c>
      <c r="C8" s="43">
        <v>53975</v>
      </c>
      <c r="D8" s="43">
        <v>600</v>
      </c>
      <c r="E8" s="32">
        <f>SUM(B8:D8)</f>
        <v>54924.997000000003</v>
      </c>
      <c r="F8" s="43"/>
      <c r="G8" s="43">
        <v>39425</v>
      </c>
      <c r="H8" s="43">
        <v>15100</v>
      </c>
      <c r="I8" s="43">
        <f>G8+H8</f>
        <v>54525</v>
      </c>
      <c r="J8" s="43">
        <f>E8-I8</f>
        <v>399.99700000000303</v>
      </c>
    </row>
    <row r="9" spans="1:12" ht="13.8">
      <c r="A9" s="15"/>
      <c r="B9" s="44"/>
      <c r="C9" s="44"/>
      <c r="D9" s="44"/>
      <c r="E9" s="44"/>
      <c r="F9" s="44"/>
      <c r="G9" s="43"/>
      <c r="H9" s="44"/>
      <c r="I9" s="44"/>
      <c r="J9" s="44"/>
    </row>
    <row r="10" spans="1:12" ht="13.8">
      <c r="A10" s="35" t="s">
        <v>33</v>
      </c>
      <c r="B10" s="45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37</v>
      </c>
      <c r="B11" s="45">
        <f>B6</f>
        <v>340.786</v>
      </c>
      <c r="C11" s="6">
        <v>4591.6390000000001</v>
      </c>
      <c r="D11" s="6">
        <f>(56544.1*1.10231)/1000</f>
        <v>62.329126870999993</v>
      </c>
      <c r="E11" s="6">
        <f t="shared" ref="E11:E22" si="0">SUM(B11:D11)</f>
        <v>4994.7541268710002</v>
      </c>
      <c r="F11" s="6"/>
      <c r="G11" s="6">
        <f t="shared" ref="G11:G22" si="1">I11-H11</f>
        <v>3492.8224392370003</v>
      </c>
      <c r="H11" s="6">
        <f>(989241.4*1.10231)/1000</f>
        <v>1090.4506876339999</v>
      </c>
      <c r="I11" s="5">
        <f t="shared" ref="I11:I22" si="2">E11-J11</f>
        <v>4583.2731268710004</v>
      </c>
      <c r="J11" s="6">
        <v>411.48099999999999</v>
      </c>
      <c r="K11" s="96"/>
      <c r="L11" s="100"/>
    </row>
    <row r="12" spans="1:12" ht="14.4">
      <c r="A12" s="15" t="s">
        <v>38</v>
      </c>
      <c r="B12" s="45">
        <f t="shared" ref="B12:B19" si="3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0"/>
        <v>4905.4267354430003</v>
      </c>
      <c r="F12" s="6"/>
      <c r="G12" s="6">
        <f t="shared" si="1"/>
        <v>3282.1252583210003</v>
      </c>
      <c r="H12" s="6">
        <f>(1131886.2*1.10231)/1000</f>
        <v>1247.689477122</v>
      </c>
      <c r="I12" s="5">
        <f t="shared" si="2"/>
        <v>4529.8147354430002</v>
      </c>
      <c r="J12" s="6">
        <v>375.61200000000002</v>
      </c>
      <c r="K12" s="96"/>
      <c r="L12" s="100"/>
    </row>
    <row r="13" spans="1:12" ht="14.4">
      <c r="A13" s="15" t="s">
        <v>40</v>
      </c>
      <c r="B13" s="45">
        <f t="shared" si="3"/>
        <v>375.61200000000002</v>
      </c>
      <c r="C13" s="6">
        <v>4629.5519999999997</v>
      </c>
      <c r="D13" s="6">
        <f>(33571.6*1.10231)/1000</f>
        <v>37.006310395999996</v>
      </c>
      <c r="E13" s="6">
        <f t="shared" si="0"/>
        <v>5042.1703103959999</v>
      </c>
      <c r="F13" s="6"/>
      <c r="G13" s="6">
        <f t="shared" si="1"/>
        <v>3225.7453203929999</v>
      </c>
      <c r="H13" s="6">
        <f>(1274701.3*1.10231)/1000</f>
        <v>1405.115990003</v>
      </c>
      <c r="I13" s="5">
        <f t="shared" si="2"/>
        <v>4630.8613103959997</v>
      </c>
      <c r="J13" s="6">
        <v>411.30900000000003</v>
      </c>
      <c r="K13" s="96"/>
      <c r="L13" s="100"/>
    </row>
    <row r="14" spans="1:12" ht="14.4">
      <c r="A14" s="15" t="s">
        <v>41</v>
      </c>
      <c r="B14" s="45">
        <f t="shared" si="3"/>
        <v>411.30900000000003</v>
      </c>
      <c r="C14" s="6">
        <v>4533.1530000000002</v>
      </c>
      <c r="D14" s="6">
        <f>(40245.8*1.10231)/1000</f>
        <v>44.363347798</v>
      </c>
      <c r="E14" s="6">
        <f t="shared" si="0"/>
        <v>4988.8253477980006</v>
      </c>
      <c r="F14" s="6"/>
      <c r="G14" s="6">
        <f t="shared" si="1"/>
        <v>3261.1777285130011</v>
      </c>
      <c r="H14" s="6">
        <f>(1176523.5*1.10231)/1000</f>
        <v>1296.8936192849999</v>
      </c>
      <c r="I14" s="5">
        <f t="shared" si="2"/>
        <v>4558.0713477980007</v>
      </c>
      <c r="J14" s="6">
        <v>430.75400000000002</v>
      </c>
      <c r="K14" s="96"/>
      <c r="L14" s="100"/>
    </row>
    <row r="15" spans="1:12" ht="14.4">
      <c r="A15" s="15" t="s">
        <v>42</v>
      </c>
      <c r="B15" s="45">
        <f t="shared" si="3"/>
        <v>430.75400000000002</v>
      </c>
      <c r="C15" s="6">
        <v>4089.9549999999999</v>
      </c>
      <c r="D15" s="6">
        <f>(46708.1*1.10231)/1000</f>
        <v>51.486805710999995</v>
      </c>
      <c r="E15" s="6">
        <f t="shared" si="0"/>
        <v>4572.1958057109996</v>
      </c>
      <c r="F15" s="6"/>
      <c r="G15" s="6">
        <f t="shared" si="1"/>
        <v>3111.5948929989995</v>
      </c>
      <c r="H15" s="6">
        <f>(974975.2*1.10231)/1000</f>
        <v>1074.7249127119999</v>
      </c>
      <c r="I15" s="5">
        <f t="shared" si="2"/>
        <v>4186.3198057109994</v>
      </c>
      <c r="J15" s="6">
        <v>385.87600000000003</v>
      </c>
      <c r="K15" s="96"/>
      <c r="L15" s="100"/>
    </row>
    <row r="16" spans="1:12" ht="14.4">
      <c r="A16" s="15" t="s">
        <v>44</v>
      </c>
      <c r="B16" s="45">
        <f t="shared" si="3"/>
        <v>385.87600000000003</v>
      </c>
      <c r="C16" s="6">
        <v>4549.6310000000003</v>
      </c>
      <c r="D16" s="6">
        <f>(36595.5*1.10231)/1000</f>
        <v>40.339585604999996</v>
      </c>
      <c r="E16" s="6">
        <f t="shared" si="0"/>
        <v>4975.8465856050007</v>
      </c>
      <c r="F16" s="6"/>
      <c r="G16" s="6">
        <f t="shared" si="1"/>
        <v>3358.6433219240007</v>
      </c>
      <c r="H16" s="6">
        <f>(1121495.1*1.10231)/1000</f>
        <v>1236.2352636810001</v>
      </c>
      <c r="I16" s="5">
        <f t="shared" si="2"/>
        <v>4594.8785856050008</v>
      </c>
      <c r="J16" s="6">
        <v>380.96799999999996</v>
      </c>
      <c r="K16" s="96"/>
      <c r="L16" s="100"/>
    </row>
    <row r="17" spans="1:12" ht="14.4">
      <c r="A17" s="15" t="s">
        <v>45</v>
      </c>
      <c r="B17" s="45">
        <f t="shared" si="3"/>
        <v>380.96799999999996</v>
      </c>
      <c r="C17" s="6">
        <v>4254.5450000000001</v>
      </c>
      <c r="D17" s="6">
        <f>(43906*1.10231)/1000</f>
        <v>48.398022859999998</v>
      </c>
      <c r="E17" s="6">
        <f t="shared" si="0"/>
        <v>4683.9110228600002</v>
      </c>
      <c r="F17" s="6"/>
      <c r="G17" s="6">
        <f t="shared" si="1"/>
        <v>3059.0861262310009</v>
      </c>
      <c r="H17" s="6">
        <f>(1070305.9*1.10231)/1000</f>
        <v>1179.8088966289999</v>
      </c>
      <c r="I17" s="5">
        <f t="shared" si="2"/>
        <v>4238.8950228600006</v>
      </c>
      <c r="J17" s="6">
        <v>445.01600000000002</v>
      </c>
      <c r="K17" s="96"/>
      <c r="L17" s="100"/>
    </row>
    <row r="18" spans="1:12" ht="14.4">
      <c r="A18" s="15" t="s">
        <v>46</v>
      </c>
      <c r="B18" s="45">
        <f t="shared" si="3"/>
        <v>445.01600000000002</v>
      </c>
      <c r="C18" s="6">
        <v>4260.0889999999999</v>
      </c>
      <c r="D18" s="101">
        <f>(77175.9*1.10231)/1000</f>
        <v>85.071766328999985</v>
      </c>
      <c r="E18" s="6">
        <f t="shared" si="0"/>
        <v>4790.1767663289993</v>
      </c>
      <c r="F18" s="6"/>
      <c r="G18" s="6">
        <f t="shared" si="1"/>
        <v>3205.4898923439991</v>
      </c>
      <c r="H18" s="101">
        <f>(1016893.5*1.10231)/1000</f>
        <v>1120.931873985</v>
      </c>
      <c r="I18" s="5">
        <f t="shared" si="2"/>
        <v>4326.4217663289992</v>
      </c>
      <c r="J18" s="6">
        <v>463.755</v>
      </c>
      <c r="K18" s="96"/>
      <c r="L18" s="100"/>
    </row>
    <row r="19" spans="1:12" ht="14.4">
      <c r="A19" s="15" t="s">
        <v>48</v>
      </c>
      <c r="B19" s="45">
        <f t="shared" si="3"/>
        <v>463.755</v>
      </c>
      <c r="C19" s="6">
        <v>4106.5650000000005</v>
      </c>
      <c r="D19" s="101">
        <f>(61421.4*1.10231)/1000</f>
        <v>67.705423433999997</v>
      </c>
      <c r="E19" s="6">
        <f t="shared" si="0"/>
        <v>4638.0254234340009</v>
      </c>
      <c r="F19" s="6"/>
      <c r="G19" s="6">
        <f t="shared" si="1"/>
        <v>3118.3433548350013</v>
      </c>
      <c r="H19" s="101">
        <f>(1054492.9*1.10231)/1000</f>
        <v>1162.3780685989998</v>
      </c>
      <c r="I19" s="5">
        <f t="shared" si="2"/>
        <v>4280.7214234340008</v>
      </c>
      <c r="J19" s="6">
        <v>357.30399999999997</v>
      </c>
      <c r="K19" s="96"/>
    </row>
    <row r="20" spans="1:12" ht="14.4">
      <c r="A20" s="15" t="s">
        <v>49</v>
      </c>
      <c r="B20" s="45">
        <f>J19</f>
        <v>357.30399999999997</v>
      </c>
      <c r="C20" s="6">
        <v>4270.28</v>
      </c>
      <c r="D20" s="101">
        <f>(67308.7*1.10231)/1000</f>
        <v>74.195053096999999</v>
      </c>
      <c r="E20" s="6">
        <f t="shared" si="0"/>
        <v>4701.7790530969996</v>
      </c>
      <c r="F20" s="6"/>
      <c r="G20" s="6">
        <f t="shared" si="1"/>
        <v>3245.3890736799999</v>
      </c>
      <c r="H20" s="101">
        <f>(843380.7*1.10231)/1000</f>
        <v>929.66697941699988</v>
      </c>
      <c r="I20" s="5">
        <f t="shared" si="2"/>
        <v>4175.0560530969997</v>
      </c>
      <c r="J20" s="6">
        <v>526.72299999999996</v>
      </c>
      <c r="K20" s="96"/>
    </row>
    <row r="21" spans="1:12" ht="14.4">
      <c r="A21" s="15" t="s">
        <v>50</v>
      </c>
      <c r="B21" s="45">
        <f>J20</f>
        <v>526.72299999999996</v>
      </c>
      <c r="C21" s="6">
        <v>4147.2370000000001</v>
      </c>
      <c r="D21" s="101">
        <f>(45440.9*1.10231)/1000</f>
        <v>50.089958478999996</v>
      </c>
      <c r="E21" s="6">
        <f t="shared" si="0"/>
        <v>4724.0499584790005</v>
      </c>
      <c r="F21" s="6"/>
      <c r="G21" s="6">
        <f t="shared" si="1"/>
        <v>3479.0613874090009</v>
      </c>
      <c r="H21" s="101">
        <f>(813797*1.10231)/1000</f>
        <v>897.0565710699999</v>
      </c>
      <c r="I21" s="5">
        <f t="shared" si="2"/>
        <v>4376.1179584790007</v>
      </c>
      <c r="J21" s="6">
        <v>347.93200000000002</v>
      </c>
      <c r="K21" s="96"/>
    </row>
    <row r="22" spans="1:12" ht="14.4">
      <c r="A22" s="15" t="s">
        <v>36</v>
      </c>
      <c r="B22" s="45">
        <f>J21</f>
        <v>347.93200000000002</v>
      </c>
      <c r="C22" s="6">
        <v>3925.0389999999998</v>
      </c>
      <c r="D22" s="101">
        <f>(51119.1*1.10231)/1000</f>
        <v>56.349095120999991</v>
      </c>
      <c r="E22" s="6">
        <f t="shared" si="0"/>
        <v>4329.3200951209992</v>
      </c>
      <c r="F22" s="6"/>
      <c r="G22" s="6">
        <f t="shared" si="1"/>
        <v>3119.233647263999</v>
      </c>
      <c r="H22" s="101">
        <f>(815704.7*1.10231)/1000</f>
        <v>899.1594478569998</v>
      </c>
      <c r="I22" s="5">
        <f t="shared" si="2"/>
        <v>4018.3930951209991</v>
      </c>
      <c r="J22" s="6">
        <v>310.92700000000002</v>
      </c>
      <c r="K22" s="104"/>
    </row>
    <row r="23" spans="1:12" ht="14.4">
      <c r="A23" s="15" t="s">
        <v>27</v>
      </c>
      <c r="B23" s="45"/>
      <c r="C23" s="6">
        <f>SUM(C11:C22)</f>
        <v>51814.455000000002</v>
      </c>
      <c r="D23" s="6">
        <f>(593762.3*1.10231)/1000</f>
        <v>654.51012091299992</v>
      </c>
      <c r="E23" s="6">
        <f>B11+C23+D23</f>
        <v>52809.751120913003</v>
      </c>
      <c r="F23" s="6"/>
      <c r="G23" s="6">
        <f>SUM(G11:G22)</f>
        <v>38958.712443149998</v>
      </c>
      <c r="H23" s="32">
        <f>(12283397.5*1.10231)/1000</f>
        <v>13540.111898224999</v>
      </c>
      <c r="I23" s="6">
        <f>SUM(I11:I22)</f>
        <v>52498.824231143997</v>
      </c>
      <c r="J23" s="6"/>
      <c r="K23" s="96"/>
    </row>
    <row r="24" spans="1:12" ht="14.4">
      <c r="A24" s="15"/>
      <c r="B24" s="45"/>
      <c r="C24" s="6"/>
      <c r="D24" s="6"/>
      <c r="E24" s="6"/>
      <c r="F24" s="6"/>
      <c r="G24" s="6"/>
      <c r="H24" s="6"/>
      <c r="I24" s="6"/>
      <c r="J24" s="6"/>
      <c r="K24" s="96"/>
    </row>
    <row r="25" spans="1:12" ht="14.4">
      <c r="A25" s="35" t="s">
        <v>52</v>
      </c>
      <c r="B25" s="45"/>
      <c r="C25" s="6"/>
      <c r="D25" s="6"/>
      <c r="E25" s="6"/>
      <c r="F25" s="6"/>
      <c r="G25" s="6"/>
      <c r="H25" s="6"/>
      <c r="I25" s="6"/>
      <c r="J25" s="6"/>
      <c r="K25" s="96"/>
    </row>
    <row r="26" spans="1:12" ht="14.4">
      <c r="A26" s="15" t="s">
        <v>37</v>
      </c>
      <c r="B26" s="45">
        <f>J22</f>
        <v>310.92700000000002</v>
      </c>
      <c r="C26" s="6">
        <v>4603.3959999999997</v>
      </c>
      <c r="D26" s="6">
        <f>(52509.6*1.10231)/1000</f>
        <v>57.88185717599999</v>
      </c>
      <c r="E26" s="6">
        <f t="shared" ref="E26:E35" si="4">SUM(B26:D26)</f>
        <v>4972.2048571759997</v>
      </c>
      <c r="F26" s="6"/>
      <c r="G26" s="6">
        <f t="shared" ref="G26:G35" si="5">I26-H26</f>
        <v>3639.9264505289998</v>
      </c>
      <c r="H26" s="6">
        <f>(865513.7*1.10231)/1000</f>
        <v>954.06440664699983</v>
      </c>
      <c r="I26" s="5">
        <f t="shared" ref="I26:I35" si="6">E26-J26</f>
        <v>4593.9908571759997</v>
      </c>
      <c r="J26" s="6">
        <v>378.214</v>
      </c>
      <c r="K26" s="96"/>
    </row>
    <row r="27" spans="1:12" ht="14.4">
      <c r="A27" s="15" t="s">
        <v>38</v>
      </c>
      <c r="B27" s="45">
        <f t="shared" ref="B27:B32" si="7">J26</f>
        <v>378.214</v>
      </c>
      <c r="C27" s="6">
        <v>4469.9660000000003</v>
      </c>
      <c r="D27" s="6">
        <f>(53341.5*1.10231)/1000</f>
        <v>58.798868864999996</v>
      </c>
      <c r="E27" s="6">
        <f t="shared" si="4"/>
        <v>4906.9788688650005</v>
      </c>
      <c r="F27" s="6"/>
      <c r="G27" s="6">
        <f t="shared" si="5"/>
        <v>3367.700833154001</v>
      </c>
      <c r="H27" s="6">
        <f>(1079708.1*1.10231)/1000</f>
        <v>1190.173035711</v>
      </c>
      <c r="I27" s="5">
        <f t="shared" si="6"/>
        <v>4557.873868865001</v>
      </c>
      <c r="J27" s="6">
        <v>349.10500000000002</v>
      </c>
      <c r="K27" s="96"/>
    </row>
    <row r="28" spans="1:12" ht="14.4">
      <c r="A28" s="15" t="s">
        <v>40</v>
      </c>
      <c r="B28" s="45">
        <f t="shared" si="7"/>
        <v>349.10500000000002</v>
      </c>
      <c r="C28" s="6">
        <v>4437.4089999999997</v>
      </c>
      <c r="D28" s="6">
        <f>(32194.3*1.10231)/1000</f>
        <v>35.488098832999995</v>
      </c>
      <c r="E28" s="6">
        <f t="shared" si="4"/>
        <v>4822.0020988329989</v>
      </c>
      <c r="F28" s="6"/>
      <c r="G28" s="6">
        <f t="shared" si="5"/>
        <v>3173.9462998459985</v>
      </c>
      <c r="H28" s="6">
        <f>(1081527.7*1.10231)/1000</f>
        <v>1192.1787989869997</v>
      </c>
      <c r="I28" s="5">
        <f t="shared" si="6"/>
        <v>4366.1250988329984</v>
      </c>
      <c r="J28" s="6">
        <v>455.87700000000001</v>
      </c>
      <c r="K28" s="96"/>
    </row>
    <row r="29" spans="1:12" ht="14.4">
      <c r="A29" s="15" t="s">
        <v>41</v>
      </c>
      <c r="B29" s="45">
        <f t="shared" si="7"/>
        <v>455.87700000000001</v>
      </c>
      <c r="C29" s="6">
        <v>4540.9090000000006</v>
      </c>
      <c r="D29" s="6">
        <f>(87357.8*1.10231)/1000</f>
        <v>96.295376517999983</v>
      </c>
      <c r="E29" s="6">
        <f t="shared" si="4"/>
        <v>5093.081376518001</v>
      </c>
      <c r="F29" s="6"/>
      <c r="G29" s="6">
        <f t="shared" si="5"/>
        <v>3101.8863894670012</v>
      </c>
      <c r="H29" s="6">
        <f>(1404622.1*1.10231)/1000</f>
        <v>1548.3289870509998</v>
      </c>
      <c r="I29" s="5">
        <f t="shared" si="6"/>
        <v>4650.215376518001</v>
      </c>
      <c r="J29" s="6">
        <v>442.86599999999999</v>
      </c>
      <c r="K29" s="96"/>
    </row>
    <row r="30" spans="1:12" ht="13.8">
      <c r="A30" s="15" t="s">
        <v>42</v>
      </c>
      <c r="B30" s="45">
        <f t="shared" si="7"/>
        <v>442.86599999999999</v>
      </c>
      <c r="C30" s="6">
        <v>4197.5839999999998</v>
      </c>
      <c r="D30" s="6">
        <f>(40187.2*1.10231)/1000</f>
        <v>44.298752431999993</v>
      </c>
      <c r="E30" s="6">
        <f t="shared" si="4"/>
        <v>4684.7487524319995</v>
      </c>
      <c r="F30" s="6"/>
      <c r="G30" s="6">
        <f t="shared" si="5"/>
        <v>3189.261751647</v>
      </c>
      <c r="H30" s="6">
        <f>(925173.5*1.10231)/1000</f>
        <v>1019.828000785</v>
      </c>
      <c r="I30" s="5">
        <f t="shared" si="6"/>
        <v>4209.0897524319998</v>
      </c>
      <c r="J30" s="6">
        <v>475.65899999999999</v>
      </c>
      <c r="K30" s="114"/>
    </row>
    <row r="31" spans="1:12" ht="14.4">
      <c r="A31" s="15" t="s">
        <v>44</v>
      </c>
      <c r="B31" s="45">
        <f t="shared" si="7"/>
        <v>475.65899999999999</v>
      </c>
      <c r="C31" s="6">
        <v>4698.1610000000001</v>
      </c>
      <c r="D31" s="6">
        <f>(43410.1*1.10231)/1000</f>
        <v>47.851387330999991</v>
      </c>
      <c r="E31" s="6">
        <f t="shared" si="4"/>
        <v>5221.671387331</v>
      </c>
      <c r="F31" s="6"/>
      <c r="G31" s="6">
        <f t="shared" si="5"/>
        <v>3369.7769356149997</v>
      </c>
      <c r="H31" s="6">
        <f>(1336143.6*1.10231)/1000</f>
        <v>1472.8444517160001</v>
      </c>
      <c r="I31" s="5">
        <f t="shared" si="6"/>
        <v>4842.6213873309998</v>
      </c>
      <c r="J31" s="6">
        <v>379.04999999999995</v>
      </c>
      <c r="K31" s="115"/>
    </row>
    <row r="32" spans="1:12" ht="14.4">
      <c r="A32" s="15" t="s">
        <v>45</v>
      </c>
      <c r="B32" s="45">
        <f t="shared" si="7"/>
        <v>379.04999999999995</v>
      </c>
      <c r="C32" s="6">
        <v>4433.6350000000002</v>
      </c>
      <c r="D32" s="6">
        <f>(25951.8*1.10231)/1000</f>
        <v>28.606928657999998</v>
      </c>
      <c r="E32" s="6">
        <f t="shared" si="4"/>
        <v>4841.291928658</v>
      </c>
      <c r="F32" s="6"/>
      <c r="G32" s="6">
        <f t="shared" si="5"/>
        <v>3019.334526696</v>
      </c>
      <c r="H32" s="6">
        <f>(1128650.2*1.10231)/1000</f>
        <v>1244.1224019619999</v>
      </c>
      <c r="I32" s="5">
        <f t="shared" si="6"/>
        <v>4263.4569286579999</v>
      </c>
      <c r="J32" s="6">
        <v>577.83499999999992</v>
      </c>
      <c r="K32" s="115"/>
    </row>
    <row r="33" spans="1:11" ht="14.4">
      <c r="A33" s="15" t="s">
        <v>46</v>
      </c>
      <c r="B33" s="45">
        <f>J32</f>
        <v>577.83499999999992</v>
      </c>
      <c r="C33" s="6">
        <v>4461.268</v>
      </c>
      <c r="D33" s="6">
        <f>(50047.9*1.10231)/1000</f>
        <v>55.168300648999995</v>
      </c>
      <c r="E33" s="6">
        <f t="shared" si="4"/>
        <v>5094.2713006490003</v>
      </c>
      <c r="F33" s="6"/>
      <c r="G33" s="6">
        <f t="shared" si="5"/>
        <v>3474.6210888970008</v>
      </c>
      <c r="H33" s="6">
        <f>(1080559.2*1.10231)/1000</f>
        <v>1191.1112117519997</v>
      </c>
      <c r="I33" s="5">
        <f t="shared" si="6"/>
        <v>4665.7323006490005</v>
      </c>
      <c r="J33" s="6">
        <v>428.53899999999999</v>
      </c>
      <c r="K33" s="115"/>
    </row>
    <row r="34" spans="1:11" ht="14.4">
      <c r="A34" s="15" t="s">
        <v>48</v>
      </c>
      <c r="B34" s="45">
        <f>J33</f>
        <v>428.53899999999999</v>
      </c>
      <c r="C34" s="6">
        <v>4152.3280000000004</v>
      </c>
      <c r="D34" s="6">
        <f>(47135.7*1.10231)/1000</f>
        <v>51.958153466999988</v>
      </c>
      <c r="E34" s="6">
        <f t="shared" si="4"/>
        <v>4632.8251534669998</v>
      </c>
      <c r="F34" s="6"/>
      <c r="G34" s="6">
        <f t="shared" si="5"/>
        <v>2878.4011494959996</v>
      </c>
      <c r="H34" s="6">
        <f>(1259954.1*1.10231)/1000</f>
        <v>1388.860003971</v>
      </c>
      <c r="I34" s="5">
        <f t="shared" si="6"/>
        <v>4267.2611534669995</v>
      </c>
      <c r="J34" s="6">
        <v>365.56400000000002</v>
      </c>
      <c r="K34" s="115"/>
    </row>
    <row r="35" spans="1:11" ht="14.4">
      <c r="A35" s="14" t="s">
        <v>49</v>
      </c>
      <c r="B35" s="134">
        <f>J34</f>
        <v>365.56400000000002</v>
      </c>
      <c r="C35" s="135">
        <v>4359.7309999999998</v>
      </c>
      <c r="D35" s="135">
        <f>(44990.2*1.10231)/1000</f>
        <v>49.593147361999989</v>
      </c>
      <c r="E35" s="135">
        <f t="shared" si="4"/>
        <v>4774.8881473620004</v>
      </c>
      <c r="F35" s="135"/>
      <c r="G35" s="135">
        <f t="shared" si="5"/>
        <v>3116.739468273001</v>
      </c>
      <c r="H35" s="135">
        <f>(1083371.9*1.10231)/1000</f>
        <v>1194.2116790889997</v>
      </c>
      <c r="I35" s="136">
        <f t="shared" si="6"/>
        <v>4310.9511473620005</v>
      </c>
      <c r="J35" s="135">
        <v>463.93700000000001</v>
      </c>
      <c r="K35" s="115"/>
    </row>
    <row r="36" spans="1:11" ht="16.2">
      <c r="A36" s="46" t="s">
        <v>66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1" ht="14.4">
      <c r="A37" s="15" t="s">
        <v>67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1" ht="13.8">
      <c r="A38" s="20" t="s">
        <v>55</v>
      </c>
      <c r="B38" s="41">
        <f>Contents!A16</f>
        <v>45183</v>
      </c>
      <c r="C38" s="38"/>
      <c r="D38" s="33"/>
      <c r="E38" s="33"/>
      <c r="F38" s="33"/>
      <c r="G38" s="33"/>
      <c r="H38" s="33"/>
      <c r="I38" s="33"/>
      <c r="J38" s="33"/>
    </row>
    <row r="39" spans="1:11">
      <c r="B39" s="47"/>
      <c r="C39" s="48"/>
      <c r="D39" s="47"/>
      <c r="E39" s="93"/>
      <c r="F39" s="47"/>
      <c r="G39" s="47"/>
      <c r="H39" s="49"/>
      <c r="I39" s="93"/>
      <c r="J39" s="47"/>
    </row>
    <row r="40" spans="1:11">
      <c r="B40" s="47"/>
      <c r="C40" s="47"/>
      <c r="D40" s="47"/>
      <c r="E40" s="47"/>
      <c r="F40" s="47"/>
      <c r="G40" s="47"/>
      <c r="H40" s="47"/>
      <c r="I40" s="47"/>
      <c r="J40" s="47"/>
    </row>
  </sheetData>
  <mergeCells count="3">
    <mergeCell ref="G2:I2"/>
    <mergeCell ref="B5:J5"/>
    <mergeCell ref="B2:E2"/>
  </mergeCells>
  <phoneticPr fontId="34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9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2.33203125" bestFit="1" customWidth="1"/>
    <col min="3" max="3" width="12.109375" bestFit="1" customWidth="1"/>
    <col min="4" max="4" width="11" bestFit="1" customWidth="1"/>
    <col min="5" max="5" width="11.33203125" bestFit="1" customWidth="1"/>
    <col min="6" max="6" width="3.6640625" customWidth="1"/>
    <col min="7" max="7" width="11.5546875" bestFit="1" customWidth="1"/>
    <col min="8" max="8" width="12.33203125" customWidth="1"/>
    <col min="9" max="9" width="12.6640625" customWidth="1"/>
    <col min="10" max="10" width="9.664062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14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3.8">
      <c r="A2" s="15"/>
      <c r="B2" s="160" t="s">
        <v>56</v>
      </c>
      <c r="C2" s="160"/>
      <c r="D2" s="160"/>
      <c r="E2" s="160"/>
      <c r="F2" s="15"/>
      <c r="G2" s="160" t="s">
        <v>57</v>
      </c>
      <c r="H2" s="160"/>
      <c r="I2" s="160"/>
      <c r="J2" s="128"/>
      <c r="K2" s="128"/>
      <c r="L2" s="15"/>
    </row>
    <row r="3" spans="1:14" ht="13.8">
      <c r="A3" s="15" t="s">
        <v>16</v>
      </c>
      <c r="B3" s="17" t="s">
        <v>68</v>
      </c>
      <c r="C3" s="17" t="s">
        <v>25</v>
      </c>
      <c r="D3" s="17" t="s">
        <v>69</v>
      </c>
      <c r="E3" s="17" t="s">
        <v>61</v>
      </c>
      <c r="F3" s="17"/>
      <c r="G3" s="128" t="s">
        <v>62</v>
      </c>
      <c r="H3" s="128"/>
      <c r="I3" s="128"/>
      <c r="J3" s="17" t="s">
        <v>70</v>
      </c>
      <c r="K3" s="17" t="s">
        <v>61</v>
      </c>
      <c r="L3" s="17" t="s">
        <v>58</v>
      </c>
    </row>
    <row r="4" spans="1:14" ht="16.2">
      <c r="A4" s="21" t="s">
        <v>59</v>
      </c>
      <c r="B4" s="23" t="s">
        <v>60</v>
      </c>
      <c r="C4" s="24"/>
      <c r="D4" s="24"/>
      <c r="E4" s="24"/>
      <c r="F4" s="24"/>
      <c r="G4" s="23" t="s">
        <v>27</v>
      </c>
      <c r="H4" s="23" t="s">
        <v>71</v>
      </c>
      <c r="I4" s="23" t="s">
        <v>72</v>
      </c>
      <c r="J4" s="24"/>
      <c r="K4" s="24"/>
      <c r="L4" s="17" t="s">
        <v>64</v>
      </c>
    </row>
    <row r="5" spans="1:14" ht="14.4">
      <c r="A5" s="15"/>
      <c r="B5" s="162" t="s">
        <v>73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4" ht="16.2">
      <c r="A6" s="15" t="s">
        <v>74</v>
      </c>
      <c r="B6" s="44">
        <v>2131.2330000000002</v>
      </c>
      <c r="C6" s="44">
        <f>C23</f>
        <v>26155.173000000003</v>
      </c>
      <c r="D6" s="44">
        <f>D23</f>
        <v>302.9653281816</v>
      </c>
      <c r="E6" s="44">
        <f>E23</f>
        <v>28589.371328181602</v>
      </c>
      <c r="F6" s="44"/>
      <c r="G6" s="44">
        <f>K6-J6</f>
        <v>24827.303827434</v>
      </c>
      <c r="H6" s="44">
        <v>10378.75</v>
      </c>
      <c r="I6" s="32">
        <f>G6-H6</f>
        <v>14448.553827434</v>
      </c>
      <c r="J6" s="44">
        <f>J23</f>
        <v>1770.9195007476001</v>
      </c>
      <c r="K6" s="44">
        <f>E6-L6</f>
        <v>26598.223328181601</v>
      </c>
      <c r="L6" s="44">
        <f>L22</f>
        <v>1991.1480000000001</v>
      </c>
    </row>
    <row r="7" spans="1:14" ht="16.2">
      <c r="A7" s="15" t="s">
        <v>75</v>
      </c>
      <c r="B7" s="44">
        <f>L6</f>
        <v>1991.1480000000001</v>
      </c>
      <c r="C7" s="44">
        <v>26265</v>
      </c>
      <c r="D7" s="44">
        <v>375</v>
      </c>
      <c r="E7" s="44">
        <f>SUM(B7:D7)</f>
        <v>28631.148000000001</v>
      </c>
      <c r="F7" s="44"/>
      <c r="G7" s="44">
        <f>SUM(H7:I7)</f>
        <v>26400</v>
      </c>
      <c r="H7" s="44">
        <v>11800</v>
      </c>
      <c r="I7" s="32">
        <v>14600</v>
      </c>
      <c r="J7" s="44">
        <v>370</v>
      </c>
      <c r="K7" s="44">
        <f>G7+J7</f>
        <v>26770</v>
      </c>
      <c r="L7" s="44">
        <f>E7-K7</f>
        <v>1861.148000000001</v>
      </c>
    </row>
    <row r="8" spans="1:14" ht="16.2">
      <c r="A8" s="15" t="s">
        <v>35</v>
      </c>
      <c r="B8" s="44">
        <v>1861</v>
      </c>
      <c r="C8" s="44">
        <v>26910</v>
      </c>
      <c r="D8" s="44">
        <v>400</v>
      </c>
      <c r="E8" s="44">
        <f>SUM(B8:D8)</f>
        <v>29171</v>
      </c>
      <c r="F8" s="44"/>
      <c r="G8" s="44">
        <f>SUM(H8:I8)</f>
        <v>27000</v>
      </c>
      <c r="H8" s="44">
        <v>12500</v>
      </c>
      <c r="I8" s="32">
        <v>14500</v>
      </c>
      <c r="J8" s="44">
        <v>350</v>
      </c>
      <c r="K8" s="44">
        <f>G8+J8</f>
        <v>27350</v>
      </c>
      <c r="L8" s="44">
        <f>E8-K8</f>
        <v>1821</v>
      </c>
    </row>
    <row r="9" spans="1:14" ht="13.8">
      <c r="A9" s="15"/>
      <c r="B9" s="44"/>
      <c r="C9" s="44"/>
      <c r="D9" s="44"/>
      <c r="E9" s="44"/>
      <c r="F9" s="44"/>
      <c r="G9" s="44"/>
      <c r="H9" s="44"/>
      <c r="I9" s="90"/>
      <c r="J9" s="44"/>
      <c r="K9" s="44"/>
      <c r="L9" s="44"/>
    </row>
    <row r="10" spans="1:14" ht="13.8">
      <c r="A10" s="35" t="s">
        <v>33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3.8">
      <c r="A11" s="15" t="s">
        <v>37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0">SUM(B11:D11)</f>
        <v>4514.6418553574003</v>
      </c>
      <c r="F11" s="5"/>
      <c r="G11" s="5">
        <f t="shared" ref="G11:G22" si="1">K11-J11</f>
        <v>2071.2935508996002</v>
      </c>
      <c r="H11" s="13">
        <v>832.42700000000002</v>
      </c>
      <c r="I11" s="6">
        <f t="shared" ref="I11:I22" si="2">G11-H11</f>
        <v>1238.8665508996</v>
      </c>
      <c r="J11" s="6">
        <f>(25859.9*2204.622)/1000000</f>
        <v>57.011304457800001</v>
      </c>
      <c r="K11" s="6">
        <f t="shared" ref="K11:K22" si="3">E11-L11</f>
        <v>2128.3048553574004</v>
      </c>
      <c r="L11" s="5">
        <v>2386.337</v>
      </c>
      <c r="N11" s="100"/>
    </row>
    <row r="12" spans="1:14" ht="13.8">
      <c r="A12" s="15" t="s">
        <v>38</v>
      </c>
      <c r="B12" s="5">
        <f t="shared" ref="B12:B22" si="4">L11</f>
        <v>2386.337</v>
      </c>
      <c r="C12" s="6">
        <v>2235.37</v>
      </c>
      <c r="D12" s="6">
        <f>(15479.7*2204.622)/1000000</f>
        <v>34.1268871734</v>
      </c>
      <c r="E12" s="6">
        <f t="shared" si="0"/>
        <v>4655.8338871734004</v>
      </c>
      <c r="F12" s="5"/>
      <c r="G12" s="5">
        <f t="shared" si="1"/>
        <v>2020.5919628710003</v>
      </c>
      <c r="H12" s="13">
        <v>818.01271279999992</v>
      </c>
      <c r="I12" s="6">
        <f t="shared" si="2"/>
        <v>1202.5792500710004</v>
      </c>
      <c r="J12" s="6">
        <f>(103999.2*2204.622)/1000000</f>
        <v>229.27892430239996</v>
      </c>
      <c r="K12" s="6">
        <f t="shared" si="3"/>
        <v>2249.8708871734002</v>
      </c>
      <c r="L12" s="5">
        <v>2405.9630000000002</v>
      </c>
      <c r="N12" s="100"/>
    </row>
    <row r="13" spans="1:14" ht="13.8">
      <c r="A13" s="15" t="s">
        <v>40</v>
      </c>
      <c r="B13" s="5">
        <f t="shared" si="4"/>
        <v>2405.9630000000002</v>
      </c>
      <c r="C13" s="6">
        <v>2324.183</v>
      </c>
      <c r="D13" s="6">
        <f>(14315.6*2204.622)/1000000</f>
        <v>31.560486703199999</v>
      </c>
      <c r="E13" s="6">
        <f t="shared" si="0"/>
        <v>4761.7064867032004</v>
      </c>
      <c r="F13" s="53"/>
      <c r="G13" s="5">
        <f t="shared" si="1"/>
        <v>2130.6668117588006</v>
      </c>
      <c r="H13" s="13">
        <v>938.34100000000001</v>
      </c>
      <c r="I13" s="6">
        <f t="shared" si="2"/>
        <v>1192.3258117588007</v>
      </c>
      <c r="J13" s="6">
        <f>(74910.2*2204.622)/1000000</f>
        <v>165.14867494439997</v>
      </c>
      <c r="K13" s="6">
        <f t="shared" si="3"/>
        <v>2295.8154867032003</v>
      </c>
      <c r="L13" s="5">
        <v>2465.8910000000001</v>
      </c>
      <c r="N13" s="100"/>
    </row>
    <row r="14" spans="1:14" ht="13.8">
      <c r="A14" s="15" t="s">
        <v>41</v>
      </c>
      <c r="B14" s="5">
        <f t="shared" si="4"/>
        <v>2465.8910000000001</v>
      </c>
      <c r="C14" s="6">
        <v>2277.355</v>
      </c>
      <c r="D14" s="6">
        <f>(7350.9*2204.622)/1000000</f>
        <v>16.2059558598</v>
      </c>
      <c r="E14" s="6">
        <f t="shared" si="0"/>
        <v>4759.4519558598004</v>
      </c>
      <c r="F14" s="53"/>
      <c r="G14" s="5">
        <f t="shared" si="1"/>
        <v>1975.3277087556003</v>
      </c>
      <c r="H14" s="138">
        <v>791.48900000000003</v>
      </c>
      <c r="I14" s="6">
        <f t="shared" si="2"/>
        <v>1183.8387087556002</v>
      </c>
      <c r="J14" s="6">
        <f>(128911.1*2204.622)/1000000</f>
        <v>284.2002471042</v>
      </c>
      <c r="K14" s="6">
        <f t="shared" si="3"/>
        <v>2259.5279558598004</v>
      </c>
      <c r="L14" s="5">
        <v>2499.924</v>
      </c>
      <c r="N14" s="100"/>
    </row>
    <row r="15" spans="1:14" ht="13.8">
      <c r="A15" s="15" t="s">
        <v>42</v>
      </c>
      <c r="B15" s="5">
        <f t="shared" si="4"/>
        <v>2499.924</v>
      </c>
      <c r="C15" s="6">
        <v>2064.1990000000001</v>
      </c>
      <c r="D15" s="6">
        <f>(9698.9*2204.622)/1000000</f>
        <v>21.382408315799996</v>
      </c>
      <c r="E15" s="6">
        <f t="shared" si="0"/>
        <v>4585.5054083157993</v>
      </c>
      <c r="F15" s="53"/>
      <c r="G15" s="5">
        <f t="shared" si="1"/>
        <v>1784.6374709481993</v>
      </c>
      <c r="H15" s="138">
        <v>758.13099999999997</v>
      </c>
      <c r="I15" s="6">
        <f t="shared" si="2"/>
        <v>1026.5064709481994</v>
      </c>
      <c r="J15" s="6">
        <f>(106485.8*2204.622)/1000000</f>
        <v>234.76093736760001</v>
      </c>
      <c r="K15" s="6">
        <f t="shared" si="3"/>
        <v>2019.3984083157993</v>
      </c>
      <c r="L15" s="5">
        <v>2566.107</v>
      </c>
      <c r="N15" s="100"/>
    </row>
    <row r="16" spans="1:14" ht="13.8">
      <c r="A16" s="15" t="s">
        <v>44</v>
      </c>
      <c r="B16" s="5">
        <f t="shared" si="4"/>
        <v>2566.107</v>
      </c>
      <c r="C16" s="6">
        <v>2277.5410000000002</v>
      </c>
      <c r="D16" s="6">
        <f>(10065.2*2204.622)/1000000</f>
        <v>22.189961354400001</v>
      </c>
      <c r="E16" s="6">
        <f t="shared" ref="E16:E22" si="5">SUM(B16:D16)</f>
        <v>4865.8379613544002</v>
      </c>
      <c r="F16" s="53"/>
      <c r="G16" s="5">
        <f t="shared" si="1"/>
        <v>2155.9277832030002</v>
      </c>
      <c r="H16" s="138">
        <v>919.11900000000003</v>
      </c>
      <c r="I16" s="6">
        <f t="shared" si="2"/>
        <v>1236.8087832030001</v>
      </c>
      <c r="J16" s="6">
        <f>(125278.7*2204.622)/1000000</f>
        <v>276.19217815139996</v>
      </c>
      <c r="K16" s="6">
        <f t="shared" si="3"/>
        <v>2432.1199613543999</v>
      </c>
      <c r="L16" s="5">
        <v>2433.7180000000003</v>
      </c>
      <c r="N16" s="100"/>
    </row>
    <row r="17" spans="1:14" ht="13.8">
      <c r="A17" s="15" t="s">
        <v>45</v>
      </c>
      <c r="B17" s="5">
        <f t="shared" si="4"/>
        <v>2433.7180000000003</v>
      </c>
      <c r="C17" s="6">
        <v>2143.1179999999999</v>
      </c>
      <c r="D17" s="6">
        <f>(10661.9*2204.622)/1000000</f>
        <v>23.505459301799998</v>
      </c>
      <c r="E17" s="6">
        <f t="shared" si="5"/>
        <v>4600.3414593018006</v>
      </c>
      <c r="F17" s="53"/>
      <c r="G17" s="5">
        <f t="shared" si="1"/>
        <v>2018.5597328586007</v>
      </c>
      <c r="H17" s="139">
        <v>842.00099999999998</v>
      </c>
      <c r="I17" s="6">
        <f t="shared" si="2"/>
        <v>1176.5587328586007</v>
      </c>
      <c r="J17" s="6">
        <f>(71485.6*2204.622)/1000000</f>
        <v>157.59872644319998</v>
      </c>
      <c r="K17" s="6">
        <f t="shared" si="3"/>
        <v>2176.1584593018006</v>
      </c>
      <c r="L17" s="5">
        <v>2424.183</v>
      </c>
      <c r="N17" s="100"/>
    </row>
    <row r="18" spans="1:14" ht="13.8">
      <c r="A18" s="15" t="s">
        <v>46</v>
      </c>
      <c r="B18" s="5">
        <f t="shared" si="4"/>
        <v>2424.183</v>
      </c>
      <c r="C18" s="6">
        <v>2158.7739999999999</v>
      </c>
      <c r="D18" s="101">
        <f>(11291.8*2204.622)/1000000</f>
        <v>24.894150699599997</v>
      </c>
      <c r="E18" s="6">
        <f t="shared" si="5"/>
        <v>4607.8511506996001</v>
      </c>
      <c r="F18" s="53"/>
      <c r="G18" s="5">
        <f t="shared" si="1"/>
        <v>2149.5948740757999</v>
      </c>
      <c r="H18" s="139">
        <v>855.74599999999998</v>
      </c>
      <c r="I18" s="6">
        <f t="shared" si="2"/>
        <v>1293.8488740757998</v>
      </c>
      <c r="J18" s="101">
        <f>(33512.9*2204.622)/1000000</f>
        <v>73.8832766238</v>
      </c>
      <c r="K18" s="6">
        <f t="shared" si="3"/>
        <v>2223.4781506996001</v>
      </c>
      <c r="L18" s="5">
        <v>2384.373</v>
      </c>
      <c r="N18" s="100"/>
    </row>
    <row r="19" spans="1:14" ht="13.8">
      <c r="A19" s="15" t="s">
        <v>48</v>
      </c>
      <c r="B19" s="5">
        <f t="shared" si="4"/>
        <v>2384.373</v>
      </c>
      <c r="C19" s="6">
        <v>2068.578</v>
      </c>
      <c r="D19" s="101">
        <f>(10963.6*2204.622)/1000000</f>
        <v>24.170593759199999</v>
      </c>
      <c r="E19" s="6">
        <f t="shared" si="5"/>
        <v>4477.1215937591996</v>
      </c>
      <c r="F19" s="53"/>
      <c r="G19" s="5">
        <f t="shared" si="1"/>
        <v>2088.6787772001999</v>
      </c>
      <c r="H19" s="139">
        <v>809.79899999999998</v>
      </c>
      <c r="I19" s="6">
        <f t="shared" si="2"/>
        <v>1278.8797772001999</v>
      </c>
      <c r="J19" s="101">
        <f>(33084.5*2204.622)/1000000</f>
        <v>72.938816559000003</v>
      </c>
      <c r="K19" s="6">
        <f t="shared" si="3"/>
        <v>2161.6175937591997</v>
      </c>
      <c r="L19" s="5">
        <v>2315.5039999999999</v>
      </c>
    </row>
    <row r="20" spans="1:14" ht="13.8">
      <c r="A20" s="15" t="s">
        <v>49</v>
      </c>
      <c r="B20" s="5">
        <f t="shared" si="4"/>
        <v>2315.5039999999999</v>
      </c>
      <c r="C20" s="6">
        <v>2169.9299999999998</v>
      </c>
      <c r="D20" s="101">
        <f>(11379.9*2204.622)/1000000</f>
        <v>25.088377897799997</v>
      </c>
      <c r="E20" s="6">
        <f t="shared" si="5"/>
        <v>4510.5223778977988</v>
      </c>
      <c r="F20" s="53"/>
      <c r="G20" s="5">
        <f t="shared" si="1"/>
        <v>2125.602306053599</v>
      </c>
      <c r="H20" s="139">
        <v>956.48800000000006</v>
      </c>
      <c r="I20" s="6">
        <f t="shared" si="2"/>
        <v>1169.114306053599</v>
      </c>
      <c r="J20" s="101">
        <f>(53581.1*2204.622)/1000000</f>
        <v>118.12607184419998</v>
      </c>
      <c r="K20" s="6">
        <f t="shared" si="3"/>
        <v>2243.728377897799</v>
      </c>
      <c r="L20" s="5">
        <v>2266.7939999999999</v>
      </c>
    </row>
    <row r="21" spans="1:14" ht="13.8">
      <c r="A21" s="15" t="s">
        <v>50</v>
      </c>
      <c r="B21" s="5">
        <f t="shared" si="4"/>
        <v>2266.7939999999999</v>
      </c>
      <c r="C21" s="6">
        <v>2095.5810000000001</v>
      </c>
      <c r="D21" s="101">
        <f>(9635.1*2204.622)/1000000</f>
        <v>21.241753432199999</v>
      </c>
      <c r="E21" s="6">
        <f t="shared" si="5"/>
        <v>4383.6167534322003</v>
      </c>
      <c r="F21" s="53"/>
      <c r="G21" s="5">
        <f t="shared" si="1"/>
        <v>2223.0527249938004</v>
      </c>
      <c r="H21" s="139">
        <v>924.71799999999996</v>
      </c>
      <c r="I21" s="6">
        <f t="shared" si="2"/>
        <v>1298.3347249938006</v>
      </c>
      <c r="J21" s="101">
        <f>(25787.2*2204.622)/1000000</f>
        <v>56.8510284384</v>
      </c>
      <c r="K21" s="6">
        <f t="shared" si="3"/>
        <v>2279.9037534322006</v>
      </c>
      <c r="L21" s="5">
        <v>2103.7129999999997</v>
      </c>
    </row>
    <row r="22" spans="1:14" ht="13.8">
      <c r="A22" s="15" t="s">
        <v>36</v>
      </c>
      <c r="B22" s="5">
        <f t="shared" si="4"/>
        <v>2103.7129999999997</v>
      </c>
      <c r="C22" s="6">
        <v>1992.9639999999999</v>
      </c>
      <c r="D22" s="101">
        <f>(10328.5*2204.622)/1000000</f>
        <v>22.770438327000001</v>
      </c>
      <c r="E22" s="6">
        <f t="shared" si="5"/>
        <v>4119.4474383269999</v>
      </c>
      <c r="F22" s="53"/>
      <c r="G22" s="5">
        <f t="shared" si="1"/>
        <v>2083.3701238157996</v>
      </c>
      <c r="H22" s="139">
        <v>932.48199999999997</v>
      </c>
      <c r="I22" s="6">
        <f t="shared" si="2"/>
        <v>1150.8881238157996</v>
      </c>
      <c r="J22" s="101">
        <f>(20379.6*2204.622)/1000000</f>
        <v>44.929314511199998</v>
      </c>
      <c r="K22" s="6">
        <f t="shared" si="3"/>
        <v>2128.2994383269997</v>
      </c>
      <c r="L22" s="5">
        <v>1991.1480000000001</v>
      </c>
    </row>
    <row r="23" spans="1:14" ht="13.8">
      <c r="A23" s="15" t="s">
        <v>27</v>
      </c>
      <c r="B23" s="5"/>
      <c r="C23" s="6">
        <f>SUM(C11:C22)</f>
        <v>26155.173000000003</v>
      </c>
      <c r="D23" s="6">
        <f>(137422.8*2204.622)/1000000</f>
        <v>302.9653281816</v>
      </c>
      <c r="E23" s="6">
        <f>B11+C23+D23</f>
        <v>28589.371328181602</v>
      </c>
      <c r="F23" s="5"/>
      <c r="G23" s="5">
        <f>SUM(G11:G22)</f>
        <v>24827.303827433996</v>
      </c>
      <c r="H23" s="6">
        <f>SUM(H11:H22)</f>
        <v>10378.7537128</v>
      </c>
      <c r="I23" s="6">
        <f>SUM(I11:I22)</f>
        <v>14448.550114633999</v>
      </c>
      <c r="J23" s="6">
        <f>(803275.8*2204.622)/1000000</f>
        <v>1770.9195007476001</v>
      </c>
      <c r="K23" s="5">
        <f>SUM(K11:K22)</f>
        <v>26598.223328181601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5" t="s">
        <v>52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37</v>
      </c>
      <c r="B26" s="5">
        <f>L22</f>
        <v>1991.1480000000001</v>
      </c>
      <c r="C26" s="6">
        <v>2338.085</v>
      </c>
      <c r="D26" s="6">
        <f>(13491.4*2204.622)/1000000</f>
        <v>29.7434372508</v>
      </c>
      <c r="E26" s="6">
        <f t="shared" ref="E26:E33" si="6">SUM(B26:D26)</f>
        <v>4358.9764372507998</v>
      </c>
      <c r="F26" s="5"/>
      <c r="G26" s="5">
        <f t="shared" ref="G26:G33" si="7">K26-J26</f>
        <v>2241.8177746275996</v>
      </c>
      <c r="H26" s="140">
        <v>906.40899999999999</v>
      </c>
      <c r="I26" s="6">
        <f t="shared" ref="I26:I33" si="8">G26-H26</f>
        <v>1335.4087746275995</v>
      </c>
      <c r="J26" s="6">
        <f>(10675.6*2204.622)/1000000</f>
        <v>23.5356626232</v>
      </c>
      <c r="K26" s="6">
        <f t="shared" ref="K26:K32" si="9">E26-L26</f>
        <v>2265.3534372507997</v>
      </c>
      <c r="L26" s="5">
        <v>2093.623</v>
      </c>
    </row>
    <row r="27" spans="1:14" ht="13.8">
      <c r="A27" s="15" t="s">
        <v>38</v>
      </c>
      <c r="B27" s="5">
        <f t="shared" ref="B27:B35" si="10">L26</f>
        <v>2093.623</v>
      </c>
      <c r="C27" s="6">
        <v>2199.962</v>
      </c>
      <c r="D27" s="6">
        <f>(11744.6*2204.622)/1000000</f>
        <v>25.8924035412</v>
      </c>
      <c r="E27" s="6">
        <f t="shared" si="6"/>
        <v>4319.4774035412001</v>
      </c>
      <c r="F27" s="5"/>
      <c r="G27" s="5">
        <f t="shared" si="7"/>
        <v>2183.7493667224003</v>
      </c>
      <c r="H27" s="140">
        <v>943.34199999999998</v>
      </c>
      <c r="I27" s="6">
        <f t="shared" si="8"/>
        <v>1240.4073667224002</v>
      </c>
      <c r="J27" s="6">
        <f>(10635.4*2204.622)/1000000</f>
        <v>23.447036818799997</v>
      </c>
      <c r="K27" s="6">
        <f t="shared" si="9"/>
        <v>2207.1964035412002</v>
      </c>
      <c r="L27" s="5">
        <v>2112.2809999999999</v>
      </c>
    </row>
    <row r="28" spans="1:14" ht="13.8">
      <c r="A28" s="15" t="s">
        <v>40</v>
      </c>
      <c r="B28" s="5">
        <f t="shared" si="10"/>
        <v>2112.2809999999999</v>
      </c>
      <c r="C28" s="6">
        <v>2195.3580000000002</v>
      </c>
      <c r="D28" s="6">
        <f>(10252.4*2204.622)/1000000</f>
        <v>22.602666592799999</v>
      </c>
      <c r="E28" s="6">
        <f t="shared" si="6"/>
        <v>4330.2416665928004</v>
      </c>
      <c r="F28" s="5"/>
      <c r="G28" s="5">
        <f t="shared" si="7"/>
        <v>1989.2481907986005</v>
      </c>
      <c r="H28" s="140">
        <v>885.65899999999999</v>
      </c>
      <c r="I28" s="6">
        <f t="shared" si="8"/>
        <v>1103.5891907986006</v>
      </c>
      <c r="J28" s="6">
        <f>(15806.1*2204.622)/1000000</f>
        <v>34.846475794199996</v>
      </c>
      <c r="K28" s="6">
        <f t="shared" si="9"/>
        <v>2024.0946665928004</v>
      </c>
      <c r="L28" s="5">
        <v>2306.1469999999999</v>
      </c>
    </row>
    <row r="29" spans="1:14" ht="13.8">
      <c r="A29" s="15" t="s">
        <v>41</v>
      </c>
      <c r="B29" s="5">
        <f t="shared" si="10"/>
        <v>2306.1469999999999</v>
      </c>
      <c r="C29" s="6">
        <v>2252.3119999999999</v>
      </c>
      <c r="D29" s="6">
        <f>(11450.2*2204.622)/1000000</f>
        <v>25.243362824400002</v>
      </c>
      <c r="E29" s="6">
        <f t="shared" si="6"/>
        <v>4583.7023628243996</v>
      </c>
      <c r="F29" s="5"/>
      <c r="G29" s="5">
        <f t="shared" si="7"/>
        <v>2211.8930392041998</v>
      </c>
      <c r="H29" s="140">
        <v>940.87400000000002</v>
      </c>
      <c r="I29" s="6">
        <f t="shared" si="8"/>
        <v>1271.0190392041998</v>
      </c>
      <c r="J29" s="6">
        <f>(6989.1*2204.622)/1000000</f>
        <v>15.408323620199999</v>
      </c>
      <c r="K29" s="6">
        <f t="shared" si="9"/>
        <v>2227.3013628243998</v>
      </c>
      <c r="L29" s="5">
        <v>2356.4009999999998</v>
      </c>
    </row>
    <row r="30" spans="1:14" ht="13.8">
      <c r="A30" s="15" t="s">
        <v>42</v>
      </c>
      <c r="B30" s="5">
        <f t="shared" si="10"/>
        <v>2356.4009999999998</v>
      </c>
      <c r="C30" s="6">
        <v>2091.2179999999998</v>
      </c>
      <c r="D30" s="6">
        <f>(15213.2*2204.622)/1000000</f>
        <v>33.539355410399999</v>
      </c>
      <c r="E30" s="6">
        <f t="shared" si="6"/>
        <v>4481.1583554104</v>
      </c>
      <c r="F30" s="5"/>
      <c r="G30" s="5">
        <f t="shared" si="7"/>
        <v>2091.4034745958002</v>
      </c>
      <c r="H30" s="140">
        <v>909.98699999999997</v>
      </c>
      <c r="I30" s="6">
        <f t="shared" si="8"/>
        <v>1181.4164745958001</v>
      </c>
      <c r="J30" s="6">
        <f>(11774.3*2204.622)/1000000</f>
        <v>25.957880814599999</v>
      </c>
      <c r="K30" s="6">
        <f t="shared" si="9"/>
        <v>2117.3613554103999</v>
      </c>
      <c r="L30" s="5">
        <v>2363.797</v>
      </c>
    </row>
    <row r="31" spans="1:14" ht="13.8">
      <c r="A31" s="15" t="s">
        <v>44</v>
      </c>
      <c r="B31" s="5">
        <f t="shared" si="10"/>
        <v>2363.797</v>
      </c>
      <c r="C31" s="6">
        <v>2339.5810000000001</v>
      </c>
      <c r="D31" s="6">
        <f>(15180.8*2204.622)/1000000</f>
        <v>33.467925657599999</v>
      </c>
      <c r="E31" s="6">
        <f t="shared" si="6"/>
        <v>4736.8459256576007</v>
      </c>
      <c r="F31" s="5"/>
      <c r="G31" s="5">
        <f t="shared" si="7"/>
        <v>2336.5298038548008</v>
      </c>
      <c r="H31" s="140">
        <v>952.70299999999997</v>
      </c>
      <c r="I31" s="6">
        <f t="shared" si="8"/>
        <v>1383.8268038548008</v>
      </c>
      <c r="J31" s="6">
        <f>(5807.4*2204.622)/1000000</f>
        <v>12.803121802799998</v>
      </c>
      <c r="K31" s="6">
        <f t="shared" si="9"/>
        <v>2349.3329256576008</v>
      </c>
      <c r="L31" s="5">
        <v>2387.5129999999999</v>
      </c>
    </row>
    <row r="32" spans="1:14" ht="13.8">
      <c r="A32" s="15" t="s">
        <v>45</v>
      </c>
      <c r="B32" s="5">
        <f t="shared" si="10"/>
        <v>2387.5129999999999</v>
      </c>
      <c r="C32" s="6">
        <v>2236.3009999999999</v>
      </c>
      <c r="D32" s="6">
        <f>(15750.7*2204.622)/1000000</f>
        <v>34.724339735400001</v>
      </c>
      <c r="E32" s="6">
        <f t="shared" si="6"/>
        <v>4658.5383397353999</v>
      </c>
      <c r="F32" s="5"/>
      <c r="G32" s="5">
        <f t="shared" si="7"/>
        <v>2058.2364235171999</v>
      </c>
      <c r="H32" s="140">
        <v>926.59799999999996</v>
      </c>
      <c r="I32" s="6">
        <f t="shared" si="8"/>
        <v>1131.6384235172</v>
      </c>
      <c r="J32" s="6">
        <f>(27498.1*2204.622)/1000000</f>
        <v>60.62291621819999</v>
      </c>
      <c r="K32" s="6">
        <f t="shared" si="9"/>
        <v>2118.8593397353998</v>
      </c>
      <c r="L32" s="5">
        <v>2539.6790000000001</v>
      </c>
    </row>
    <row r="33" spans="1:12" ht="13.8">
      <c r="A33" s="15" t="s">
        <v>46</v>
      </c>
      <c r="B33" s="5">
        <f t="shared" si="10"/>
        <v>2539.6790000000001</v>
      </c>
      <c r="C33" s="6">
        <v>2228.3719999999998</v>
      </c>
      <c r="D33" s="6">
        <f>(24574.7*2204.622)/1000000</f>
        <v>54.177924263399994</v>
      </c>
      <c r="E33" s="6">
        <f t="shared" si="6"/>
        <v>4822.2289242633997</v>
      </c>
      <c r="F33" s="5"/>
      <c r="G33" s="5">
        <f t="shared" si="7"/>
        <v>2385.7924694315993</v>
      </c>
      <c r="H33" s="140">
        <v>1140.8710000000001</v>
      </c>
      <c r="I33" s="6">
        <f t="shared" si="8"/>
        <v>1244.9214694315992</v>
      </c>
      <c r="J33" s="6">
        <f>(22776.9*2204.622)/1000000</f>
        <v>50.214454831799998</v>
      </c>
      <c r="K33" s="6">
        <f>E33-L33</f>
        <v>2436.0069242633995</v>
      </c>
      <c r="L33" s="5">
        <v>2386.2220000000002</v>
      </c>
    </row>
    <row r="34" spans="1:12" ht="13.8">
      <c r="A34" s="15" t="s">
        <v>48</v>
      </c>
      <c r="B34" s="5">
        <f t="shared" si="10"/>
        <v>2386.2220000000002</v>
      </c>
      <c r="C34" s="6">
        <v>2074.857</v>
      </c>
      <c r="D34" s="6">
        <f>(7900.8*2204.622)/1000000</f>
        <v>17.418277497600002</v>
      </c>
      <c r="E34" s="6">
        <f>SUM(B34:D34)</f>
        <v>4478.4972774975995</v>
      </c>
      <c r="F34" s="5"/>
      <c r="G34" s="5">
        <f>K34-J34</f>
        <v>2235.5639103903995</v>
      </c>
      <c r="H34" s="140">
        <v>1206.92</v>
      </c>
      <c r="I34" s="6">
        <f>G34-H34</f>
        <v>1028.6439103903995</v>
      </c>
      <c r="J34" s="6">
        <f>(18097.6*2204.622)/1000000</f>
        <v>39.898367107199995</v>
      </c>
      <c r="K34" s="6">
        <f>E34-L34</f>
        <v>2275.4622774975996</v>
      </c>
      <c r="L34" s="5">
        <v>2203.0349999999999</v>
      </c>
    </row>
    <row r="35" spans="1:12" ht="13.8">
      <c r="A35" s="14" t="s">
        <v>49</v>
      </c>
      <c r="B35" s="136">
        <f t="shared" si="10"/>
        <v>2203.0349999999999</v>
      </c>
      <c r="C35" s="135">
        <v>2179.3679999999999</v>
      </c>
      <c r="D35" s="135">
        <f>(12459.1*2204.622)/1000000</f>
        <v>27.4676059602</v>
      </c>
      <c r="E35" s="135">
        <f>SUM(B35:D35)</f>
        <v>4409.8706059602</v>
      </c>
      <c r="F35" s="136"/>
      <c r="G35" s="136">
        <f>K35-J35</f>
        <v>2224.0782955074001</v>
      </c>
      <c r="H35" s="135" t="s">
        <v>76</v>
      </c>
      <c r="I35" s="135" t="s">
        <v>76</v>
      </c>
      <c r="J35" s="135">
        <f>(16882.4*2204.622)/1000000</f>
        <v>37.219310452799995</v>
      </c>
      <c r="K35" s="135">
        <f>E35-L35</f>
        <v>2261.2976059602001</v>
      </c>
      <c r="L35" s="136">
        <v>2148.5729999999999</v>
      </c>
    </row>
    <row r="36" spans="1:12" ht="16.2">
      <c r="A36" s="46" t="s">
        <v>77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4.4">
      <c r="A37" s="15" t="s">
        <v>67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3.8">
      <c r="A38" s="20" t="s">
        <v>55</v>
      </c>
      <c r="B38" s="41">
        <f>Contents!A16</f>
        <v>45183</v>
      </c>
      <c r="K38" s="39"/>
    </row>
    <row r="39" spans="1:12">
      <c r="E39" s="39"/>
    </row>
  </sheetData>
  <mergeCells count="3">
    <mergeCell ref="B5:L5"/>
    <mergeCell ref="G2:I2"/>
    <mergeCell ref="B2:E2"/>
  </mergeCells>
  <phoneticPr fontId="34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customWidth="1"/>
    <col min="2" max="2" width="13.109375" customWidth="1"/>
    <col min="3" max="3" width="12.109375" customWidth="1"/>
    <col min="4" max="4" width="13.44140625" customWidth="1"/>
    <col min="5" max="5" width="15.33203125" customWidth="1"/>
    <col min="6" max="6" width="11.44140625" customWidth="1"/>
    <col min="7" max="7" width="11.6640625" customWidth="1"/>
    <col min="8" max="8" width="8.6640625" customWidth="1"/>
    <col min="9" max="9" width="9.6640625" customWidth="1"/>
    <col min="10" max="11" width="7.6640625" customWidth="1"/>
    <col min="12" max="12" width="8.5546875" customWidth="1"/>
    <col min="13" max="13" width="9.5546875" customWidth="1"/>
    <col min="14" max="14" width="7.5546875" customWidth="1"/>
    <col min="15" max="15" width="8.33203125" bestFit="1" customWidth="1"/>
    <col min="19" max="19" width="17.44140625" bestFit="1" customWidth="1"/>
    <col min="21" max="21" width="28.332031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60" t="s">
        <v>56</v>
      </c>
      <c r="C2" s="160"/>
      <c r="D2" s="160"/>
      <c r="E2" s="160"/>
      <c r="F2" s="78"/>
      <c r="G2" s="160" t="s">
        <v>57</v>
      </c>
      <c r="H2" s="160"/>
      <c r="I2" s="160"/>
      <c r="J2" s="160"/>
      <c r="K2" s="78"/>
      <c r="L2" s="15"/>
      <c r="M2" s="15"/>
      <c r="N2" s="15"/>
      <c r="O2" s="15"/>
    </row>
    <row r="3" spans="1:15" ht="13.8">
      <c r="A3" s="15" t="s">
        <v>16</v>
      </c>
      <c r="B3" s="20" t="s">
        <v>68</v>
      </c>
      <c r="C3" s="20"/>
      <c r="D3" s="20"/>
      <c r="E3" s="20"/>
      <c r="F3" s="20"/>
      <c r="G3" s="20"/>
      <c r="H3" s="20"/>
      <c r="I3" s="20"/>
      <c r="J3" s="20"/>
      <c r="K3" s="17" t="s">
        <v>58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62" t="s">
        <v>25</v>
      </c>
      <c r="D4" s="25" t="s">
        <v>69</v>
      </c>
      <c r="E4" s="23" t="s">
        <v>80</v>
      </c>
      <c r="F4" s="24"/>
      <c r="G4" s="23" t="s">
        <v>81</v>
      </c>
      <c r="H4" s="23" t="s">
        <v>29</v>
      </c>
      <c r="I4" s="23" t="s">
        <v>82</v>
      </c>
      <c r="J4" s="23" t="s">
        <v>83</v>
      </c>
      <c r="K4" s="23" t="s">
        <v>60</v>
      </c>
      <c r="L4" s="15"/>
      <c r="M4" s="15"/>
      <c r="N4" s="15"/>
      <c r="O4" s="15"/>
    </row>
    <row r="5" spans="1:15" ht="14.4">
      <c r="A5" s="15"/>
      <c r="B5" s="163" t="s">
        <v>84</v>
      </c>
      <c r="C5" s="163"/>
      <c r="D5" s="163"/>
      <c r="E5" s="163"/>
      <c r="F5" s="163"/>
      <c r="G5" s="163"/>
      <c r="H5" s="163"/>
      <c r="I5" s="163"/>
      <c r="J5" s="163"/>
      <c r="K5" s="163"/>
      <c r="L5" s="15"/>
      <c r="M5" s="15"/>
      <c r="N5" s="15"/>
      <c r="O5" s="15"/>
    </row>
    <row r="6" spans="1:15" ht="13.8">
      <c r="A6" s="15" t="s">
        <v>33</v>
      </c>
      <c r="B6" s="80">
        <v>395.43068871102241</v>
      </c>
      <c r="C6" s="80">
        <v>5323</v>
      </c>
      <c r="D6" s="81">
        <v>24.765738432900992</v>
      </c>
      <c r="E6" s="80">
        <f>B6+C6+D6</f>
        <v>5743.1964271439238</v>
      </c>
      <c r="F6" s="82"/>
      <c r="G6" s="80">
        <v>1556.9839999999999</v>
      </c>
      <c r="H6" s="83">
        <v>292.99103926406997</v>
      </c>
      <c r="I6" s="80">
        <f>J6-G6-H6</f>
        <v>3497.8</v>
      </c>
      <c r="J6" s="80">
        <f>E6-K6</f>
        <v>5347.7750392640701</v>
      </c>
      <c r="K6" s="80">
        <v>395.42138787985368</v>
      </c>
      <c r="L6" s="15"/>
      <c r="M6" s="15"/>
      <c r="N6" s="118"/>
      <c r="O6" s="15"/>
    </row>
    <row r="7" spans="1:15" ht="16.2">
      <c r="A7" s="15" t="s">
        <v>34</v>
      </c>
      <c r="B7" s="80">
        <f>K6</f>
        <v>395.42138787985368</v>
      </c>
      <c r="C7" s="80">
        <v>4415</v>
      </c>
      <c r="D7" s="81">
        <v>101.14</v>
      </c>
      <c r="E7" s="80">
        <f>B7+C7+D7</f>
        <v>4911.561387879854</v>
      </c>
      <c r="F7" s="82"/>
      <c r="G7" s="80">
        <v>1389.82</v>
      </c>
      <c r="H7" s="83">
        <v>185.61</v>
      </c>
      <c r="I7" s="80">
        <f>J7-G7-H7</f>
        <v>2951.1313878798542</v>
      </c>
      <c r="J7" s="80">
        <f>E7-K7</f>
        <v>4526.561387879854</v>
      </c>
      <c r="K7" s="80">
        <v>385</v>
      </c>
      <c r="L7" s="15"/>
      <c r="M7" s="15"/>
      <c r="N7" s="118"/>
      <c r="O7" s="15"/>
    </row>
    <row r="8" spans="1:15" ht="16.2">
      <c r="A8" s="14" t="s">
        <v>35</v>
      </c>
      <c r="B8" s="153">
        <f>K7</f>
        <v>385</v>
      </c>
      <c r="C8" s="153">
        <v>4001</v>
      </c>
      <c r="D8" s="154">
        <v>50</v>
      </c>
      <c r="E8" s="153">
        <f>B8+C8+D8</f>
        <v>4436</v>
      </c>
      <c r="F8" s="155"/>
      <c r="G8" s="153">
        <v>1350</v>
      </c>
      <c r="H8" s="156">
        <v>150</v>
      </c>
      <c r="I8" s="153">
        <v>2606</v>
      </c>
      <c r="J8" s="153">
        <f>SUM(G8:I8)</f>
        <v>4106</v>
      </c>
      <c r="K8" s="153">
        <f>E8-J8</f>
        <v>330</v>
      </c>
      <c r="L8" s="15"/>
      <c r="M8" s="15"/>
      <c r="N8" s="15"/>
      <c r="O8" s="15"/>
    </row>
    <row r="9" spans="1:15" ht="16.2">
      <c r="A9" s="46" t="s">
        <v>85</v>
      </c>
      <c r="B9" s="15"/>
      <c r="C9" s="79"/>
      <c r="D9" s="79"/>
      <c r="E9" s="79"/>
      <c r="F9" s="79"/>
      <c r="G9" s="84"/>
      <c r="H9" s="79"/>
      <c r="I9" s="79"/>
      <c r="J9" s="79"/>
      <c r="K9" s="15"/>
      <c r="L9" s="15"/>
      <c r="M9" s="15"/>
      <c r="N9" s="15"/>
      <c r="O9" s="15"/>
    </row>
    <row r="10" spans="1:15" ht="14.4">
      <c r="A10" s="15" t="s">
        <v>86</v>
      </c>
      <c r="B10" s="33"/>
      <c r="C10" s="38"/>
      <c r="D10" s="15"/>
      <c r="E10" s="33"/>
      <c r="F10" s="33"/>
      <c r="G10" s="33"/>
      <c r="H10" s="33"/>
      <c r="I10" s="33"/>
      <c r="J10" s="33"/>
      <c r="K10" s="15"/>
      <c r="L10" s="15"/>
      <c r="M10" s="15"/>
      <c r="N10" s="15"/>
      <c r="O10" s="15"/>
    </row>
    <row r="11" spans="1:15" ht="14.4">
      <c r="A11" s="15" t="s">
        <v>87</v>
      </c>
      <c r="B11" s="33"/>
      <c r="C11" s="38"/>
      <c r="D11" s="15"/>
      <c r="E11" s="33"/>
      <c r="F11" s="33"/>
      <c r="G11" s="33"/>
      <c r="H11" s="33"/>
      <c r="I11" s="33"/>
      <c r="J11" s="33"/>
      <c r="K11" s="15"/>
      <c r="L11" s="15"/>
      <c r="M11" s="15"/>
      <c r="N11" s="15"/>
      <c r="O11" s="15"/>
    </row>
    <row r="12" spans="1:15" ht="13.8">
      <c r="A12" s="15"/>
      <c r="B12" s="33"/>
      <c r="C12" s="38"/>
      <c r="D12" s="15"/>
      <c r="E12" s="33"/>
      <c r="F12" s="33"/>
      <c r="G12" s="33"/>
      <c r="H12" s="33"/>
      <c r="I12" s="33"/>
      <c r="J12" s="33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60" t="s">
        <v>56</v>
      </c>
      <c r="C15" s="160"/>
      <c r="D15" s="160"/>
      <c r="E15" s="160"/>
      <c r="F15" s="15"/>
      <c r="G15" s="160" t="s">
        <v>57</v>
      </c>
      <c r="H15" s="160"/>
      <c r="I15" s="160"/>
      <c r="J15" s="15"/>
      <c r="K15" s="15"/>
      <c r="L15" s="15"/>
      <c r="M15" s="15"/>
      <c r="N15" s="15"/>
      <c r="O15" s="15"/>
    </row>
    <row r="16" spans="1:15" ht="13.8">
      <c r="A16" s="15" t="s">
        <v>16</v>
      </c>
      <c r="B16" s="17" t="s">
        <v>68</v>
      </c>
      <c r="C16" s="20"/>
      <c r="D16" s="20"/>
      <c r="E16" s="20"/>
      <c r="F16" s="20"/>
      <c r="G16" s="20"/>
      <c r="H16" s="20"/>
      <c r="I16" s="20"/>
      <c r="J16" s="17" t="s">
        <v>58</v>
      </c>
      <c r="K16" s="15"/>
      <c r="L16" s="15"/>
      <c r="M16" s="15"/>
      <c r="N16" s="15"/>
      <c r="O16" s="15"/>
    </row>
    <row r="17" spans="1:15" ht="13.8">
      <c r="A17" s="21" t="s">
        <v>59</v>
      </c>
      <c r="B17" s="23" t="s">
        <v>60</v>
      </c>
      <c r="C17" s="62" t="s">
        <v>25</v>
      </c>
      <c r="D17" s="25" t="s">
        <v>69</v>
      </c>
      <c r="E17" s="23" t="s">
        <v>83</v>
      </c>
      <c r="F17" s="24"/>
      <c r="G17" s="80" t="s">
        <v>88</v>
      </c>
      <c r="H17" s="23" t="s">
        <v>29</v>
      </c>
      <c r="I17" s="25" t="s">
        <v>61</v>
      </c>
      <c r="J17" s="23" t="s">
        <v>60</v>
      </c>
      <c r="K17" s="15"/>
      <c r="L17" s="15"/>
      <c r="M17" s="15"/>
      <c r="N17" s="15"/>
      <c r="O17" s="15"/>
    </row>
    <row r="18" spans="1:15" ht="14.4">
      <c r="A18" s="15"/>
      <c r="B18" s="163" t="s">
        <v>89</v>
      </c>
      <c r="C18" s="163"/>
      <c r="D18" s="163"/>
      <c r="E18" s="163"/>
      <c r="F18" s="163"/>
      <c r="G18" s="163"/>
      <c r="H18" s="163"/>
      <c r="I18" s="163"/>
      <c r="J18" s="163"/>
      <c r="K18" s="15"/>
      <c r="L18" s="15"/>
      <c r="M18" s="15"/>
      <c r="N18" s="15"/>
      <c r="O18" s="15"/>
    </row>
    <row r="19" spans="1:15" ht="13.8">
      <c r="A19" s="15" t="s">
        <v>33</v>
      </c>
      <c r="B19" s="80">
        <v>39.305999999999997</v>
      </c>
      <c r="C19" s="83">
        <v>695</v>
      </c>
      <c r="D19" s="105">
        <v>0.10141264051999997</v>
      </c>
      <c r="E19" s="83">
        <f>B19+C19+D19</f>
        <v>734.40741264052008</v>
      </c>
      <c r="F19" s="82"/>
      <c r="G19" s="83">
        <f>E19-J19-H19</f>
        <v>655.27531148258311</v>
      </c>
      <c r="H19" s="83">
        <v>56.816101157936991</v>
      </c>
      <c r="I19" s="83">
        <f>SUM(G19:H19)</f>
        <v>712.09141264052005</v>
      </c>
      <c r="J19" s="80">
        <v>22.315999999999999</v>
      </c>
      <c r="K19" s="15"/>
      <c r="L19" s="15"/>
      <c r="M19" s="15"/>
      <c r="N19" s="15"/>
      <c r="O19" s="15"/>
    </row>
    <row r="20" spans="1:15" ht="16.2">
      <c r="A20" s="15" t="s">
        <v>34</v>
      </c>
      <c r="B20" s="80">
        <f>J19</f>
        <v>22.315999999999999</v>
      </c>
      <c r="C20" s="83">
        <v>590</v>
      </c>
      <c r="D20" s="81">
        <v>0</v>
      </c>
      <c r="E20" s="83">
        <f>B20+C20+D20</f>
        <v>612.31600000000003</v>
      </c>
      <c r="F20" s="82"/>
      <c r="G20" s="83">
        <f>E20-J20-H20</f>
        <v>512.31600000000003</v>
      </c>
      <c r="H20" s="83">
        <v>60</v>
      </c>
      <c r="I20" s="83">
        <f>SUM(G20:H20)</f>
        <v>572.31600000000003</v>
      </c>
      <c r="J20" s="80">
        <v>40</v>
      </c>
      <c r="K20" s="15"/>
      <c r="L20" s="15"/>
      <c r="M20" s="15"/>
      <c r="N20" s="15"/>
      <c r="O20" s="15"/>
    </row>
    <row r="21" spans="1:15" ht="16.2">
      <c r="A21" s="14" t="s">
        <v>35</v>
      </c>
      <c r="B21" s="153">
        <f>J20</f>
        <v>40</v>
      </c>
      <c r="C21" s="156">
        <v>610</v>
      </c>
      <c r="D21" s="154">
        <v>0</v>
      </c>
      <c r="E21" s="156">
        <f>B21+C21+D21</f>
        <v>650</v>
      </c>
      <c r="F21" s="155"/>
      <c r="G21" s="156">
        <v>555</v>
      </c>
      <c r="H21" s="156">
        <v>60</v>
      </c>
      <c r="I21" s="156">
        <f>SUM(G21:H21)</f>
        <v>615</v>
      </c>
      <c r="J21" s="153">
        <f>E21-I21</f>
        <v>35</v>
      </c>
      <c r="K21" s="15"/>
      <c r="L21" s="15"/>
      <c r="M21" s="15"/>
      <c r="N21" s="15"/>
      <c r="O21" s="15"/>
    </row>
    <row r="22" spans="1:15" ht="16.2">
      <c r="A22" s="46" t="s">
        <v>85</v>
      </c>
      <c r="B22" s="15"/>
      <c r="C22" s="79"/>
      <c r="D22" s="79"/>
      <c r="E22" s="79"/>
      <c r="F22" s="79"/>
      <c r="G22" s="79"/>
      <c r="H22" s="79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82"/>
      <c r="C23" s="82"/>
      <c r="D23" s="82"/>
      <c r="E23" s="82"/>
      <c r="F23" s="82"/>
      <c r="G23" s="82"/>
      <c r="H23" s="8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33"/>
      <c r="C24" s="33"/>
      <c r="D24" s="33"/>
      <c r="E24" s="33"/>
      <c r="F24" s="33"/>
      <c r="G24" s="33"/>
      <c r="H24" s="33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33"/>
      <c r="C25" s="38"/>
      <c r="D25" s="33"/>
      <c r="E25" s="33"/>
      <c r="F25" s="33"/>
      <c r="G25" s="33"/>
      <c r="H25" s="33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60" t="s">
        <v>56</v>
      </c>
      <c r="C27" s="160"/>
      <c r="D27" s="160"/>
      <c r="E27" s="160"/>
      <c r="F27" s="15"/>
      <c r="G27" s="160" t="s">
        <v>57</v>
      </c>
      <c r="H27" s="160"/>
      <c r="I27" s="160"/>
      <c r="J27" s="15"/>
      <c r="K27" s="15"/>
      <c r="L27" s="15"/>
      <c r="M27" s="15"/>
      <c r="N27" s="15"/>
      <c r="O27" s="15"/>
    </row>
    <row r="28" spans="1:15" ht="13.8">
      <c r="A28" s="15" t="s">
        <v>16</v>
      </c>
      <c r="B28" s="17" t="s">
        <v>68</v>
      </c>
      <c r="C28" s="20"/>
      <c r="D28" s="20"/>
      <c r="E28" s="20"/>
      <c r="F28" s="20"/>
      <c r="G28" s="20"/>
      <c r="H28" s="20"/>
      <c r="I28" s="20"/>
      <c r="J28" s="17" t="s">
        <v>58</v>
      </c>
      <c r="K28" s="15"/>
      <c r="L28" s="15"/>
      <c r="M28" s="15"/>
      <c r="N28" s="15"/>
      <c r="O28" s="15"/>
    </row>
    <row r="29" spans="1:15" ht="13.8">
      <c r="A29" s="21" t="s">
        <v>59</v>
      </c>
      <c r="B29" s="23" t="s">
        <v>60</v>
      </c>
      <c r="C29" s="23" t="s">
        <v>25</v>
      </c>
      <c r="D29" s="25" t="s">
        <v>69</v>
      </c>
      <c r="E29" s="23" t="s">
        <v>83</v>
      </c>
      <c r="F29" s="24"/>
      <c r="G29" s="23" t="s">
        <v>62</v>
      </c>
      <c r="H29" s="23" t="s">
        <v>29</v>
      </c>
      <c r="I29" s="23" t="s">
        <v>61</v>
      </c>
      <c r="J29" s="23" t="s">
        <v>64</v>
      </c>
      <c r="K29" s="15"/>
      <c r="L29" s="15"/>
      <c r="M29" s="15"/>
      <c r="N29" s="15"/>
      <c r="O29" s="15"/>
    </row>
    <row r="30" spans="1:15" ht="14.4">
      <c r="A30" s="15"/>
      <c r="B30" s="163" t="s">
        <v>73</v>
      </c>
      <c r="C30" s="163"/>
      <c r="D30" s="163"/>
      <c r="E30" s="163"/>
      <c r="F30" s="163"/>
      <c r="G30" s="163"/>
      <c r="H30" s="163"/>
      <c r="I30" s="163"/>
      <c r="J30" s="163"/>
      <c r="K30" s="15"/>
      <c r="L30" s="15"/>
      <c r="M30" s="15"/>
      <c r="N30" s="15"/>
      <c r="O30" s="15"/>
    </row>
    <row r="31" spans="1:15" ht="13.8">
      <c r="A31" s="15" t="s">
        <v>33</v>
      </c>
      <c r="B31" s="81">
        <v>48.207999999999998</v>
      </c>
      <c r="C31" s="83">
        <v>430</v>
      </c>
      <c r="D31" s="81">
        <v>24.878063955389997</v>
      </c>
      <c r="E31" s="85">
        <f>B31+C31+D31</f>
        <v>503.08606395538999</v>
      </c>
      <c r="F31" s="82"/>
      <c r="G31" s="83">
        <f>I31-H31</f>
        <v>325.68860562582</v>
      </c>
      <c r="H31" s="83">
        <v>127.69945832956999</v>
      </c>
      <c r="I31" s="83">
        <f>E31-J31</f>
        <v>453.38806395539001</v>
      </c>
      <c r="J31" s="83">
        <v>49.698</v>
      </c>
      <c r="K31" s="15"/>
      <c r="L31" s="15"/>
      <c r="M31" s="15"/>
      <c r="N31" s="15"/>
      <c r="O31" s="15"/>
    </row>
    <row r="32" spans="1:15" ht="16.2">
      <c r="A32" s="15" t="s">
        <v>34</v>
      </c>
      <c r="B32" s="81">
        <f>J31</f>
        <v>49.698</v>
      </c>
      <c r="C32" s="83">
        <v>375</v>
      </c>
      <c r="D32" s="81">
        <v>20</v>
      </c>
      <c r="E32" s="85">
        <f>B32+C32+D32</f>
        <v>444.69799999999998</v>
      </c>
      <c r="F32" s="82"/>
      <c r="G32" s="83">
        <v>315</v>
      </c>
      <c r="H32" s="83">
        <v>80</v>
      </c>
      <c r="I32" s="83">
        <f>E32-J32</f>
        <v>394.69799999999998</v>
      </c>
      <c r="J32" s="83">
        <v>50</v>
      </c>
      <c r="K32" s="15"/>
      <c r="L32" s="15"/>
      <c r="M32" s="15"/>
      <c r="N32" s="15"/>
      <c r="O32" s="15"/>
    </row>
    <row r="33" spans="1:17" ht="16.2">
      <c r="A33" s="14" t="s">
        <v>35</v>
      </c>
      <c r="B33" s="154">
        <f>J32</f>
        <v>50</v>
      </c>
      <c r="C33" s="156">
        <v>365</v>
      </c>
      <c r="D33" s="154">
        <v>20</v>
      </c>
      <c r="E33" s="157">
        <f>B33+C33+D33</f>
        <v>435</v>
      </c>
      <c r="F33" s="155"/>
      <c r="G33" s="156">
        <v>315</v>
      </c>
      <c r="H33" s="156">
        <v>70</v>
      </c>
      <c r="I33" s="156">
        <f>SUM(G33:H33)</f>
        <v>385</v>
      </c>
      <c r="J33" s="156">
        <f>E33-I33</f>
        <v>50</v>
      </c>
      <c r="K33" s="15"/>
      <c r="L33" s="15"/>
      <c r="M33" s="15"/>
      <c r="N33" s="15"/>
      <c r="O33" s="15"/>
    </row>
    <row r="34" spans="1:17" ht="16.2">
      <c r="A34" s="46" t="s">
        <v>85</v>
      </c>
      <c r="B34" s="15"/>
      <c r="C34" s="79"/>
      <c r="D34" s="79"/>
      <c r="E34" s="79"/>
      <c r="F34" s="79"/>
      <c r="G34" s="79"/>
      <c r="H34" s="79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90</v>
      </c>
      <c r="B35" s="33"/>
      <c r="C35" s="38"/>
      <c r="D35" s="33"/>
      <c r="E35" s="33"/>
      <c r="F35" s="33"/>
      <c r="G35" s="33"/>
      <c r="H35" s="33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160" t="s">
        <v>12</v>
      </c>
      <c r="C39" s="160"/>
      <c r="D39" s="17" t="s">
        <v>13</v>
      </c>
      <c r="E39" s="160" t="s">
        <v>14</v>
      </c>
      <c r="F39" s="160"/>
      <c r="G39" s="160"/>
      <c r="H39" s="160"/>
      <c r="I39" s="15"/>
      <c r="J39" s="160" t="s">
        <v>57</v>
      </c>
      <c r="K39" s="160"/>
      <c r="L39" s="160"/>
      <c r="M39" s="160"/>
      <c r="N39" s="160"/>
      <c r="O39" s="78"/>
    </row>
    <row r="40" spans="1:17" ht="13.8">
      <c r="A40" s="15" t="s">
        <v>16</v>
      </c>
      <c r="B40" s="17" t="s">
        <v>17</v>
      </c>
      <c r="C40" s="17" t="s">
        <v>18</v>
      </c>
      <c r="D40" s="15"/>
      <c r="E40" s="17" t="s">
        <v>68</v>
      </c>
      <c r="F40" s="17"/>
      <c r="G40" s="17"/>
      <c r="H40" s="17"/>
      <c r="I40" s="15"/>
      <c r="J40" s="59" t="s">
        <v>88</v>
      </c>
      <c r="K40" s="17"/>
      <c r="L40" s="17" t="s">
        <v>21</v>
      </c>
      <c r="M40" s="17"/>
      <c r="N40" s="17"/>
      <c r="O40" s="17" t="s">
        <v>58</v>
      </c>
    </row>
    <row r="41" spans="1:17" ht="13.8">
      <c r="A41" s="21" t="s">
        <v>78</v>
      </c>
      <c r="B41" s="22"/>
      <c r="C41" s="22"/>
      <c r="D41" s="22"/>
      <c r="E41" s="23" t="s">
        <v>60</v>
      </c>
      <c r="F41" s="23" t="s">
        <v>25</v>
      </c>
      <c r="G41" s="23" t="s">
        <v>69</v>
      </c>
      <c r="H41" s="23" t="s">
        <v>83</v>
      </c>
      <c r="I41" s="23"/>
      <c r="J41" s="23" t="s">
        <v>91</v>
      </c>
      <c r="K41" s="23" t="s">
        <v>81</v>
      </c>
      <c r="L41" s="23" t="s">
        <v>28</v>
      </c>
      <c r="M41" s="25" t="s">
        <v>29</v>
      </c>
      <c r="N41" s="23" t="s">
        <v>61</v>
      </c>
      <c r="O41" s="23" t="s">
        <v>64</v>
      </c>
    </row>
    <row r="42" spans="1:17" ht="14.4">
      <c r="A42" s="15"/>
      <c r="B42" s="164" t="s">
        <v>92</v>
      </c>
      <c r="C42" s="165"/>
      <c r="D42" s="86" t="s">
        <v>93</v>
      </c>
      <c r="E42" s="166" t="s">
        <v>94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5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33</v>
      </c>
      <c r="B44" s="80">
        <v>1580.2</v>
      </c>
      <c r="C44" s="80">
        <v>1540.1</v>
      </c>
      <c r="D44" s="80">
        <f>F44*1000/C44</f>
        <v>4130.4662034932799</v>
      </c>
      <c r="E44" s="80">
        <v>1968.162</v>
      </c>
      <c r="F44" s="80">
        <v>6361.3310000000001</v>
      </c>
      <c r="G44" s="83">
        <v>107.03</v>
      </c>
      <c r="H44" s="80">
        <f>SUM(E44:G44)</f>
        <v>8436.523000000001</v>
      </c>
      <c r="I44" s="80"/>
      <c r="J44" s="80">
        <v>3313.1</v>
      </c>
      <c r="K44" s="80">
        <v>842.43200000000002</v>
      </c>
      <c r="L44" s="83">
        <f t="shared" ref="L44:L45" si="0">N44-J44-K44-M44</f>
        <v>736.59400000000142</v>
      </c>
      <c r="M44" s="83">
        <v>1184.1400000000001</v>
      </c>
      <c r="N44" s="80">
        <f>H44-O44</f>
        <v>6076.2660000000014</v>
      </c>
      <c r="O44" s="80">
        <v>2360.2570000000001</v>
      </c>
      <c r="P44" s="103"/>
      <c r="Q44" s="103"/>
    </row>
    <row r="45" spans="1:17" ht="16.2">
      <c r="A45" s="15" t="s">
        <v>34</v>
      </c>
      <c r="B45" s="80">
        <v>1450.3</v>
      </c>
      <c r="C45" s="80">
        <v>1385.4</v>
      </c>
      <c r="D45" s="80">
        <f>F45*1000/C45</f>
        <v>4019.1641403204849</v>
      </c>
      <c r="E45" s="80">
        <f>O44</f>
        <v>2360.2570000000001</v>
      </c>
      <c r="F45" s="80">
        <v>5568.15</v>
      </c>
      <c r="G45" s="83">
        <v>102.91</v>
      </c>
      <c r="H45" s="80">
        <f>SUM(E45:G45)</f>
        <v>8031.3169999999991</v>
      </c>
      <c r="I45" s="80"/>
      <c r="J45" s="80">
        <v>3201</v>
      </c>
      <c r="K45" s="80">
        <v>794.7</v>
      </c>
      <c r="L45" s="83">
        <f t="shared" si="0"/>
        <v>806.60099999999875</v>
      </c>
      <c r="M45" s="83">
        <v>1195.93</v>
      </c>
      <c r="N45" s="80">
        <f>H45-O45</f>
        <v>5998.2309999999989</v>
      </c>
      <c r="O45" s="80">
        <v>2033.086</v>
      </c>
      <c r="P45" s="103"/>
      <c r="Q45" s="103"/>
    </row>
    <row r="46" spans="1:17" ht="16.2">
      <c r="A46" s="14" t="s">
        <v>35</v>
      </c>
      <c r="B46" s="153">
        <v>1650</v>
      </c>
      <c r="C46" s="153">
        <v>1599.8</v>
      </c>
      <c r="D46" s="153">
        <f>F46*1000/C46</f>
        <v>3952.8128516064507</v>
      </c>
      <c r="E46" s="153">
        <f>O45</f>
        <v>2033.086</v>
      </c>
      <c r="F46" s="153">
        <v>6323.71</v>
      </c>
      <c r="G46" s="156">
        <v>115</v>
      </c>
      <c r="H46" s="153">
        <f>SUM(E46:G46)</f>
        <v>8471.7960000000003</v>
      </c>
      <c r="I46" s="153"/>
      <c r="J46" s="153">
        <v>3318.5819999999999</v>
      </c>
      <c r="K46" s="153">
        <v>850</v>
      </c>
      <c r="L46" s="156">
        <v>768</v>
      </c>
      <c r="M46" s="156">
        <v>1350</v>
      </c>
      <c r="N46" s="153">
        <f>SUM(J46:M46)</f>
        <v>6286.5820000000003</v>
      </c>
      <c r="O46" s="153">
        <f>H46-N46</f>
        <v>2185.2139999999999</v>
      </c>
      <c r="P46" s="103"/>
      <c r="Q46" s="103"/>
    </row>
    <row r="47" spans="1:17" ht="16.2">
      <c r="A47" s="46" t="s">
        <v>85</v>
      </c>
      <c r="B47" s="15"/>
      <c r="C47" s="79"/>
      <c r="D47" s="79"/>
      <c r="E47" s="79"/>
      <c r="F47" s="79"/>
      <c r="G47" s="79"/>
      <c r="H47" s="79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55</v>
      </c>
      <c r="B50" s="87">
        <f>Contents!A16</f>
        <v>45183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88"/>
      <c r="B51" s="89"/>
      <c r="C51" s="89"/>
      <c r="D51" s="89"/>
      <c r="E51" s="89"/>
      <c r="F51" s="89"/>
      <c r="G51" s="89"/>
      <c r="H51" s="89"/>
      <c r="I51" s="89"/>
      <c r="J51" s="116"/>
      <c r="K51" s="89"/>
      <c r="L51" s="89"/>
      <c r="M51" s="89"/>
      <c r="N51" s="89"/>
      <c r="O51" s="89"/>
    </row>
    <row r="52" spans="1:15" ht="15.6">
      <c r="G52" s="68"/>
      <c r="H52" s="68"/>
    </row>
    <row r="53" spans="1:15" ht="15.6">
      <c r="G53" s="68"/>
      <c r="H53" s="68"/>
    </row>
    <row r="54" spans="1:15" ht="15.6">
      <c r="G54" s="68"/>
      <c r="H54" s="68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34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I49"/>
  <sheetViews>
    <sheetView showGridLines="0" zoomScale="70" zoomScaleNormal="70" workbookViewId="0"/>
  </sheetViews>
  <sheetFormatPr defaultColWidth="9.109375" defaultRowHeight="13.2"/>
  <cols>
    <col min="1" max="1" width="11.6640625" customWidth="1"/>
    <col min="2" max="2" width="18.88671875" bestFit="1" customWidth="1"/>
    <col min="3" max="3" width="22.109375" bestFit="1" customWidth="1"/>
    <col min="4" max="5" width="25.6640625" bestFit="1" customWidth="1"/>
    <col min="6" max="6" width="16.6640625" bestFit="1" customWidth="1"/>
    <col min="7" max="7" width="18.88671875" bestFit="1" customWidth="1"/>
  </cols>
  <sheetData>
    <row r="1" spans="1:7" ht="15.6" customHeight="1">
      <c r="A1" s="14" t="s">
        <v>8</v>
      </c>
      <c r="B1" s="14"/>
      <c r="C1" s="14"/>
      <c r="D1" s="14"/>
      <c r="E1" s="14"/>
      <c r="F1" s="14"/>
      <c r="G1" s="14"/>
    </row>
    <row r="2" spans="1:7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7" ht="15.6" customHeight="1">
      <c r="A3" s="14" t="s">
        <v>103</v>
      </c>
      <c r="B3" s="24"/>
      <c r="C3" s="50"/>
      <c r="D3" s="50"/>
      <c r="E3" s="50"/>
      <c r="F3" s="50"/>
      <c r="G3" s="50"/>
    </row>
    <row r="4" spans="1:7" ht="14.4">
      <c r="A4" s="51"/>
      <c r="B4" s="52" t="s">
        <v>104</v>
      </c>
      <c r="C4" s="52" t="s">
        <v>105</v>
      </c>
      <c r="D4" s="52" t="s">
        <v>106</v>
      </c>
      <c r="E4" s="52" t="s">
        <v>106</v>
      </c>
      <c r="F4" s="52" t="s">
        <v>107</v>
      </c>
      <c r="G4" s="52" t="s">
        <v>104</v>
      </c>
    </row>
    <row r="5" spans="1:7" ht="13.8">
      <c r="A5" s="15"/>
      <c r="B5" s="15"/>
      <c r="C5" s="15"/>
      <c r="D5" s="17"/>
      <c r="E5" s="15"/>
      <c r="F5" s="15"/>
      <c r="G5" s="15"/>
    </row>
    <row r="6" spans="1:7" ht="13.8">
      <c r="A6" s="15" t="s">
        <v>108</v>
      </c>
      <c r="B6" s="53">
        <v>11.3</v>
      </c>
      <c r="C6" s="53">
        <v>161</v>
      </c>
      <c r="D6" s="53">
        <v>23.3</v>
      </c>
      <c r="E6" s="53">
        <v>19.3</v>
      </c>
      <c r="F6" s="53">
        <v>22.5</v>
      </c>
      <c r="G6" s="53">
        <v>12.2</v>
      </c>
    </row>
    <row r="7" spans="1:7" ht="13.8">
      <c r="A7" s="15" t="s">
        <v>109</v>
      </c>
      <c r="B7" s="53">
        <v>12.5</v>
      </c>
      <c r="C7" s="53">
        <v>260</v>
      </c>
      <c r="D7" s="53">
        <v>29.1</v>
      </c>
      <c r="E7" s="53">
        <v>24</v>
      </c>
      <c r="F7" s="53">
        <v>31.8</v>
      </c>
      <c r="G7" s="53">
        <v>13.9</v>
      </c>
    </row>
    <row r="8" spans="1:7" ht="13.8">
      <c r="A8" s="15" t="s">
        <v>110</v>
      </c>
      <c r="B8" s="53">
        <v>14.4</v>
      </c>
      <c r="C8" s="53">
        <v>252</v>
      </c>
      <c r="D8" s="53">
        <v>25.4</v>
      </c>
      <c r="E8" s="53">
        <v>26.5</v>
      </c>
      <c r="F8" s="53">
        <v>30.1</v>
      </c>
      <c r="G8" s="53">
        <v>13.8</v>
      </c>
    </row>
    <row r="9" spans="1:7" ht="13.8">
      <c r="A9" s="15" t="s">
        <v>111</v>
      </c>
      <c r="B9" s="53">
        <v>13</v>
      </c>
      <c r="C9" s="53">
        <v>246</v>
      </c>
      <c r="D9" s="53">
        <v>21.4</v>
      </c>
      <c r="E9" s="53">
        <v>20.6</v>
      </c>
      <c r="F9" s="53">
        <v>24.9</v>
      </c>
      <c r="G9" s="53">
        <v>13.8</v>
      </c>
    </row>
    <row r="10" spans="1:7" ht="13.8">
      <c r="A10" s="15" t="s">
        <v>112</v>
      </c>
      <c r="B10" s="53">
        <v>10.1</v>
      </c>
      <c r="C10" s="53">
        <v>194</v>
      </c>
      <c r="D10" s="53">
        <v>21.7</v>
      </c>
      <c r="E10" s="53">
        <v>16.899999999999999</v>
      </c>
      <c r="F10" s="53">
        <v>22</v>
      </c>
      <c r="G10" s="53">
        <v>11.8</v>
      </c>
    </row>
    <row r="11" spans="1:7" ht="13.8">
      <c r="A11" s="15" t="s">
        <v>113</v>
      </c>
      <c r="B11" s="53">
        <v>8.9499999999999993</v>
      </c>
      <c r="C11" s="53">
        <v>227</v>
      </c>
      <c r="D11" s="53">
        <v>19.600000000000001</v>
      </c>
      <c r="E11" s="53">
        <v>15.6</v>
      </c>
      <c r="F11" s="53">
        <v>19.3</v>
      </c>
      <c r="G11" s="53">
        <v>8.9499999999999993</v>
      </c>
    </row>
    <row r="12" spans="1:7" ht="13.8">
      <c r="A12" s="15" t="s">
        <v>114</v>
      </c>
      <c r="B12" s="53">
        <v>9.4700000000000006</v>
      </c>
      <c r="C12" s="53">
        <v>195</v>
      </c>
      <c r="D12" s="53">
        <v>17.399999999999999</v>
      </c>
      <c r="E12" s="53">
        <v>16.600000000000001</v>
      </c>
      <c r="F12" s="53">
        <v>19.7</v>
      </c>
      <c r="G12" s="53">
        <v>8</v>
      </c>
    </row>
    <row r="13" spans="1:7" ht="13.8">
      <c r="A13" s="15" t="s">
        <v>115</v>
      </c>
      <c r="B13" s="53">
        <v>9.33</v>
      </c>
      <c r="C13" s="53">
        <v>142</v>
      </c>
      <c r="D13" s="53">
        <v>17.2</v>
      </c>
      <c r="E13" s="53">
        <v>17.5</v>
      </c>
      <c r="F13" s="53">
        <v>22.9</v>
      </c>
      <c r="G13" s="53">
        <v>9.5299999999999994</v>
      </c>
    </row>
    <row r="14" spans="1:7" ht="13.8">
      <c r="A14" s="15" t="s">
        <v>116</v>
      </c>
      <c r="B14" s="53">
        <v>8.48</v>
      </c>
      <c r="C14" s="53">
        <v>155</v>
      </c>
      <c r="D14" s="53">
        <v>17.399999999999999</v>
      </c>
      <c r="E14" s="53">
        <v>15.8</v>
      </c>
      <c r="F14" s="53">
        <v>21.5</v>
      </c>
      <c r="G14" s="53">
        <v>9.89</v>
      </c>
    </row>
    <row r="15" spans="1:7" ht="13.8">
      <c r="A15" s="15" t="s">
        <v>117</v>
      </c>
      <c r="B15" s="53">
        <v>8.57</v>
      </c>
      <c r="C15" s="53">
        <v>161</v>
      </c>
      <c r="D15" s="53">
        <v>19.5</v>
      </c>
      <c r="E15" s="53">
        <v>14.8</v>
      </c>
      <c r="F15" s="53">
        <v>20.5</v>
      </c>
      <c r="G15" s="53">
        <v>9.15</v>
      </c>
    </row>
    <row r="16" spans="1:7" ht="13.8">
      <c r="A16" s="15" t="s">
        <v>118</v>
      </c>
      <c r="B16" s="53">
        <v>10.8</v>
      </c>
      <c r="C16" s="53">
        <v>194</v>
      </c>
      <c r="D16" s="53">
        <v>21.3</v>
      </c>
      <c r="E16" s="53">
        <v>18.400000000000002</v>
      </c>
      <c r="F16" s="53">
        <v>21</v>
      </c>
      <c r="G16" s="53">
        <v>11.1</v>
      </c>
    </row>
    <row r="17" spans="1:9" ht="13.8">
      <c r="A17" s="15" t="s">
        <v>33</v>
      </c>
      <c r="B17" s="53">
        <v>13.3</v>
      </c>
      <c r="C17" s="53">
        <v>243</v>
      </c>
      <c r="D17" s="137">
        <v>32.9</v>
      </c>
      <c r="E17" s="53">
        <v>32.9</v>
      </c>
      <c r="F17" s="53">
        <v>24.3</v>
      </c>
      <c r="G17" s="53">
        <v>25.9</v>
      </c>
    </row>
    <row r="18" spans="1:9" ht="16.2">
      <c r="A18" s="15" t="s">
        <v>119</v>
      </c>
      <c r="B18" s="53">
        <v>14.2</v>
      </c>
      <c r="C18" s="53">
        <v>332</v>
      </c>
      <c r="D18" s="53">
        <v>27.1</v>
      </c>
      <c r="E18" s="53">
        <v>29.8</v>
      </c>
      <c r="F18" s="53">
        <v>26.8</v>
      </c>
      <c r="G18" s="137">
        <v>17.5</v>
      </c>
      <c r="H18" s="158"/>
    </row>
    <row r="19" spans="1:9" ht="16.2">
      <c r="A19" s="15" t="s">
        <v>120</v>
      </c>
      <c r="B19" s="53">
        <v>12.9</v>
      </c>
      <c r="C19" s="53">
        <v>300</v>
      </c>
      <c r="D19" s="53">
        <v>23.6</v>
      </c>
      <c r="E19" s="53">
        <v>27</v>
      </c>
      <c r="F19" s="53">
        <v>27</v>
      </c>
      <c r="G19" s="137">
        <v>12</v>
      </c>
      <c r="H19" s="158"/>
      <c r="I19" s="159"/>
    </row>
    <row r="20" spans="1:9" ht="13.8">
      <c r="A20" s="15"/>
      <c r="B20" s="54"/>
      <c r="C20" s="55"/>
      <c r="D20" s="56"/>
      <c r="E20" s="56"/>
      <c r="F20" s="55"/>
      <c r="G20" s="57"/>
      <c r="H20" s="47"/>
    </row>
    <row r="21" spans="1:9" ht="13.8">
      <c r="A21" s="58" t="s">
        <v>33</v>
      </c>
      <c r="B21" s="53"/>
      <c r="C21" s="53"/>
      <c r="D21" s="53"/>
      <c r="E21" s="53"/>
      <c r="F21" s="53"/>
      <c r="G21" s="53"/>
    </row>
    <row r="22" spans="1:9" ht="13.8">
      <c r="A22" s="15" t="s">
        <v>36</v>
      </c>
      <c r="B22" s="53">
        <v>12.2</v>
      </c>
      <c r="C22" s="53">
        <v>235</v>
      </c>
      <c r="D22" s="53">
        <v>30.7</v>
      </c>
      <c r="E22" s="53">
        <v>28.7</v>
      </c>
      <c r="F22" s="53">
        <v>22.2</v>
      </c>
      <c r="G22" s="53">
        <v>19.8</v>
      </c>
    </row>
    <row r="23" spans="1:9" ht="13.8">
      <c r="A23" s="15" t="s">
        <v>37</v>
      </c>
      <c r="B23" s="53">
        <v>11.9</v>
      </c>
      <c r="C23" s="53">
        <v>244</v>
      </c>
      <c r="D23" s="53">
        <v>30.5</v>
      </c>
      <c r="E23" s="53">
        <v>29.6</v>
      </c>
      <c r="F23" s="53">
        <v>23.9</v>
      </c>
      <c r="G23" s="53">
        <v>26.2</v>
      </c>
    </row>
    <row r="24" spans="1:9" ht="13.8">
      <c r="A24" s="15" t="s">
        <v>38</v>
      </c>
      <c r="B24" s="53">
        <v>12.1</v>
      </c>
      <c r="C24" s="53">
        <v>244</v>
      </c>
      <c r="D24" s="53">
        <v>30.3</v>
      </c>
      <c r="E24" s="53">
        <v>31.7</v>
      </c>
      <c r="F24" s="53">
        <v>25.4</v>
      </c>
      <c r="G24" s="53">
        <v>26.1</v>
      </c>
    </row>
    <row r="25" spans="1:9" ht="13.8">
      <c r="A25" s="15" t="s">
        <v>40</v>
      </c>
      <c r="B25" s="53">
        <v>12.5</v>
      </c>
      <c r="C25" s="53">
        <v>239</v>
      </c>
      <c r="D25" s="53">
        <v>31.6</v>
      </c>
      <c r="E25" s="53">
        <v>32.5</v>
      </c>
      <c r="F25" s="53">
        <v>24.1</v>
      </c>
      <c r="G25" s="53">
        <v>31.3</v>
      </c>
    </row>
    <row r="26" spans="1:9" ht="13.8">
      <c r="A26" s="15" t="s">
        <v>41</v>
      </c>
      <c r="B26" s="53">
        <v>12.9</v>
      </c>
      <c r="C26" s="53">
        <v>241</v>
      </c>
      <c r="D26" s="53">
        <v>31</v>
      </c>
      <c r="E26" s="53">
        <v>33.700000000000003</v>
      </c>
      <c r="F26" s="53">
        <v>25.9</v>
      </c>
      <c r="G26" s="53">
        <v>31</v>
      </c>
    </row>
    <row r="27" spans="1:9" ht="13.8">
      <c r="A27" s="15" t="s">
        <v>42</v>
      </c>
      <c r="B27" s="53">
        <v>14.7</v>
      </c>
      <c r="C27" s="53">
        <v>256</v>
      </c>
      <c r="D27" s="53">
        <v>32.200000000000003</v>
      </c>
      <c r="E27" s="53">
        <v>37.5</v>
      </c>
      <c r="F27" s="53">
        <v>24.8</v>
      </c>
      <c r="G27" s="53">
        <v>27.5</v>
      </c>
    </row>
    <row r="28" spans="1:9" ht="13.8">
      <c r="A28" s="15" t="s">
        <v>44</v>
      </c>
      <c r="B28" s="53">
        <v>15.4</v>
      </c>
      <c r="C28" s="53" t="s">
        <v>76</v>
      </c>
      <c r="D28" s="53">
        <v>33.9</v>
      </c>
      <c r="E28" s="53">
        <v>39.200000000000003</v>
      </c>
      <c r="F28" s="53">
        <v>25</v>
      </c>
      <c r="G28" s="53">
        <v>28.9</v>
      </c>
    </row>
    <row r="29" spans="1:9" ht="13.8">
      <c r="A29" s="15" t="s">
        <v>45</v>
      </c>
      <c r="B29" s="53">
        <v>15.8</v>
      </c>
      <c r="C29" s="53" t="s">
        <v>76</v>
      </c>
      <c r="D29" s="53">
        <v>37.1</v>
      </c>
      <c r="E29" s="53">
        <v>41.3</v>
      </c>
      <c r="F29" s="53">
        <v>24.8</v>
      </c>
      <c r="G29" s="53">
        <v>30.2</v>
      </c>
    </row>
    <row r="30" spans="1:9" ht="13.8">
      <c r="A30" s="15" t="s">
        <v>46</v>
      </c>
      <c r="B30" s="53">
        <v>16.100000000000001</v>
      </c>
      <c r="C30" s="53" t="s">
        <v>76</v>
      </c>
      <c r="D30" s="53">
        <v>40.1</v>
      </c>
      <c r="E30" s="53">
        <v>42.9</v>
      </c>
      <c r="F30" s="53">
        <v>25.3</v>
      </c>
      <c r="G30" s="53">
        <v>29.7</v>
      </c>
    </row>
    <row r="31" spans="1:9" ht="13.8">
      <c r="A31" s="15" t="s">
        <v>48</v>
      </c>
      <c r="B31" s="53">
        <v>16.399999999999999</v>
      </c>
      <c r="C31" s="53" t="s">
        <v>76</v>
      </c>
      <c r="D31" s="53">
        <v>40.200000000000003</v>
      </c>
      <c r="E31" s="53">
        <v>45.6</v>
      </c>
      <c r="F31" s="53">
        <v>25.2</v>
      </c>
      <c r="G31" s="53">
        <v>23.9</v>
      </c>
    </row>
    <row r="32" spans="1:9" ht="13.8">
      <c r="A32" s="15" t="s">
        <v>49</v>
      </c>
      <c r="B32" s="53">
        <v>15.5</v>
      </c>
      <c r="C32" s="53">
        <v>360</v>
      </c>
      <c r="D32" s="53">
        <v>36.200000000000003</v>
      </c>
      <c r="E32" s="53">
        <v>42.7</v>
      </c>
      <c r="F32" s="53">
        <v>25.3</v>
      </c>
      <c r="G32" s="53">
        <v>24.2</v>
      </c>
    </row>
    <row r="33" spans="1:7" ht="13.8">
      <c r="A33" s="15" t="s">
        <v>50</v>
      </c>
      <c r="B33" s="53">
        <f>15.3</f>
        <v>15.3</v>
      </c>
      <c r="C33" s="53">
        <f>343</f>
        <v>343</v>
      </c>
      <c r="D33" s="53">
        <f>37.8</f>
        <v>37.799999999999997</v>
      </c>
      <c r="E33" s="53">
        <f>40</f>
        <v>40</v>
      </c>
      <c r="F33" s="53">
        <f>25</f>
        <v>25</v>
      </c>
      <c r="G33" s="53">
        <f>20.8</f>
        <v>20.8</v>
      </c>
    </row>
    <row r="34" spans="1:7" ht="13.8">
      <c r="A34" s="15"/>
      <c r="B34" s="53"/>
      <c r="C34" s="53"/>
      <c r="D34" s="53"/>
      <c r="E34" s="53"/>
      <c r="F34" s="53"/>
      <c r="G34" s="53"/>
    </row>
    <row r="35" spans="1:7" ht="13.8">
      <c r="A35" s="58" t="s">
        <v>52</v>
      </c>
      <c r="B35" s="53"/>
      <c r="C35" s="53"/>
      <c r="D35" s="53"/>
      <c r="E35" s="53"/>
      <c r="F35" s="53"/>
      <c r="G35" s="53"/>
    </row>
    <row r="36" spans="1:7" ht="13.8">
      <c r="A36" s="15" t="s">
        <v>36</v>
      </c>
      <c r="B36" s="53">
        <v>14.1</v>
      </c>
      <c r="C36" s="53">
        <v>361</v>
      </c>
      <c r="D36" s="53">
        <v>32.9</v>
      </c>
      <c r="E36" s="53">
        <v>28.1</v>
      </c>
      <c r="F36" s="53">
        <v>25.7</v>
      </c>
      <c r="G36" s="53">
        <v>18.899999999999999</v>
      </c>
    </row>
    <row r="37" spans="1:7" ht="13.8">
      <c r="A37" s="15" t="s">
        <v>37</v>
      </c>
      <c r="B37" s="53">
        <v>13.5</v>
      </c>
      <c r="C37" s="53">
        <v>338</v>
      </c>
      <c r="D37" s="53">
        <v>29.3</v>
      </c>
      <c r="E37" s="53">
        <v>28.1</v>
      </c>
      <c r="F37" s="53">
        <v>26.6</v>
      </c>
      <c r="G37" s="53">
        <v>18.600000000000001</v>
      </c>
    </row>
    <row r="38" spans="1:7" ht="13.8">
      <c r="A38" s="15" t="s">
        <v>38</v>
      </c>
      <c r="B38" s="53">
        <v>14</v>
      </c>
      <c r="C38" s="53">
        <v>323</v>
      </c>
      <c r="D38" s="53">
        <v>28.4</v>
      </c>
      <c r="E38" s="53">
        <v>29.2</v>
      </c>
      <c r="F38" s="53">
        <v>29.9</v>
      </c>
      <c r="G38" s="53">
        <v>19.5</v>
      </c>
    </row>
    <row r="39" spans="1:7" ht="13.8">
      <c r="A39" s="15" t="s">
        <v>40</v>
      </c>
      <c r="B39" s="53">
        <v>14.4</v>
      </c>
      <c r="C39" s="53">
        <v>329</v>
      </c>
      <c r="D39" s="53">
        <v>29.5</v>
      </c>
      <c r="E39" s="53">
        <v>29.2</v>
      </c>
      <c r="F39" s="53">
        <v>24.1</v>
      </c>
      <c r="G39" s="53">
        <v>18.399999999999999</v>
      </c>
    </row>
    <row r="40" spans="1:7" ht="13.8">
      <c r="A40" s="15" t="s">
        <v>41</v>
      </c>
      <c r="B40" s="53">
        <v>14.5</v>
      </c>
      <c r="C40" s="53">
        <v>316</v>
      </c>
      <c r="D40" s="53">
        <v>28.5</v>
      </c>
      <c r="E40" s="53">
        <v>30.1</v>
      </c>
      <c r="F40" s="53">
        <v>27.9</v>
      </c>
      <c r="G40" s="53">
        <v>17.7</v>
      </c>
    </row>
    <row r="41" spans="1:7" ht="13.8">
      <c r="A41" s="15" t="s">
        <v>42</v>
      </c>
      <c r="B41" s="53">
        <v>15.1</v>
      </c>
      <c r="C41" s="53">
        <v>332</v>
      </c>
      <c r="D41" s="53">
        <v>30.8</v>
      </c>
      <c r="E41" s="53">
        <v>30.7</v>
      </c>
      <c r="F41" s="53">
        <v>27.2</v>
      </c>
      <c r="G41" s="53">
        <v>16.2</v>
      </c>
    </row>
    <row r="42" spans="1:7" ht="13.8">
      <c r="A42" s="15" t="s">
        <v>44</v>
      </c>
      <c r="B42" s="53">
        <v>14.9</v>
      </c>
      <c r="C42" s="53" t="s">
        <v>76</v>
      </c>
      <c r="D42" s="53">
        <v>26.9</v>
      </c>
      <c r="E42" s="53">
        <v>30.9</v>
      </c>
      <c r="F42" s="53">
        <v>26.9</v>
      </c>
      <c r="G42" s="53">
        <v>14.8</v>
      </c>
    </row>
    <row r="43" spans="1:7" ht="13.8">
      <c r="A43" s="15" t="s">
        <v>45</v>
      </c>
      <c r="B43" s="53">
        <v>14.9</v>
      </c>
      <c r="C43" s="53" t="s">
        <v>76</v>
      </c>
      <c r="D43" s="53">
        <v>26.9</v>
      </c>
      <c r="E43" s="53">
        <v>26.8</v>
      </c>
      <c r="F43" s="53">
        <v>27.3</v>
      </c>
      <c r="G43" s="53">
        <v>12.1</v>
      </c>
    </row>
    <row r="44" spans="1:7" ht="13.8">
      <c r="A44" s="15" t="s">
        <v>46</v>
      </c>
      <c r="B44" s="53">
        <v>14.4</v>
      </c>
      <c r="C44" s="53" t="s">
        <v>76</v>
      </c>
      <c r="D44" s="53">
        <v>25</v>
      </c>
      <c r="E44" s="53">
        <v>25.2</v>
      </c>
      <c r="F44" s="53">
        <v>27.9</v>
      </c>
      <c r="G44" s="53">
        <v>12.4</v>
      </c>
    </row>
    <row r="45" spans="1:7" ht="13.8">
      <c r="A45" s="15" t="s">
        <v>48</v>
      </c>
      <c r="B45" s="53">
        <v>14.2</v>
      </c>
      <c r="C45" s="53" t="s">
        <v>76</v>
      </c>
      <c r="D45" s="53">
        <v>20.7</v>
      </c>
      <c r="E45" s="53">
        <v>27.3</v>
      </c>
      <c r="F45" s="53">
        <v>28.3</v>
      </c>
      <c r="G45" s="53">
        <v>13.1</v>
      </c>
    </row>
    <row r="46" spans="1:7" ht="13.8">
      <c r="A46" s="14" t="s">
        <v>49</v>
      </c>
      <c r="B46" s="133">
        <v>14.7</v>
      </c>
      <c r="C46" s="133" t="s">
        <v>76</v>
      </c>
      <c r="D46" s="133">
        <v>25</v>
      </c>
      <c r="E46" s="133">
        <v>27.2</v>
      </c>
      <c r="F46" s="133">
        <v>27.7</v>
      </c>
      <c r="G46" s="133">
        <v>11</v>
      </c>
    </row>
    <row r="47" spans="1:7" ht="16.2">
      <c r="A47" s="15" t="s">
        <v>121</v>
      </c>
      <c r="B47" s="15"/>
      <c r="C47" s="15"/>
      <c r="D47" s="15"/>
      <c r="E47" s="15"/>
      <c r="F47" s="15"/>
      <c r="G47" s="15"/>
    </row>
    <row r="48" spans="1:7" ht="14.4">
      <c r="A48" s="15" t="s">
        <v>122</v>
      </c>
      <c r="B48" s="15"/>
      <c r="C48" s="15"/>
      <c r="D48" s="15"/>
      <c r="E48" s="15"/>
      <c r="F48" s="15"/>
      <c r="G48" s="15"/>
    </row>
    <row r="49" spans="1:7" ht="13.8">
      <c r="A49" s="20" t="s">
        <v>55</v>
      </c>
      <c r="B49" s="41">
        <f>Contents!A16</f>
        <v>45183</v>
      </c>
      <c r="C49" s="15"/>
      <c r="D49" s="15"/>
      <c r="E49" s="15"/>
      <c r="F49" s="15"/>
      <c r="G49" s="15"/>
    </row>
  </sheetData>
  <phoneticPr fontId="34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70"/>
  <sheetViews>
    <sheetView showGridLines="0" zoomScale="70" zoomScaleNormal="70" workbookViewId="0">
      <pane xSplit="1" ySplit="4" topLeftCell="B5" activePane="bottomRight" state="frozen"/>
      <selection activeCell="A43" sqref="A43"/>
      <selection pane="topRight" activeCell="A43" sqref="A43"/>
      <selection pane="bottomLeft" activeCell="A43" sqref="A43"/>
      <selection pane="bottomRight"/>
    </sheetView>
  </sheetViews>
  <sheetFormatPr defaultColWidth="9.109375" defaultRowHeight="13.2"/>
  <cols>
    <col min="1" max="2" width="11.6640625" customWidth="1"/>
    <col min="3" max="3" width="11.5546875" customWidth="1"/>
    <col min="4" max="4" width="13.6640625" customWidth="1"/>
    <col min="5" max="5" width="11.6640625" customWidth="1"/>
    <col min="6" max="6" width="11.5546875" bestFit="1" customWidth="1"/>
    <col min="7" max="7" width="10.6640625" customWidth="1"/>
    <col min="8" max="8" width="12" customWidth="1"/>
    <col min="9" max="9" width="13.44140625" customWidth="1"/>
    <col min="10" max="10" width="10.109375" bestFit="1" customWidth="1"/>
  </cols>
  <sheetData>
    <row r="1" spans="1:12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2" ht="15.6" customHeight="1">
      <c r="A2" s="59" t="s">
        <v>96</v>
      </c>
      <c r="B2" s="17" t="s">
        <v>123</v>
      </c>
      <c r="C2" s="17" t="s">
        <v>124</v>
      </c>
      <c r="D2" s="17" t="s">
        <v>125</v>
      </c>
      <c r="E2" s="60" t="s">
        <v>126</v>
      </c>
      <c r="F2" s="60" t="s">
        <v>127</v>
      </c>
      <c r="G2" s="17" t="s">
        <v>128</v>
      </c>
      <c r="H2" s="17" t="s">
        <v>129</v>
      </c>
      <c r="I2" s="61" t="s">
        <v>130</v>
      </c>
    </row>
    <row r="3" spans="1:12" ht="15.6" customHeight="1">
      <c r="A3" s="62" t="s">
        <v>103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2" ht="14.4">
      <c r="A4" s="63" t="s">
        <v>137</v>
      </c>
      <c r="C4" s="64"/>
      <c r="D4" s="64"/>
      <c r="E4" s="64"/>
      <c r="F4" s="64"/>
      <c r="G4" s="64"/>
      <c r="H4" s="64"/>
      <c r="I4" s="64"/>
    </row>
    <row r="5" spans="1:12" ht="13.8">
      <c r="A5" s="15"/>
      <c r="B5" s="15"/>
      <c r="C5" s="15"/>
      <c r="D5" s="15"/>
      <c r="E5" s="15"/>
      <c r="F5" s="15"/>
      <c r="G5" s="15"/>
      <c r="H5" s="15"/>
      <c r="I5" s="15"/>
    </row>
    <row r="6" spans="1:12" ht="13.8">
      <c r="A6" s="15" t="s">
        <v>108</v>
      </c>
      <c r="B6" s="53">
        <v>53.2</v>
      </c>
      <c r="C6" s="53">
        <v>54.5</v>
      </c>
      <c r="D6" s="53">
        <v>86.12</v>
      </c>
      <c r="E6" s="53">
        <v>58.68</v>
      </c>
      <c r="F6" s="53">
        <v>77.239999999999995</v>
      </c>
      <c r="G6" s="53">
        <v>60.76</v>
      </c>
      <c r="H6" s="53">
        <v>51.52</v>
      </c>
      <c r="I6" s="53">
        <v>51.34</v>
      </c>
      <c r="K6" s="69"/>
      <c r="L6" s="69"/>
    </row>
    <row r="7" spans="1:12" ht="13.8">
      <c r="A7" s="15" t="s">
        <v>109</v>
      </c>
      <c r="B7" s="53">
        <v>51.9</v>
      </c>
      <c r="C7" s="53">
        <v>53.22</v>
      </c>
      <c r="D7" s="53">
        <v>83.2</v>
      </c>
      <c r="E7" s="53">
        <v>57.19</v>
      </c>
      <c r="F7" s="53">
        <v>100.15</v>
      </c>
      <c r="G7" s="53">
        <v>56.09</v>
      </c>
      <c r="H7" s="53">
        <v>48.11</v>
      </c>
      <c r="I7" s="53">
        <v>50.33</v>
      </c>
      <c r="K7" s="69"/>
      <c r="L7" s="69"/>
    </row>
    <row r="8" spans="1:12" ht="13.8">
      <c r="A8" s="15" t="s">
        <v>110</v>
      </c>
      <c r="B8" s="53">
        <v>47.13</v>
      </c>
      <c r="C8" s="53">
        <v>48.6</v>
      </c>
      <c r="D8" s="53">
        <v>65.87</v>
      </c>
      <c r="E8" s="53">
        <v>56.17</v>
      </c>
      <c r="F8" s="53">
        <v>91.83</v>
      </c>
      <c r="G8" s="53">
        <v>46.66</v>
      </c>
      <c r="H8" s="53">
        <v>51.8</v>
      </c>
      <c r="I8" s="53">
        <v>43.24</v>
      </c>
      <c r="K8" s="69"/>
      <c r="L8" s="69"/>
    </row>
    <row r="9" spans="1:12" ht="13.8">
      <c r="A9" s="15" t="s">
        <v>111</v>
      </c>
      <c r="B9" s="53">
        <v>38.229999999999997</v>
      </c>
      <c r="C9" s="53">
        <v>60.66</v>
      </c>
      <c r="D9" s="53">
        <v>59.12</v>
      </c>
      <c r="E9" s="53">
        <v>43.7</v>
      </c>
      <c r="F9" s="53">
        <v>68.23</v>
      </c>
      <c r="G9" s="53">
        <v>39.43</v>
      </c>
      <c r="H9" s="53">
        <v>43.93</v>
      </c>
      <c r="I9" s="53">
        <v>39.76</v>
      </c>
      <c r="K9" s="69"/>
      <c r="L9" s="69"/>
    </row>
    <row r="10" spans="1:12" ht="13.8">
      <c r="A10" s="15" t="s">
        <v>112</v>
      </c>
      <c r="B10" s="53">
        <v>31.6</v>
      </c>
      <c r="C10" s="53">
        <v>45.74</v>
      </c>
      <c r="D10" s="53">
        <v>66.72</v>
      </c>
      <c r="E10" s="53">
        <v>37.81</v>
      </c>
      <c r="F10" s="53">
        <v>57.96</v>
      </c>
      <c r="G10" s="53">
        <v>37.479999999999997</v>
      </c>
      <c r="H10" s="53">
        <v>33.43</v>
      </c>
      <c r="I10" s="53">
        <v>31.36</v>
      </c>
      <c r="K10" s="69"/>
      <c r="L10" s="69"/>
    </row>
    <row r="11" spans="1:12" ht="13.8">
      <c r="A11" s="15" t="s">
        <v>113</v>
      </c>
      <c r="B11" s="53">
        <v>29.86</v>
      </c>
      <c r="C11" s="53">
        <v>45.87</v>
      </c>
      <c r="D11" s="53">
        <v>57.81</v>
      </c>
      <c r="E11" s="53">
        <v>35.270000000000003</v>
      </c>
      <c r="F11" s="53">
        <v>58.26</v>
      </c>
      <c r="G11" s="53">
        <v>39.25</v>
      </c>
      <c r="H11" s="53">
        <v>32.229999999999997</v>
      </c>
      <c r="I11" s="53">
        <v>30.07</v>
      </c>
      <c r="K11" s="69"/>
      <c r="L11" s="69"/>
    </row>
    <row r="12" spans="1:12" ht="13.8">
      <c r="A12" s="15" t="s">
        <v>114</v>
      </c>
      <c r="B12" s="53">
        <v>32.549999999999997</v>
      </c>
      <c r="C12" s="53">
        <v>40.92</v>
      </c>
      <c r="D12" s="53">
        <v>53.54</v>
      </c>
      <c r="E12" s="53">
        <v>38.729999999999997</v>
      </c>
      <c r="F12" s="53">
        <v>66.73</v>
      </c>
      <c r="G12" s="53">
        <v>37.43</v>
      </c>
      <c r="H12" s="53">
        <v>33.07</v>
      </c>
      <c r="I12" s="53">
        <v>34.75</v>
      </c>
      <c r="K12" s="69"/>
      <c r="L12" s="69"/>
    </row>
    <row r="13" spans="1:12" ht="13.8">
      <c r="A13" s="15" t="s">
        <v>115</v>
      </c>
      <c r="B13" s="53">
        <v>30.04</v>
      </c>
      <c r="C13" s="53">
        <v>31.87</v>
      </c>
      <c r="D13" s="53">
        <v>54.57</v>
      </c>
      <c r="E13" s="53">
        <v>38.270000000000003</v>
      </c>
      <c r="F13" s="53">
        <v>66.72</v>
      </c>
      <c r="G13" s="53">
        <v>30.35</v>
      </c>
      <c r="H13" s="53">
        <v>34.159999999999997</v>
      </c>
      <c r="I13" s="53">
        <v>31.21</v>
      </c>
      <c r="K13" s="69"/>
      <c r="L13" s="69"/>
    </row>
    <row r="14" spans="1:12" ht="13.8">
      <c r="A14" s="15" t="s">
        <v>116</v>
      </c>
      <c r="B14" s="53">
        <v>28.26</v>
      </c>
      <c r="C14" s="53">
        <v>35.14</v>
      </c>
      <c r="D14" s="53">
        <v>53.28</v>
      </c>
      <c r="E14" s="53">
        <v>36.090000000000003</v>
      </c>
      <c r="F14" s="53">
        <v>64.72</v>
      </c>
      <c r="G14" s="53">
        <v>26.93</v>
      </c>
      <c r="H14" s="53">
        <v>31.65</v>
      </c>
      <c r="I14" s="53">
        <v>33.11</v>
      </c>
      <c r="K14" s="69"/>
      <c r="L14" s="69"/>
    </row>
    <row r="15" spans="1:12" ht="13.8">
      <c r="A15" s="15" t="s">
        <v>117</v>
      </c>
      <c r="B15" s="53">
        <v>29.65</v>
      </c>
      <c r="C15" s="53">
        <v>40.18</v>
      </c>
      <c r="D15" s="53">
        <v>65.03</v>
      </c>
      <c r="E15" s="53">
        <v>37.869999999999997</v>
      </c>
      <c r="F15" s="53">
        <v>62</v>
      </c>
      <c r="G15" s="53">
        <v>39.47</v>
      </c>
      <c r="H15" s="53">
        <v>35.75</v>
      </c>
      <c r="I15" s="53">
        <v>38.369999999999997</v>
      </c>
      <c r="K15" s="69"/>
      <c r="L15" s="69"/>
    </row>
    <row r="16" spans="1:12" ht="13.8">
      <c r="A16" s="15" t="s">
        <v>118</v>
      </c>
      <c r="B16" s="53">
        <v>56.87</v>
      </c>
      <c r="C16" s="53">
        <v>80.94</v>
      </c>
      <c r="D16" s="53">
        <v>79</v>
      </c>
      <c r="E16" s="53">
        <v>70.459999999999994</v>
      </c>
      <c r="F16" s="53">
        <v>101.4</v>
      </c>
      <c r="G16" s="53">
        <v>53.88</v>
      </c>
      <c r="H16" s="53">
        <v>55.89</v>
      </c>
      <c r="I16" s="53">
        <v>54.98</v>
      </c>
      <c r="K16" s="69"/>
      <c r="L16" s="69"/>
    </row>
    <row r="17" spans="1:12" ht="13.8">
      <c r="A17" s="15" t="s">
        <v>33</v>
      </c>
      <c r="B17" s="53">
        <v>72.98</v>
      </c>
      <c r="C17" s="53">
        <v>107.15</v>
      </c>
      <c r="D17" s="53">
        <v>111.39</v>
      </c>
      <c r="E17" s="53">
        <v>90.52</v>
      </c>
      <c r="F17" s="53">
        <v>107.22</v>
      </c>
      <c r="G17" s="53">
        <v>64.28</v>
      </c>
      <c r="H17" s="53">
        <v>82</v>
      </c>
      <c r="I17" s="53">
        <v>81.84</v>
      </c>
      <c r="J17" s="95"/>
      <c r="K17" s="69"/>
      <c r="L17" s="69"/>
    </row>
    <row r="18" spans="1:12" ht="16.2">
      <c r="A18" s="15" t="s">
        <v>138</v>
      </c>
      <c r="B18" s="53">
        <v>65.5</v>
      </c>
      <c r="C18" s="53">
        <v>103</v>
      </c>
      <c r="D18" s="53">
        <v>80.5</v>
      </c>
      <c r="E18" s="53">
        <v>73</v>
      </c>
      <c r="F18" s="53">
        <v>95.5</v>
      </c>
      <c r="G18" s="53">
        <f>63</f>
        <v>63</v>
      </c>
      <c r="H18" s="53">
        <f>83</f>
        <v>83</v>
      </c>
      <c r="I18" s="53">
        <v>78</v>
      </c>
      <c r="J18" s="95"/>
      <c r="K18" s="69"/>
      <c r="L18" s="69"/>
    </row>
    <row r="19" spans="1:12" ht="16.2">
      <c r="A19" s="15" t="s">
        <v>139</v>
      </c>
      <c r="B19" s="53">
        <v>63</v>
      </c>
      <c r="C19" s="53">
        <v>100</v>
      </c>
      <c r="D19" s="53">
        <v>84</v>
      </c>
      <c r="E19" s="53">
        <v>70</v>
      </c>
      <c r="F19" s="53">
        <v>98</v>
      </c>
      <c r="G19" s="53">
        <f>61</f>
        <v>61</v>
      </c>
      <c r="H19" s="53">
        <v>81</v>
      </c>
      <c r="I19" s="53">
        <v>76</v>
      </c>
      <c r="J19" s="95"/>
      <c r="K19" s="69"/>
      <c r="L19" s="69"/>
    </row>
    <row r="20" spans="1:12" ht="13.8">
      <c r="A20" s="15"/>
      <c r="B20" s="65"/>
      <c r="C20" s="65"/>
      <c r="D20" s="65"/>
      <c r="E20" s="65"/>
      <c r="F20" s="65"/>
      <c r="G20" s="65"/>
      <c r="H20" s="65"/>
      <c r="I20" s="65"/>
    </row>
    <row r="21" spans="1:12" ht="13.8">
      <c r="A21" s="35" t="s">
        <v>33</v>
      </c>
      <c r="B21" s="53"/>
      <c r="C21" s="53"/>
      <c r="D21" s="53"/>
      <c r="E21" s="53"/>
      <c r="F21" s="53"/>
      <c r="G21" s="53"/>
      <c r="H21" s="53"/>
      <c r="I21" s="53"/>
      <c r="L21" s="95"/>
    </row>
    <row r="22" spans="1:12" ht="13.8">
      <c r="A22" s="15" t="s">
        <v>37</v>
      </c>
      <c r="B22" s="53">
        <v>70.42</v>
      </c>
      <c r="C22" s="53">
        <v>98.5</v>
      </c>
      <c r="D22" s="53">
        <v>129</v>
      </c>
      <c r="E22" s="53">
        <v>82.3</v>
      </c>
      <c r="F22" s="53">
        <v>101.5</v>
      </c>
      <c r="G22" s="53">
        <v>57.069999999999993</v>
      </c>
      <c r="H22" s="53" t="s">
        <v>76</v>
      </c>
      <c r="I22" s="53" t="s">
        <v>76</v>
      </c>
      <c r="K22" s="98"/>
      <c r="L22" s="97"/>
    </row>
    <row r="23" spans="1:12" ht="13.8">
      <c r="A23" s="15" t="s">
        <v>38</v>
      </c>
      <c r="B23" s="53">
        <v>66.459999999999994</v>
      </c>
      <c r="C23" s="53">
        <v>96.75</v>
      </c>
      <c r="D23" s="53">
        <v>125</v>
      </c>
      <c r="E23" s="53">
        <v>84.375</v>
      </c>
      <c r="F23" s="53">
        <v>100</v>
      </c>
      <c r="G23" s="53">
        <v>57.918000000000006</v>
      </c>
      <c r="H23" s="53" t="s">
        <v>76</v>
      </c>
      <c r="I23" s="53">
        <v>80.06</v>
      </c>
      <c r="K23" s="98"/>
      <c r="L23" s="98"/>
    </row>
    <row r="24" spans="1:12" ht="13.8">
      <c r="A24" s="15" t="s">
        <v>40</v>
      </c>
      <c r="B24" s="53">
        <v>63.69</v>
      </c>
      <c r="C24" s="53">
        <v>93.3</v>
      </c>
      <c r="D24" s="53">
        <v>125</v>
      </c>
      <c r="E24" s="53">
        <v>82.95</v>
      </c>
      <c r="F24" s="53">
        <v>100</v>
      </c>
      <c r="G24" s="53">
        <v>56.093333333333334</v>
      </c>
      <c r="H24" s="53" t="s">
        <v>76</v>
      </c>
      <c r="I24" s="53">
        <v>73</v>
      </c>
      <c r="K24" s="98"/>
      <c r="L24" s="98"/>
    </row>
    <row r="25" spans="1:12" ht="13.8">
      <c r="A25" s="15" t="s">
        <v>41</v>
      </c>
      <c r="B25" s="53">
        <v>65.7</v>
      </c>
      <c r="C25" s="53">
        <v>97.9375</v>
      </c>
      <c r="D25" s="53">
        <v>123.125</v>
      </c>
      <c r="E25" s="53">
        <v>88.5625</v>
      </c>
      <c r="F25" s="53">
        <v>103.125</v>
      </c>
      <c r="G25" s="53">
        <v>54.09</v>
      </c>
      <c r="H25" s="53" t="s">
        <v>76</v>
      </c>
      <c r="I25" s="53">
        <v>76.5</v>
      </c>
      <c r="K25" s="98"/>
    </row>
    <row r="26" spans="1:12" ht="13.8">
      <c r="A26" s="15" t="s">
        <v>42</v>
      </c>
      <c r="B26" s="53">
        <v>70.91</v>
      </c>
      <c r="C26" s="53">
        <v>101.375</v>
      </c>
      <c r="D26" s="53">
        <v>115.33333333333333</v>
      </c>
      <c r="E26" s="53">
        <v>85.875</v>
      </c>
      <c r="F26" s="53">
        <v>105</v>
      </c>
      <c r="G26" s="53">
        <v>59.29</v>
      </c>
      <c r="H26" s="53">
        <v>82</v>
      </c>
      <c r="I26" s="53">
        <v>80</v>
      </c>
    </row>
    <row r="27" spans="1:12" ht="13.8">
      <c r="A27" s="15" t="s">
        <v>44</v>
      </c>
      <c r="B27" s="53">
        <v>76.405000000000001</v>
      </c>
      <c r="C27" s="53">
        <v>114.875</v>
      </c>
      <c r="D27" s="53">
        <v>129</v>
      </c>
      <c r="E27" s="53">
        <v>92</v>
      </c>
      <c r="F27" s="53">
        <v>107.5</v>
      </c>
      <c r="G27" s="53">
        <v>67.1875</v>
      </c>
      <c r="H27" s="53" t="s">
        <v>76</v>
      </c>
      <c r="I27" s="53">
        <v>81.5</v>
      </c>
    </row>
    <row r="28" spans="1:12" ht="13.8">
      <c r="A28" s="15" t="s">
        <v>45</v>
      </c>
      <c r="B28" s="53">
        <v>83.846000000000004</v>
      </c>
      <c r="C28" s="53">
        <v>120.05</v>
      </c>
      <c r="D28" s="53">
        <v>120.4</v>
      </c>
      <c r="E28" s="53">
        <v>103.15</v>
      </c>
      <c r="F28" s="53">
        <v>115</v>
      </c>
      <c r="G28" s="53">
        <v>71.55</v>
      </c>
      <c r="H28" s="53" t="s">
        <v>76</v>
      </c>
      <c r="I28" s="53">
        <v>83.125</v>
      </c>
    </row>
    <row r="29" spans="1:12" ht="13.8">
      <c r="A29" s="15" t="s">
        <v>46</v>
      </c>
      <c r="B29" s="53">
        <v>87.385000000000005</v>
      </c>
      <c r="C29" s="53">
        <v>119.5625</v>
      </c>
      <c r="D29" s="53">
        <v>113.5</v>
      </c>
      <c r="E29" s="53">
        <v>108.6875</v>
      </c>
      <c r="F29" s="53">
        <v>116.25</v>
      </c>
      <c r="G29" s="53">
        <v>77.802499999999995</v>
      </c>
      <c r="H29" s="53" t="s">
        <v>76</v>
      </c>
      <c r="I29" s="53">
        <v>84.25</v>
      </c>
    </row>
    <row r="30" spans="1:12" ht="13.8">
      <c r="A30" s="15" t="s">
        <v>48</v>
      </c>
      <c r="B30" s="53">
        <v>80.297499999999999</v>
      </c>
      <c r="C30" s="53">
        <v>115.75</v>
      </c>
      <c r="D30" s="53">
        <v>97.75</v>
      </c>
      <c r="E30" s="53">
        <v>102.25</v>
      </c>
      <c r="F30" s="53">
        <v>116.25</v>
      </c>
      <c r="G30" s="53">
        <v>76.375</v>
      </c>
      <c r="H30" s="53" t="s">
        <v>76</v>
      </c>
      <c r="I30" s="53">
        <v>86.5</v>
      </c>
    </row>
    <row r="31" spans="1:12" ht="13.8">
      <c r="A31" s="15" t="s">
        <v>49</v>
      </c>
      <c r="B31" s="53">
        <v>67.74799999999999</v>
      </c>
      <c r="C31" s="53">
        <v>100.8</v>
      </c>
      <c r="D31" s="53">
        <v>78.2</v>
      </c>
      <c r="E31" s="53">
        <v>87.9</v>
      </c>
      <c r="F31" s="53">
        <v>103.2</v>
      </c>
      <c r="G31" s="53">
        <v>62.25</v>
      </c>
      <c r="H31" s="53" t="s">
        <v>76</v>
      </c>
      <c r="I31" s="53">
        <v>81.5</v>
      </c>
    </row>
    <row r="32" spans="1:12" ht="13.8">
      <c r="A32" s="15" t="s">
        <v>50</v>
      </c>
      <c r="B32" s="53">
        <v>72.334999999999994</v>
      </c>
      <c r="C32" s="53">
        <v>113.75</v>
      </c>
      <c r="D32" s="53">
        <v>92</v>
      </c>
      <c r="E32" s="53">
        <v>91.3125</v>
      </c>
      <c r="F32" s="53">
        <v>107.25</v>
      </c>
      <c r="G32" s="53">
        <v>65.4375</v>
      </c>
      <c r="H32" s="53" t="s">
        <v>76</v>
      </c>
      <c r="I32" s="53" t="s">
        <v>76</v>
      </c>
    </row>
    <row r="33" spans="1:12" ht="13.8">
      <c r="A33" s="15" t="s">
        <v>36</v>
      </c>
      <c r="B33" s="53">
        <v>70.626000000000005</v>
      </c>
      <c r="C33" s="53">
        <v>113.2</v>
      </c>
      <c r="D33" s="53">
        <v>88.4</v>
      </c>
      <c r="E33" s="53">
        <v>76.849999999999994</v>
      </c>
      <c r="F33" s="53">
        <v>111.6</v>
      </c>
      <c r="G33" s="53">
        <v>66.263999999999996</v>
      </c>
      <c r="H33" s="53" t="s">
        <v>76</v>
      </c>
      <c r="I33" s="53">
        <v>92</v>
      </c>
      <c r="K33" s="69"/>
      <c r="L33" s="69"/>
    </row>
    <row r="34" spans="1:12" ht="13.8">
      <c r="A34" s="15"/>
      <c r="B34" s="53"/>
      <c r="C34" s="53"/>
      <c r="D34" s="53"/>
      <c r="E34" s="53"/>
      <c r="F34" s="53"/>
      <c r="G34" s="53"/>
      <c r="H34" s="53"/>
      <c r="I34" s="53"/>
      <c r="K34" s="69"/>
      <c r="L34" s="69"/>
    </row>
    <row r="35" spans="1:12" ht="13.8">
      <c r="A35" s="35" t="s">
        <v>52</v>
      </c>
      <c r="B35" s="53"/>
      <c r="C35" s="53"/>
      <c r="D35" s="53"/>
      <c r="E35" s="53"/>
      <c r="F35" s="53"/>
      <c r="G35" s="53"/>
      <c r="H35" s="53"/>
      <c r="I35" s="53"/>
      <c r="K35" s="69"/>
      <c r="L35" s="69"/>
    </row>
    <row r="36" spans="1:12" ht="13.8">
      <c r="A36" s="15" t="s">
        <v>37</v>
      </c>
      <c r="B36" s="53">
        <v>72.67</v>
      </c>
      <c r="C36" s="53">
        <v>110.1875</v>
      </c>
      <c r="D36" s="53">
        <v>93.75</v>
      </c>
      <c r="E36" s="53">
        <v>80.125</v>
      </c>
      <c r="F36" s="53">
        <v>107.75</v>
      </c>
      <c r="G36" s="53">
        <v>65.412499999999994</v>
      </c>
      <c r="H36" s="53">
        <v>88</v>
      </c>
      <c r="I36" s="53">
        <v>88.5</v>
      </c>
      <c r="J36" s="69"/>
      <c r="K36" s="69"/>
      <c r="L36" s="69"/>
    </row>
    <row r="37" spans="1:12" ht="13.8">
      <c r="A37" s="15" t="s">
        <v>38</v>
      </c>
      <c r="B37" s="53">
        <v>79.180000000000007</v>
      </c>
      <c r="C37" s="53">
        <v>116.6875</v>
      </c>
      <c r="D37" s="53">
        <v>106</v>
      </c>
      <c r="E37" s="53">
        <v>84.375</v>
      </c>
      <c r="F37" s="53">
        <v>111</v>
      </c>
      <c r="G37" s="53">
        <v>69.67</v>
      </c>
      <c r="H37" s="53" t="s">
        <v>76</v>
      </c>
      <c r="I37" s="53">
        <v>88.5</v>
      </c>
      <c r="J37" s="69"/>
      <c r="K37" s="69"/>
      <c r="L37" s="69"/>
    </row>
    <row r="38" spans="1:12" ht="13.8">
      <c r="A38" s="15" t="s">
        <v>40</v>
      </c>
      <c r="B38" s="53">
        <v>68.14</v>
      </c>
      <c r="C38" s="53">
        <v>105.1</v>
      </c>
      <c r="D38" s="53">
        <v>92.3</v>
      </c>
      <c r="E38" s="53">
        <v>74.05</v>
      </c>
      <c r="F38" s="53">
        <v>101</v>
      </c>
      <c r="G38" s="53">
        <v>60</v>
      </c>
      <c r="H38" s="53" t="s">
        <v>76</v>
      </c>
      <c r="I38" s="53">
        <v>84</v>
      </c>
      <c r="J38" s="69"/>
      <c r="K38" s="69"/>
      <c r="L38" s="69"/>
    </row>
    <row r="39" spans="1:12" ht="13.8">
      <c r="A39" s="15" t="s">
        <v>41</v>
      </c>
      <c r="B39" s="53">
        <v>66</v>
      </c>
      <c r="C39" s="53">
        <v>102.1875</v>
      </c>
      <c r="D39" s="53">
        <v>85.75</v>
      </c>
      <c r="E39" s="53">
        <v>71.1875</v>
      </c>
      <c r="F39" s="53">
        <v>95.375</v>
      </c>
      <c r="G39" s="53">
        <v>61</v>
      </c>
      <c r="H39" s="53">
        <v>87</v>
      </c>
      <c r="I39" s="53">
        <v>76.125</v>
      </c>
      <c r="J39" s="69"/>
      <c r="K39" s="69"/>
      <c r="L39" s="69"/>
    </row>
    <row r="40" spans="1:12" ht="13.8">
      <c r="A40" s="15" t="s">
        <v>42</v>
      </c>
      <c r="B40" s="53">
        <v>63.242500000000007</v>
      </c>
      <c r="C40" s="53">
        <v>100</v>
      </c>
      <c r="D40" s="53">
        <v>81.25</v>
      </c>
      <c r="E40" s="53">
        <v>68.25</v>
      </c>
      <c r="F40" s="53">
        <v>88</v>
      </c>
      <c r="G40" s="53" t="s">
        <v>76</v>
      </c>
      <c r="H40" s="53" t="s">
        <v>76</v>
      </c>
      <c r="I40" s="53">
        <v>63.95</v>
      </c>
      <c r="J40" s="69"/>
      <c r="K40" s="69"/>
      <c r="L40" s="69"/>
    </row>
    <row r="41" spans="1:12" ht="13.8">
      <c r="A41" s="15" t="s">
        <v>44</v>
      </c>
      <c r="B41" s="53">
        <v>58.83</v>
      </c>
      <c r="C41" s="53">
        <v>96.55</v>
      </c>
      <c r="D41" s="53">
        <v>76.599999999999994</v>
      </c>
      <c r="E41" s="53">
        <v>64.599999999999994</v>
      </c>
      <c r="F41" s="53">
        <v>84.4</v>
      </c>
      <c r="G41" s="53" t="s">
        <v>76</v>
      </c>
      <c r="H41" s="53" t="s">
        <v>76</v>
      </c>
      <c r="I41" s="53">
        <v>66.25</v>
      </c>
      <c r="J41" s="69"/>
      <c r="K41" s="69"/>
      <c r="L41" s="69"/>
    </row>
    <row r="42" spans="1:12" ht="13.8">
      <c r="A42" s="15" t="s">
        <v>45</v>
      </c>
      <c r="B42" s="53">
        <v>55.474999999999994</v>
      </c>
      <c r="C42" s="53">
        <v>92.5625</v>
      </c>
      <c r="D42" s="53">
        <v>73</v>
      </c>
      <c r="E42" s="53">
        <v>62.625</v>
      </c>
      <c r="F42" s="53">
        <v>81.75</v>
      </c>
      <c r="G42" s="53" t="s">
        <v>76</v>
      </c>
      <c r="H42" s="53">
        <v>82</v>
      </c>
      <c r="I42" s="53" t="s">
        <v>76</v>
      </c>
      <c r="J42" s="69"/>
      <c r="K42" s="69"/>
      <c r="L42" s="69"/>
    </row>
    <row r="43" spans="1:12" ht="13.8">
      <c r="A43" s="15" t="s">
        <v>46</v>
      </c>
      <c r="B43" s="53">
        <v>52.484999999999999</v>
      </c>
      <c r="C43" s="53">
        <v>91.75</v>
      </c>
      <c r="D43" s="53">
        <v>68.625</v>
      </c>
      <c r="E43" s="53">
        <v>62.125</v>
      </c>
      <c r="F43" s="53">
        <v>85.5</v>
      </c>
      <c r="G43" s="53">
        <v>52</v>
      </c>
      <c r="H43" s="53" t="s">
        <v>76</v>
      </c>
      <c r="I43" s="53" t="s">
        <v>76</v>
      </c>
      <c r="J43" s="69"/>
      <c r="K43" s="69"/>
      <c r="L43" s="69"/>
    </row>
    <row r="44" spans="1:12" ht="13.8">
      <c r="A44" s="15" t="s">
        <v>48</v>
      </c>
      <c r="B44" s="53">
        <v>60.007999999999996</v>
      </c>
      <c r="C44" s="53">
        <v>97.85</v>
      </c>
      <c r="D44" s="53">
        <v>67</v>
      </c>
      <c r="E44" s="53">
        <v>71.849999999999994</v>
      </c>
      <c r="F44" s="53">
        <v>89.6</v>
      </c>
      <c r="G44" s="53" t="s">
        <v>76</v>
      </c>
      <c r="H44" s="53">
        <v>80</v>
      </c>
      <c r="I44" s="53">
        <v>74.59</v>
      </c>
      <c r="J44" s="53"/>
      <c r="K44" s="69"/>
      <c r="L44" s="69"/>
    </row>
    <row r="45" spans="1:12" ht="13.8">
      <c r="A45" s="15" t="s">
        <v>49</v>
      </c>
      <c r="B45" s="53">
        <v>70.887499999999989</v>
      </c>
      <c r="C45" s="53">
        <v>107.75</v>
      </c>
      <c r="D45" s="53">
        <v>73.25</v>
      </c>
      <c r="E45" s="53">
        <v>83</v>
      </c>
      <c r="F45" s="53">
        <v>94.25</v>
      </c>
      <c r="G45" s="53" t="s">
        <v>76</v>
      </c>
      <c r="H45" s="53" t="s">
        <v>76</v>
      </c>
      <c r="I45" s="53">
        <v>74.625</v>
      </c>
      <c r="J45" s="53"/>
      <c r="K45" s="69"/>
      <c r="L45" s="69"/>
    </row>
    <row r="46" spans="1:12" ht="13.8">
      <c r="A46" s="14" t="s">
        <v>50</v>
      </c>
      <c r="B46" s="133">
        <v>70.966999999999999</v>
      </c>
      <c r="C46" s="133">
        <v>108.19</v>
      </c>
      <c r="D46" s="133">
        <v>72.69</v>
      </c>
      <c r="E46" s="133">
        <v>81.69</v>
      </c>
      <c r="F46" s="133">
        <v>95.25</v>
      </c>
      <c r="G46" s="133" t="s">
        <v>76</v>
      </c>
      <c r="H46" s="133" t="s">
        <v>76</v>
      </c>
      <c r="I46" s="133">
        <v>76</v>
      </c>
    </row>
    <row r="47" spans="1:12" ht="16.2">
      <c r="A47" s="46" t="s">
        <v>140</v>
      </c>
      <c r="B47" s="67"/>
      <c r="C47" s="67"/>
      <c r="D47" s="67"/>
      <c r="E47" s="67"/>
      <c r="F47" s="67"/>
      <c r="G47" s="67"/>
      <c r="H47" s="67"/>
      <c r="I47" s="67"/>
    </row>
    <row r="48" spans="1:12" ht="16.2">
      <c r="A48" s="15" t="s">
        <v>141</v>
      </c>
      <c r="B48" s="67"/>
      <c r="C48" s="67"/>
      <c r="D48" s="67"/>
      <c r="E48" s="67"/>
      <c r="F48" s="67"/>
      <c r="G48" s="67"/>
      <c r="H48" s="67"/>
      <c r="I48" s="67"/>
    </row>
    <row r="49" spans="1:9" ht="14.4">
      <c r="A49" s="15" t="s">
        <v>142</v>
      </c>
      <c r="B49" s="15"/>
      <c r="C49" s="15"/>
      <c r="D49" s="15"/>
      <c r="E49" s="15"/>
      <c r="F49" s="67"/>
      <c r="G49" s="15"/>
      <c r="H49" s="15"/>
      <c r="I49" s="15"/>
    </row>
    <row r="50" spans="1:9" ht="13.8">
      <c r="A50" s="20" t="s">
        <v>55</v>
      </c>
      <c r="B50" s="41">
        <f>Contents!A16</f>
        <v>45183</v>
      </c>
      <c r="C50" s="15"/>
      <c r="D50" s="15"/>
      <c r="E50" s="15"/>
      <c r="F50" s="15"/>
      <c r="G50" s="15"/>
      <c r="H50" s="15"/>
      <c r="I50" s="15"/>
    </row>
    <row r="51" spans="1:9" ht="15.6">
      <c r="C51" s="68"/>
      <c r="G51" s="68"/>
      <c r="H51" s="68"/>
      <c r="I51" s="68"/>
    </row>
    <row r="52" spans="1:9" ht="15.6">
      <c r="B52" s="69"/>
      <c r="C52" s="69"/>
      <c r="D52" s="69"/>
      <c r="E52" s="69"/>
      <c r="F52" s="69"/>
      <c r="G52" s="69"/>
      <c r="H52" s="68"/>
      <c r="I52" s="68"/>
    </row>
    <row r="53" spans="1:9" ht="15.6">
      <c r="B53" s="99"/>
      <c r="C53" s="99"/>
      <c r="D53" s="99"/>
      <c r="E53" s="99"/>
      <c r="F53" s="99"/>
      <c r="G53" s="99"/>
      <c r="H53" s="68"/>
      <c r="I53" s="68"/>
    </row>
    <row r="54" spans="1:9" ht="15.6">
      <c r="C54" s="68"/>
      <c r="G54" s="68"/>
      <c r="H54" s="68"/>
      <c r="I54" s="68"/>
    </row>
    <row r="55" spans="1:9" ht="15.6">
      <c r="C55" s="68"/>
      <c r="G55" s="68"/>
      <c r="H55" s="68"/>
      <c r="I55" s="68"/>
    </row>
    <row r="56" spans="1:9" ht="15.6">
      <c r="C56" s="68"/>
      <c r="G56" s="68"/>
      <c r="H56" s="68"/>
      <c r="I56" s="68"/>
    </row>
    <row r="57" spans="1:9" ht="15.6">
      <c r="C57" s="68"/>
      <c r="G57" s="68"/>
      <c r="H57" s="68"/>
      <c r="I57" s="68"/>
    </row>
    <row r="58" spans="1:9" ht="15.6">
      <c r="C58" s="68"/>
      <c r="G58" s="68"/>
      <c r="H58" s="68"/>
      <c r="I58" s="68"/>
    </row>
    <row r="59" spans="1:9" ht="15.6">
      <c r="C59" s="68"/>
      <c r="G59" s="68"/>
      <c r="H59" s="68"/>
      <c r="I59" s="68"/>
    </row>
    <row r="60" spans="1:9" ht="15.6">
      <c r="C60" s="68"/>
      <c r="G60" s="68"/>
      <c r="H60" s="68"/>
      <c r="I60" s="68"/>
    </row>
    <row r="61" spans="1:9" ht="15.6">
      <c r="C61" s="68"/>
      <c r="G61" s="68"/>
      <c r="H61" s="68"/>
      <c r="I61" s="68"/>
    </row>
    <row r="62" spans="1:9" ht="15.6">
      <c r="C62" s="68"/>
      <c r="G62" s="68"/>
      <c r="H62" s="68"/>
      <c r="I62" s="68"/>
    </row>
    <row r="63" spans="1:9" ht="15.6">
      <c r="C63" s="68"/>
      <c r="G63" s="68"/>
      <c r="H63" s="68"/>
      <c r="I63" s="68"/>
    </row>
    <row r="64" spans="1:9" ht="15.6">
      <c r="C64" s="68"/>
      <c r="G64" s="68"/>
      <c r="H64" s="68"/>
      <c r="I64" s="68"/>
    </row>
    <row r="65" spans="3:9" ht="15.6">
      <c r="C65" s="68"/>
      <c r="G65" s="68"/>
      <c r="H65" s="68"/>
      <c r="I65" s="68"/>
    </row>
    <row r="66" spans="3:9" ht="15.6">
      <c r="C66" s="68"/>
      <c r="G66" s="68"/>
      <c r="H66" s="68"/>
      <c r="I66" s="68"/>
    </row>
    <row r="67" spans="3:9" ht="15.6">
      <c r="C67" s="68"/>
      <c r="H67" s="68"/>
      <c r="I67" s="68"/>
    </row>
    <row r="68" spans="3:9" ht="15.6">
      <c r="C68" s="68"/>
      <c r="H68" s="68"/>
      <c r="I68" s="68"/>
    </row>
    <row r="69" spans="3:9" ht="15.6">
      <c r="C69" s="68"/>
      <c r="F69" s="69"/>
      <c r="H69" s="68"/>
      <c r="I69" s="68"/>
    </row>
    <row r="70" spans="3:9" ht="15.6">
      <c r="F70" s="69"/>
      <c r="H70" s="68"/>
      <c r="I70" s="68"/>
    </row>
  </sheetData>
  <phoneticPr fontId="34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0"/>
  <sheetViews>
    <sheetView showGridLines="0" zoomScale="85" zoomScaleNormal="85" workbookViewId="0">
      <pane xSplit="1" ySplit="4" topLeftCell="B14" activePane="bottomRight" state="frozen"/>
      <selection activeCell="A43" sqref="A43"/>
      <selection pane="topRight" activeCell="A43" sqref="A43"/>
      <selection pane="bottomLeft" activeCell="A43" sqref="A43"/>
      <selection pane="bottomRight"/>
    </sheetView>
  </sheetViews>
  <sheetFormatPr defaultColWidth="9.109375" defaultRowHeight="13.2"/>
  <cols>
    <col min="1" max="1" width="11.6640625" customWidth="1"/>
    <col min="2" max="7" width="13.6640625" customWidth="1"/>
    <col min="8" max="8" width="10.10937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123</v>
      </c>
      <c r="C2" s="70" t="s">
        <v>124</v>
      </c>
      <c r="D2" s="70" t="s">
        <v>125</v>
      </c>
      <c r="E2" s="70" t="s">
        <v>127</v>
      </c>
      <c r="F2" s="17" t="s">
        <v>143</v>
      </c>
      <c r="G2" s="17" t="s">
        <v>144</v>
      </c>
      <c r="AB2" s="71"/>
    </row>
    <row r="3" spans="1:28" ht="15.6" customHeight="1">
      <c r="A3" s="14" t="s">
        <v>103</v>
      </c>
      <c r="B3" s="23" t="s">
        <v>145</v>
      </c>
      <c r="C3" s="23" t="s">
        <v>146</v>
      </c>
      <c r="D3" s="23" t="s">
        <v>147</v>
      </c>
      <c r="E3" s="23" t="s">
        <v>148</v>
      </c>
      <c r="F3" s="23" t="s">
        <v>149</v>
      </c>
      <c r="G3" s="23" t="s">
        <v>150</v>
      </c>
      <c r="AB3" s="71"/>
    </row>
    <row r="4" spans="1:28" ht="14.4">
      <c r="A4" s="63" t="s">
        <v>151</v>
      </c>
      <c r="C4" s="64"/>
      <c r="D4" s="64"/>
      <c r="E4" s="64"/>
      <c r="F4" s="64"/>
      <c r="G4" s="64"/>
      <c r="AB4" s="71"/>
    </row>
    <row r="5" spans="1:28" ht="13.8">
      <c r="A5" s="15"/>
      <c r="B5" s="15"/>
      <c r="C5" s="15"/>
      <c r="D5" s="15"/>
      <c r="E5" s="15"/>
      <c r="F5" s="15"/>
      <c r="G5" s="15"/>
      <c r="AB5" s="71"/>
    </row>
    <row r="6" spans="1:28" ht="13.8">
      <c r="A6" s="15" t="s">
        <v>108</v>
      </c>
      <c r="B6" s="66">
        <v>345.52</v>
      </c>
      <c r="C6" s="66">
        <v>273.83999999999997</v>
      </c>
      <c r="D6" s="66">
        <v>219.72</v>
      </c>
      <c r="E6" s="57" t="s">
        <v>76</v>
      </c>
      <c r="F6" s="66">
        <v>263.63</v>
      </c>
      <c r="G6" s="66">
        <v>240.65</v>
      </c>
      <c r="AB6" s="71"/>
    </row>
    <row r="7" spans="1:28" ht="13.8">
      <c r="A7" s="15" t="s">
        <v>109</v>
      </c>
      <c r="B7" s="66">
        <v>393.53</v>
      </c>
      <c r="C7" s="66">
        <v>275.13</v>
      </c>
      <c r="D7" s="66">
        <v>246.75</v>
      </c>
      <c r="E7" s="57" t="s">
        <v>76</v>
      </c>
      <c r="F7" s="66">
        <v>307.58999999999997</v>
      </c>
      <c r="G7" s="66">
        <v>265.68</v>
      </c>
      <c r="AB7" s="71"/>
    </row>
    <row r="8" spans="1:28" ht="13.8">
      <c r="A8" s="15" t="s">
        <v>110</v>
      </c>
      <c r="B8" s="66">
        <v>468.11</v>
      </c>
      <c r="C8" s="66">
        <v>331.52</v>
      </c>
      <c r="D8" s="66">
        <v>241.57</v>
      </c>
      <c r="E8" s="57" t="s">
        <v>76</v>
      </c>
      <c r="F8" s="66">
        <v>354.22</v>
      </c>
      <c r="G8" s="66">
        <v>329.31</v>
      </c>
      <c r="AB8" s="71"/>
    </row>
    <row r="9" spans="1:28" ht="13.8">
      <c r="A9" s="15" t="s">
        <v>111</v>
      </c>
      <c r="B9" s="66">
        <v>489.94</v>
      </c>
      <c r="C9" s="66">
        <v>377.71</v>
      </c>
      <c r="D9" s="66">
        <v>238.87</v>
      </c>
      <c r="E9" s="57" t="s">
        <v>76</v>
      </c>
      <c r="F9" s="66">
        <v>359.7</v>
      </c>
      <c r="G9" s="66">
        <v>337.23</v>
      </c>
      <c r="AB9" s="71"/>
    </row>
    <row r="10" spans="1:28" ht="13.8">
      <c r="A10" s="15" t="s">
        <v>112</v>
      </c>
      <c r="B10" s="66">
        <v>368.49</v>
      </c>
      <c r="C10" s="66">
        <v>304.27</v>
      </c>
      <c r="D10" s="66">
        <v>209.97</v>
      </c>
      <c r="E10" s="57" t="s">
        <v>76</v>
      </c>
      <c r="F10" s="66">
        <v>301.2</v>
      </c>
      <c r="G10" s="66">
        <v>256.58</v>
      </c>
      <c r="AB10" s="71"/>
    </row>
    <row r="11" spans="1:28" ht="13.8">
      <c r="A11" s="15" t="s">
        <v>113</v>
      </c>
      <c r="B11" s="66">
        <v>324.56</v>
      </c>
      <c r="C11" s="66">
        <v>261.19</v>
      </c>
      <c r="D11" s="66">
        <v>153.16999999999999</v>
      </c>
      <c r="E11" s="57" t="s">
        <v>76</v>
      </c>
      <c r="F11" s="66">
        <v>262.2</v>
      </c>
      <c r="G11" s="66">
        <v>260.23</v>
      </c>
      <c r="AB11" s="71"/>
    </row>
    <row r="12" spans="1:28" ht="13.8">
      <c r="A12" s="15" t="s">
        <v>114</v>
      </c>
      <c r="B12" s="66">
        <v>316.88</v>
      </c>
      <c r="C12" s="66">
        <v>208.61</v>
      </c>
      <c r="D12" s="66">
        <v>145.1</v>
      </c>
      <c r="E12" s="57" t="s">
        <v>76</v>
      </c>
      <c r="F12" s="66">
        <v>267.94</v>
      </c>
      <c r="G12" s="66">
        <v>282.49</v>
      </c>
      <c r="AB12" s="71"/>
    </row>
    <row r="13" spans="1:28" ht="13.8">
      <c r="A13" s="15" t="s">
        <v>115</v>
      </c>
      <c r="B13" s="66">
        <v>345.02</v>
      </c>
      <c r="C13" s="66">
        <v>260.88</v>
      </c>
      <c r="D13" s="66">
        <v>173.53</v>
      </c>
      <c r="E13" s="57" t="s">
        <v>76</v>
      </c>
      <c r="F13" s="66">
        <v>291.14999999999998</v>
      </c>
      <c r="G13" s="66">
        <v>239.15</v>
      </c>
    </row>
    <row r="14" spans="1:28" ht="13.8">
      <c r="A14" s="15" t="s">
        <v>116</v>
      </c>
      <c r="B14" s="66">
        <v>308.27999999999997</v>
      </c>
      <c r="C14" s="66">
        <v>228.64</v>
      </c>
      <c r="D14" s="66">
        <v>164.16</v>
      </c>
      <c r="E14" s="57" t="s">
        <v>76</v>
      </c>
      <c r="F14" s="66">
        <v>272.38</v>
      </c>
      <c r="G14" s="66">
        <v>225.77</v>
      </c>
    </row>
    <row r="15" spans="1:28" ht="13.8">
      <c r="A15" s="15" t="s">
        <v>117</v>
      </c>
      <c r="B15" s="66">
        <v>299.5</v>
      </c>
      <c r="C15" s="66">
        <v>247.04</v>
      </c>
      <c r="D15" s="66">
        <v>187.7</v>
      </c>
      <c r="E15" s="57" t="s">
        <v>76</v>
      </c>
      <c r="F15" s="66">
        <v>273.99</v>
      </c>
      <c r="G15" s="66">
        <v>245.88</v>
      </c>
    </row>
    <row r="16" spans="1:28" ht="13.8">
      <c r="A16" s="15" t="s">
        <v>118</v>
      </c>
      <c r="B16" s="66">
        <v>392.31</v>
      </c>
      <c r="C16" s="66">
        <v>375.51</v>
      </c>
      <c r="D16" s="110">
        <v>246.22</v>
      </c>
      <c r="E16" s="57" t="s">
        <v>76</v>
      </c>
      <c r="F16" s="66">
        <v>351.87</v>
      </c>
      <c r="G16" s="66">
        <v>288.12</v>
      </c>
    </row>
    <row r="17" spans="1:13" ht="13.8">
      <c r="A17" s="15" t="s">
        <v>33</v>
      </c>
      <c r="B17" s="66">
        <v>439.81</v>
      </c>
      <c r="C17" s="66">
        <v>355.33</v>
      </c>
      <c r="D17" s="66">
        <v>279.98</v>
      </c>
      <c r="E17" s="57" t="s">
        <v>76</v>
      </c>
      <c r="F17" s="66">
        <v>439.1</v>
      </c>
      <c r="G17" s="66">
        <v>332.21</v>
      </c>
    </row>
    <row r="18" spans="1:13" ht="16.2">
      <c r="A18" s="15" t="s">
        <v>138</v>
      </c>
      <c r="B18" s="66">
        <v>455</v>
      </c>
      <c r="C18" s="66">
        <v>380</v>
      </c>
      <c r="D18" s="66">
        <v>245</v>
      </c>
      <c r="E18" s="57" t="s">
        <v>76</v>
      </c>
      <c r="F18" s="66">
        <v>430</v>
      </c>
      <c r="G18" s="110">
        <v>364</v>
      </c>
      <c r="I18" s="69"/>
    </row>
    <row r="19" spans="1:13" ht="16.2">
      <c r="A19" s="15" t="s">
        <v>139</v>
      </c>
      <c r="B19" s="66">
        <v>380</v>
      </c>
      <c r="C19" s="66">
        <v>346</v>
      </c>
      <c r="D19" s="66">
        <v>230</v>
      </c>
      <c r="E19" s="57" t="s">
        <v>76</v>
      </c>
      <c r="F19" s="66">
        <v>350</v>
      </c>
      <c r="G19" s="110">
        <v>280</v>
      </c>
      <c r="I19" s="69"/>
    </row>
    <row r="20" spans="1:13" ht="13.8">
      <c r="A20" s="15"/>
      <c r="B20" s="66"/>
      <c r="C20" s="66"/>
      <c r="D20" s="66"/>
      <c r="E20" s="57"/>
      <c r="F20" s="66"/>
      <c r="G20" s="66"/>
      <c r="I20" s="72"/>
      <c r="J20" s="73"/>
      <c r="K20" s="73"/>
      <c r="L20" s="73"/>
      <c r="M20" s="73"/>
    </row>
    <row r="21" spans="1:13" ht="13.8">
      <c r="A21" s="35" t="s">
        <v>33</v>
      </c>
      <c r="B21" s="66"/>
      <c r="C21" s="66"/>
      <c r="D21" s="66"/>
      <c r="E21" s="53"/>
      <c r="F21" s="66"/>
      <c r="G21" s="66"/>
      <c r="H21" s="53"/>
    </row>
    <row r="22" spans="1:13" ht="13.8">
      <c r="A22" s="15" t="s">
        <v>37</v>
      </c>
      <c r="B22" s="66">
        <v>325.43</v>
      </c>
      <c r="C22" s="66">
        <v>298.75</v>
      </c>
      <c r="D22" s="66">
        <v>222.5</v>
      </c>
      <c r="E22" s="57" t="s">
        <v>76</v>
      </c>
      <c r="F22" s="66">
        <v>322.82499999999999</v>
      </c>
      <c r="G22" s="66">
        <v>265.625</v>
      </c>
      <c r="H22" s="53"/>
      <c r="I22" s="69"/>
    </row>
    <row r="23" spans="1:13" ht="13.8">
      <c r="A23" s="15" t="s">
        <v>38</v>
      </c>
      <c r="B23" s="66">
        <v>358.73</v>
      </c>
      <c r="C23" s="66">
        <v>304.5</v>
      </c>
      <c r="D23" s="66">
        <v>256.5</v>
      </c>
      <c r="E23" s="57" t="s">
        <v>76</v>
      </c>
      <c r="F23" s="66">
        <v>350.21999999999997</v>
      </c>
      <c r="G23" s="66">
        <v>252</v>
      </c>
      <c r="H23" s="53"/>
      <c r="I23" s="69"/>
    </row>
    <row r="24" spans="1:13" ht="13.8">
      <c r="A24" s="15" t="s">
        <v>40</v>
      </c>
      <c r="B24" s="66">
        <v>399.53</v>
      </c>
      <c r="C24" s="66">
        <v>311.25</v>
      </c>
      <c r="D24" s="66">
        <v>289.16666666666669</v>
      </c>
      <c r="E24" s="57" t="s">
        <v>76</v>
      </c>
      <c r="F24" s="66">
        <v>382.9666666666667</v>
      </c>
      <c r="G24" s="66">
        <v>309.16666666666669</v>
      </c>
      <c r="H24" s="53"/>
      <c r="I24" s="69"/>
    </row>
    <row r="25" spans="1:13" ht="13.8">
      <c r="A25" s="15" t="s">
        <v>152</v>
      </c>
      <c r="B25" s="66">
        <v>421.21</v>
      </c>
      <c r="C25" s="66">
        <v>318.125</v>
      </c>
      <c r="D25" s="66">
        <v>301.25</v>
      </c>
      <c r="E25" s="57" t="s">
        <v>76</v>
      </c>
      <c r="F25" s="66">
        <v>410.875</v>
      </c>
      <c r="G25" s="66">
        <v>326.25</v>
      </c>
      <c r="H25" s="53"/>
      <c r="I25" s="69"/>
    </row>
    <row r="26" spans="1:13" ht="13.8">
      <c r="A26" s="15" t="s">
        <v>42</v>
      </c>
      <c r="B26" s="110">
        <v>460.45</v>
      </c>
      <c r="C26" s="66">
        <v>333.75</v>
      </c>
      <c r="D26" s="66">
        <v>320</v>
      </c>
      <c r="E26" s="57" t="s">
        <v>76</v>
      </c>
      <c r="F26" s="66">
        <v>454.625</v>
      </c>
      <c r="G26" s="66">
        <v>350</v>
      </c>
      <c r="H26" s="53"/>
      <c r="I26" s="69"/>
    </row>
    <row r="27" spans="1:13" ht="13.8">
      <c r="A27" s="15" t="s">
        <v>44</v>
      </c>
      <c r="B27" s="110">
        <v>493.97500000000002</v>
      </c>
      <c r="C27" s="66">
        <v>345.625</v>
      </c>
      <c r="D27" s="66">
        <v>333.33300000000003</v>
      </c>
      <c r="E27" s="57" t="s">
        <v>76</v>
      </c>
      <c r="F27" s="66">
        <v>487.03750000000002</v>
      </c>
      <c r="G27" s="66">
        <v>392.5</v>
      </c>
      <c r="H27" s="53"/>
      <c r="I27" s="69"/>
    </row>
    <row r="28" spans="1:13" ht="13.8">
      <c r="A28" s="15" t="s">
        <v>45</v>
      </c>
      <c r="B28" s="110">
        <v>475.35999999999996</v>
      </c>
      <c r="C28" s="66">
        <v>355</v>
      </c>
      <c r="D28" s="66">
        <v>321</v>
      </c>
      <c r="E28" s="57" t="s">
        <v>76</v>
      </c>
      <c r="F28" s="66">
        <v>470.77999999999992</v>
      </c>
      <c r="G28" s="66">
        <v>386</v>
      </c>
      <c r="H28" s="53"/>
      <c r="I28" s="69"/>
    </row>
    <row r="29" spans="1:13" ht="13.8">
      <c r="A29" s="15" t="s">
        <v>46</v>
      </c>
      <c r="B29" s="110">
        <v>441.27499999999998</v>
      </c>
      <c r="C29" s="66">
        <v>388.75</v>
      </c>
      <c r="D29" s="66">
        <v>285.625</v>
      </c>
      <c r="E29" s="57" t="s">
        <v>76</v>
      </c>
      <c r="F29" s="66">
        <v>454.5</v>
      </c>
      <c r="G29" s="66">
        <v>351.25</v>
      </c>
      <c r="H29" s="53"/>
      <c r="I29" s="69"/>
    </row>
    <row r="30" spans="1:13" ht="13.8">
      <c r="A30" s="15" t="s">
        <v>48</v>
      </c>
      <c r="B30" s="110">
        <v>445.92499999999995</v>
      </c>
      <c r="C30" s="66">
        <v>383.75</v>
      </c>
      <c r="D30" s="66">
        <v>281.875</v>
      </c>
      <c r="E30" s="57" t="s">
        <v>76</v>
      </c>
      <c r="F30" s="66">
        <v>478.17499999999995</v>
      </c>
      <c r="G30" s="66">
        <v>322.5</v>
      </c>
      <c r="H30" s="53"/>
      <c r="I30" s="69"/>
    </row>
    <row r="31" spans="1:13" ht="13.8">
      <c r="A31" s="15" t="s">
        <v>49</v>
      </c>
      <c r="B31" s="110">
        <v>467.87</v>
      </c>
      <c r="C31" s="66">
        <v>369.5</v>
      </c>
      <c r="D31" s="66">
        <v>268.5</v>
      </c>
      <c r="E31" s="57" t="s">
        <v>76</v>
      </c>
      <c r="F31" s="66">
        <v>501.17999999999995</v>
      </c>
      <c r="G31" s="66">
        <v>351.5</v>
      </c>
      <c r="H31" s="53"/>
      <c r="I31" s="69"/>
    </row>
    <row r="32" spans="1:13" ht="13.8">
      <c r="A32" s="15" t="s">
        <v>50</v>
      </c>
      <c r="B32" s="110">
        <v>510.90000000000009</v>
      </c>
      <c r="C32" s="66">
        <v>405</v>
      </c>
      <c r="D32" s="66">
        <v>255</v>
      </c>
      <c r="E32" s="57" t="s">
        <v>76</v>
      </c>
      <c r="F32" s="66">
        <v>521.52500000000009</v>
      </c>
      <c r="G32" s="66">
        <v>347.5</v>
      </c>
      <c r="H32" s="53"/>
      <c r="I32" s="69"/>
    </row>
    <row r="33" spans="1:10" ht="13.8">
      <c r="A33" s="15" t="s">
        <v>36</v>
      </c>
      <c r="B33" s="110">
        <v>473.93999999999994</v>
      </c>
      <c r="C33" s="66">
        <v>450</v>
      </c>
      <c r="D33" s="66">
        <v>225</v>
      </c>
      <c r="E33" s="57" t="s">
        <v>76</v>
      </c>
      <c r="F33" s="66">
        <v>434.53999999999996</v>
      </c>
      <c r="G33" s="66" t="s">
        <v>76</v>
      </c>
      <c r="H33" s="53"/>
    </row>
    <row r="34" spans="1:10" ht="13.8">
      <c r="A34" s="15"/>
      <c r="B34" s="110"/>
      <c r="C34" s="66"/>
      <c r="D34" s="66"/>
      <c r="E34" s="57"/>
      <c r="F34" s="66"/>
      <c r="G34" s="66"/>
      <c r="H34" s="53"/>
    </row>
    <row r="35" spans="1:10" ht="13.8">
      <c r="A35" s="35" t="s">
        <v>52</v>
      </c>
      <c r="B35" s="110"/>
      <c r="C35" s="66"/>
      <c r="D35" s="66"/>
      <c r="E35" s="57"/>
      <c r="F35" s="66"/>
      <c r="G35" s="66"/>
      <c r="H35" s="53"/>
    </row>
    <row r="36" spans="1:10" ht="13.8">
      <c r="A36" s="15" t="s">
        <v>37</v>
      </c>
      <c r="B36" s="110">
        <v>468.67499999999995</v>
      </c>
      <c r="C36" s="66">
        <v>451.875</v>
      </c>
      <c r="D36" s="66" t="s">
        <v>76</v>
      </c>
      <c r="E36" s="57" t="s">
        <v>76</v>
      </c>
      <c r="F36" s="66">
        <v>409.17499999999995</v>
      </c>
      <c r="G36" s="66" t="s">
        <v>76</v>
      </c>
      <c r="H36" s="53"/>
    </row>
    <row r="37" spans="1:10" ht="13.8">
      <c r="A37" s="15" t="s">
        <v>38</v>
      </c>
      <c r="B37" s="110">
        <v>436.74999999999994</v>
      </c>
      <c r="C37" s="66">
        <v>405</v>
      </c>
      <c r="D37" s="66" t="s">
        <v>76</v>
      </c>
      <c r="E37" s="57" t="s">
        <v>76</v>
      </c>
      <c r="F37" s="66">
        <v>402.99999999999994</v>
      </c>
      <c r="G37" s="66">
        <v>357.5</v>
      </c>
      <c r="H37" s="53"/>
      <c r="I37" s="69"/>
    </row>
    <row r="38" spans="1:10" ht="13.8">
      <c r="A38" s="15" t="s">
        <v>40</v>
      </c>
      <c r="B38" s="110">
        <v>462.85</v>
      </c>
      <c r="C38" s="66">
        <v>390.625</v>
      </c>
      <c r="D38" s="66">
        <v>200</v>
      </c>
      <c r="E38" s="57" t="s">
        <v>76</v>
      </c>
      <c r="F38" s="66">
        <v>437.09999999999997</v>
      </c>
      <c r="G38" s="66">
        <v>368.5</v>
      </c>
      <c r="H38" s="53"/>
      <c r="I38" s="69"/>
    </row>
    <row r="39" spans="1:10" ht="13.8">
      <c r="A39" s="15" t="s">
        <v>41</v>
      </c>
      <c r="B39" s="110">
        <v>482.40000000000003</v>
      </c>
      <c r="C39" s="66">
        <v>386.25</v>
      </c>
      <c r="D39" s="66">
        <v>355</v>
      </c>
      <c r="E39" s="57" t="s">
        <v>76</v>
      </c>
      <c r="F39" s="66">
        <v>474.02500000000003</v>
      </c>
      <c r="G39" s="66">
        <v>397.5</v>
      </c>
      <c r="I39" s="69"/>
    </row>
    <row r="40" spans="1:10" ht="13.8">
      <c r="A40" s="15" t="s">
        <v>42</v>
      </c>
      <c r="B40" s="110">
        <v>500.52499999999998</v>
      </c>
      <c r="C40" s="66">
        <v>392.5</v>
      </c>
      <c r="D40" s="66">
        <v>336.25</v>
      </c>
      <c r="E40" s="57" t="s">
        <v>76</v>
      </c>
      <c r="F40" s="66">
        <v>501.02499999999998</v>
      </c>
      <c r="G40" s="66">
        <v>412.5</v>
      </c>
      <c r="I40" s="69"/>
    </row>
    <row r="41" spans="1:10" ht="13.8">
      <c r="A41" s="15" t="s">
        <v>44</v>
      </c>
      <c r="B41" s="110">
        <v>484.4</v>
      </c>
      <c r="C41" s="66">
        <v>386.25</v>
      </c>
      <c r="D41" s="66">
        <v>308</v>
      </c>
      <c r="E41" s="57" t="s">
        <v>76</v>
      </c>
      <c r="F41" s="66">
        <v>466.6</v>
      </c>
      <c r="G41" s="66">
        <v>380.4</v>
      </c>
      <c r="I41" s="69"/>
    </row>
    <row r="42" spans="1:10" ht="13.8">
      <c r="A42" s="15" t="s">
        <v>45</v>
      </c>
      <c r="B42" s="110">
        <v>457.25</v>
      </c>
      <c r="C42" s="66">
        <v>364.375</v>
      </c>
      <c r="D42" s="66">
        <v>252.5</v>
      </c>
      <c r="E42" s="57" t="s">
        <v>76</v>
      </c>
      <c r="F42" s="66">
        <v>434.75</v>
      </c>
      <c r="G42" s="66">
        <v>352.5</v>
      </c>
      <c r="I42" s="69"/>
    </row>
    <row r="43" spans="1:10" ht="13.8">
      <c r="A43" s="15" t="s">
        <v>46</v>
      </c>
      <c r="B43" s="110">
        <v>423.57499999999999</v>
      </c>
      <c r="C43" s="66">
        <v>370.625</v>
      </c>
      <c r="D43" s="66">
        <v>237.5</v>
      </c>
      <c r="E43" s="57" t="s">
        <v>76</v>
      </c>
      <c r="F43" s="66">
        <v>407.02500000000003</v>
      </c>
      <c r="G43" s="66">
        <v>352.5</v>
      </c>
      <c r="I43" s="69"/>
    </row>
    <row r="44" spans="1:10" ht="13.8">
      <c r="A44" s="15" t="s">
        <v>48</v>
      </c>
      <c r="B44" s="110">
        <v>413.46000000000004</v>
      </c>
      <c r="C44" s="66">
        <v>362.5</v>
      </c>
      <c r="D44" s="66">
        <v>208.00200000000001</v>
      </c>
      <c r="E44" s="57" t="s">
        <v>76</v>
      </c>
      <c r="F44" s="66">
        <v>405.06000000000006</v>
      </c>
      <c r="G44" s="66">
        <v>354</v>
      </c>
      <c r="I44" s="69"/>
    </row>
    <row r="45" spans="1:10" ht="13.8">
      <c r="A45" s="15" t="s">
        <v>49</v>
      </c>
      <c r="B45" s="110">
        <v>443.15</v>
      </c>
      <c r="C45" s="66">
        <v>347.5</v>
      </c>
      <c r="D45" s="66">
        <v>159.16749999999999</v>
      </c>
      <c r="E45" s="57" t="s">
        <v>76</v>
      </c>
      <c r="F45" s="66">
        <v>432.1</v>
      </c>
      <c r="G45" s="66">
        <v>335</v>
      </c>
      <c r="I45" s="69"/>
    </row>
    <row r="46" spans="1:10" ht="13.8">
      <c r="A46" s="14" t="s">
        <v>50</v>
      </c>
      <c r="B46" s="130">
        <v>438.8</v>
      </c>
      <c r="C46" s="131">
        <v>348.33</v>
      </c>
      <c r="D46" s="131">
        <v>185</v>
      </c>
      <c r="E46" s="132" t="s">
        <v>76</v>
      </c>
      <c r="F46" s="131">
        <v>412.9</v>
      </c>
      <c r="G46" s="131">
        <v>321.25</v>
      </c>
      <c r="I46" s="69"/>
    </row>
    <row r="47" spans="1:10" ht="16.2">
      <c r="A47" s="46" t="s">
        <v>153</v>
      </c>
      <c r="B47" s="74"/>
      <c r="C47" s="74"/>
      <c r="D47" s="74"/>
      <c r="E47" s="74"/>
      <c r="F47" s="74"/>
      <c r="G47" s="74"/>
      <c r="I47" s="72"/>
    </row>
    <row r="48" spans="1:10" ht="16.2">
      <c r="A48" s="46" t="s">
        <v>154</v>
      </c>
      <c r="B48" s="75"/>
      <c r="C48" s="75"/>
      <c r="D48" s="75"/>
      <c r="E48" s="75"/>
      <c r="F48" s="75"/>
      <c r="G48" s="75"/>
      <c r="I48" s="72"/>
      <c r="J48" s="72"/>
    </row>
    <row r="49" spans="1:10" ht="14.4">
      <c r="A49" s="15" t="s">
        <v>155</v>
      </c>
      <c r="B49" s="15"/>
      <c r="C49" s="15"/>
      <c r="D49" s="15"/>
      <c r="E49" s="15"/>
      <c r="F49" s="75"/>
      <c r="G49" s="75"/>
      <c r="I49" s="72"/>
      <c r="J49" s="72"/>
    </row>
    <row r="50" spans="1:10" ht="13.8">
      <c r="A50" s="20" t="s">
        <v>55</v>
      </c>
      <c r="B50" s="41">
        <f>Contents!A16</f>
        <v>45183</v>
      </c>
      <c r="C50" s="15"/>
      <c r="D50" s="15"/>
      <c r="E50" s="15"/>
      <c r="F50" s="75"/>
      <c r="G50" s="75"/>
      <c r="I50" s="76"/>
      <c r="J50" s="76"/>
    </row>
    <row r="51" spans="1:10" ht="13.8">
      <c r="F51" s="75"/>
      <c r="G51" s="75"/>
      <c r="I51" s="76"/>
      <c r="J51" s="76"/>
    </row>
    <row r="52" spans="1:10" ht="13.8">
      <c r="B52" s="69"/>
      <c r="F52" s="75"/>
      <c r="G52" s="75"/>
      <c r="I52" s="72"/>
      <c r="J52" s="72"/>
    </row>
    <row r="53" spans="1:10">
      <c r="B53" s="147"/>
      <c r="I53" s="72"/>
      <c r="J53" s="72"/>
    </row>
    <row r="54" spans="1:10">
      <c r="I54" s="72"/>
      <c r="J54" s="72"/>
    </row>
    <row r="55" spans="1:10">
      <c r="I55" s="72"/>
      <c r="J55" s="72"/>
    </row>
    <row r="56" spans="1:10">
      <c r="I56" s="72"/>
      <c r="J56" s="72"/>
    </row>
    <row r="57" spans="1:10">
      <c r="I57" s="72"/>
      <c r="J57" s="72"/>
    </row>
    <row r="59" spans="1:10">
      <c r="I59" s="77"/>
      <c r="J59" s="77"/>
    </row>
    <row r="60" spans="1:10">
      <c r="I60" s="77"/>
      <c r="J60" s="77"/>
    </row>
  </sheetData>
  <phoneticPr fontId="34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11ED-C55F-433C-BF56-326098E3F238}">
  <dimension ref="A1:B25"/>
  <sheetViews>
    <sheetView zoomScaleNormal="100" workbookViewId="0">
      <selection activeCell="E27" sqref="E27"/>
    </sheetView>
  </sheetViews>
  <sheetFormatPr defaultColWidth="9.109375" defaultRowHeight="13.2"/>
  <cols>
    <col min="1" max="1" width="21.5546875" style="102" customWidth="1"/>
    <col min="2" max="2" width="20.5546875" style="102" customWidth="1"/>
    <col min="3" max="16384" width="9.109375" style="102"/>
  </cols>
  <sheetData>
    <row r="1" spans="1:2" ht="26.4">
      <c r="A1" s="108" t="s">
        <v>181</v>
      </c>
      <c r="B1" s="108" t="s">
        <v>182</v>
      </c>
    </row>
    <row r="2" spans="1:2">
      <c r="A2" s="109" t="s">
        <v>160</v>
      </c>
      <c r="B2" s="144">
        <v>39.6</v>
      </c>
    </row>
    <row r="3" spans="1:2">
      <c r="A3" s="109" t="s">
        <v>161</v>
      </c>
      <c r="B3" s="144">
        <v>38</v>
      </c>
    </row>
    <row r="4" spans="1:2">
      <c r="A4" s="109" t="s">
        <v>162</v>
      </c>
      <c r="B4" s="144">
        <v>33.9</v>
      </c>
    </row>
    <row r="5" spans="1:2">
      <c r="A5" s="106" t="s">
        <v>163</v>
      </c>
      <c r="B5" s="144">
        <v>42.2</v>
      </c>
    </row>
    <row r="6" spans="1:2">
      <c r="A6" s="106" t="s">
        <v>164</v>
      </c>
      <c r="B6" s="144">
        <v>43.1</v>
      </c>
    </row>
    <row r="7" spans="1:2">
      <c r="A7" s="106" t="s">
        <v>165</v>
      </c>
      <c r="B7" s="144">
        <v>42.9</v>
      </c>
    </row>
    <row r="8" spans="1:2">
      <c r="A8" s="106" t="s">
        <v>166</v>
      </c>
      <c r="B8" s="144">
        <v>41.7</v>
      </c>
    </row>
    <row r="9" spans="1:2">
      <c r="A9" s="106" t="s">
        <v>167</v>
      </c>
      <c r="B9" s="145">
        <v>39.700000000000003</v>
      </c>
    </row>
    <row r="10" spans="1:2">
      <c r="A10" s="106" t="s">
        <v>168</v>
      </c>
      <c r="B10" s="144">
        <v>44</v>
      </c>
    </row>
    <row r="11" spans="1:2">
      <c r="A11" s="106" t="s">
        <v>108</v>
      </c>
      <c r="B11" s="144">
        <v>43.5</v>
      </c>
    </row>
    <row r="12" spans="1:2">
      <c r="A12" s="106" t="s">
        <v>109</v>
      </c>
      <c r="B12" s="144">
        <v>42</v>
      </c>
    </row>
    <row r="13" spans="1:2">
      <c r="A13" s="106" t="s">
        <v>110</v>
      </c>
      <c r="B13" s="144">
        <v>40</v>
      </c>
    </row>
    <row r="14" spans="1:2">
      <c r="A14" s="106" t="s">
        <v>111</v>
      </c>
      <c r="B14" s="144">
        <v>44</v>
      </c>
    </row>
    <row r="15" spans="1:2">
      <c r="A15" s="106" t="s">
        <v>112</v>
      </c>
      <c r="B15" s="144">
        <v>47.5</v>
      </c>
    </row>
    <row r="16" spans="1:2">
      <c r="A16" s="106" t="s">
        <v>113</v>
      </c>
      <c r="B16" s="144">
        <v>48</v>
      </c>
    </row>
    <row r="17" spans="1:2" customFormat="1">
      <c r="A17" s="106" t="s">
        <v>114</v>
      </c>
      <c r="B17" s="144">
        <v>51.9</v>
      </c>
    </row>
    <row r="18" spans="1:2" customFormat="1">
      <c r="A18" s="106" t="s">
        <v>115</v>
      </c>
      <c r="B18" s="144">
        <v>49.3</v>
      </c>
    </row>
    <row r="19" spans="1:2" customFormat="1">
      <c r="A19" s="106" t="s">
        <v>116</v>
      </c>
      <c r="B19" s="144">
        <v>50.6</v>
      </c>
    </row>
    <row r="20" spans="1:2" customFormat="1">
      <c r="A20" s="106" t="s">
        <v>117</v>
      </c>
      <c r="B20" s="144">
        <v>47.4</v>
      </c>
    </row>
    <row r="21" spans="1:2" customFormat="1">
      <c r="A21" s="106" t="s">
        <v>118</v>
      </c>
      <c r="B21" s="144">
        <v>51</v>
      </c>
    </row>
    <row r="22" spans="1:2" customFormat="1">
      <c r="A22" s="106" t="s">
        <v>33</v>
      </c>
      <c r="B22" s="144">
        <v>51.7</v>
      </c>
    </row>
    <row r="23" spans="1:2" customFormat="1">
      <c r="A23" s="106" t="s">
        <v>52</v>
      </c>
      <c r="B23" s="144">
        <v>49.5</v>
      </c>
    </row>
    <row r="24" spans="1:2">
      <c r="A24" s="106" t="s">
        <v>179</v>
      </c>
      <c r="B24" s="142">
        <v>50.9</v>
      </c>
    </row>
    <row r="25" spans="1:2">
      <c r="A25" s="106" t="s">
        <v>169</v>
      </c>
      <c r="B25" s="102">
        <v>50.1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8A46-C321-496C-B5C5-35DEA73AF0F6}">
  <dimension ref="A1:F10"/>
  <sheetViews>
    <sheetView workbookViewId="0">
      <selection activeCell="A9" sqref="A9"/>
    </sheetView>
  </sheetViews>
  <sheetFormatPr defaultRowHeight="13.2"/>
  <cols>
    <col min="1" max="1" width="15.33203125" customWidth="1"/>
    <col min="2" max="2" width="12.5546875" customWidth="1"/>
    <col min="3" max="4" width="11.5546875" bestFit="1" customWidth="1"/>
  </cols>
  <sheetData>
    <row r="1" spans="1:6">
      <c r="A1" s="148" t="s">
        <v>183</v>
      </c>
    </row>
    <row r="2" spans="1:6" ht="39.6">
      <c r="A2" s="108" t="s">
        <v>180</v>
      </c>
      <c r="B2" s="108" t="s">
        <v>171</v>
      </c>
      <c r="C2" s="108" t="s">
        <v>172</v>
      </c>
      <c r="D2" s="108" t="s">
        <v>173</v>
      </c>
      <c r="E2" s="108" t="s">
        <v>175</v>
      </c>
      <c r="F2" s="108" t="s">
        <v>176</v>
      </c>
    </row>
    <row r="3" spans="1:6">
      <c r="A3" s="106" t="s">
        <v>116</v>
      </c>
      <c r="B3" s="149">
        <v>51.110022941770005</v>
      </c>
      <c r="C3" s="149">
        <v>263.12729235392004</v>
      </c>
      <c r="D3" s="149">
        <v>278.0341420135</v>
      </c>
      <c r="E3" s="150">
        <v>1753.43</v>
      </c>
      <c r="F3" s="151">
        <f>SUM(B3:D3)/E3*100</f>
        <v>33.777878632690786</v>
      </c>
    </row>
    <row r="4" spans="1:6">
      <c r="A4" s="106" t="s">
        <v>117</v>
      </c>
      <c r="B4" s="149">
        <v>31.75740483445</v>
      </c>
      <c r="C4" s="149">
        <v>166.18243068395</v>
      </c>
      <c r="D4" s="149">
        <v>133.9730782165</v>
      </c>
      <c r="E4" s="150">
        <v>1682.875</v>
      </c>
      <c r="F4" s="151">
        <f t="shared" ref="F4:F8" si="0">SUM(B4:D4)/E4*100</f>
        <v>19.72296895104509</v>
      </c>
    </row>
    <row r="5" spans="1:6">
      <c r="A5" s="106" t="s">
        <v>118</v>
      </c>
      <c r="B5" s="149">
        <v>568.56878811868</v>
      </c>
      <c r="C5" s="149">
        <v>187.27449602267001</v>
      </c>
      <c r="D5" s="149">
        <v>322.94274530001996</v>
      </c>
      <c r="E5" s="150">
        <v>2265.7620000000002</v>
      </c>
      <c r="F5" s="151">
        <f t="shared" si="0"/>
        <v>47.612504289566594</v>
      </c>
    </row>
    <row r="6" spans="1:6">
      <c r="A6" s="106" t="s">
        <v>33</v>
      </c>
      <c r="B6" s="149">
        <v>346.20959734621999</v>
      </c>
      <c r="C6" s="149">
        <v>162.84191303301</v>
      </c>
      <c r="D6" s="149">
        <v>262.98582907041998</v>
      </c>
      <c r="E6" s="150">
        <v>2152.114</v>
      </c>
      <c r="F6" s="151">
        <f t="shared" si="0"/>
        <v>35.873440693645875</v>
      </c>
    </row>
    <row r="7" spans="1:6">
      <c r="A7" s="106" t="s">
        <v>52</v>
      </c>
      <c r="B7" s="149">
        <v>467.79284352556004</v>
      </c>
      <c r="C7" s="149">
        <v>151.72558124074001</v>
      </c>
      <c r="D7" s="149">
        <v>276.71320563900002</v>
      </c>
      <c r="E7" s="150">
        <v>1990</v>
      </c>
      <c r="F7" s="151">
        <f t="shared" si="0"/>
        <v>45.036765347000006</v>
      </c>
    </row>
    <row r="8" spans="1:6">
      <c r="A8" s="106" t="s">
        <v>174</v>
      </c>
      <c r="B8" s="149">
        <v>234.15579561166999</v>
      </c>
      <c r="C8" s="149">
        <v>123.14106925221</v>
      </c>
      <c r="D8" s="149">
        <v>228.43564506999999</v>
      </c>
      <c r="E8" s="150">
        <v>1790</v>
      </c>
      <c r="F8" s="151">
        <f t="shared" si="0"/>
        <v>32.722486588484919</v>
      </c>
    </row>
    <row r="10" spans="1:6">
      <c r="B10" s="142"/>
      <c r="C10" s="142"/>
      <c r="D10" s="142"/>
      <c r="E10" s="14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921D-EE91-4B39-9396-861EDF1BA3CB}">
  <dimension ref="A1:O65"/>
  <sheetViews>
    <sheetView zoomScaleNormal="100" workbookViewId="0">
      <pane xSplit="1" ySplit="2" topLeftCell="B3" activePane="bottomRight" state="frozen"/>
      <selection activeCell="A43" sqref="A43"/>
      <selection pane="topRight" activeCell="A43" sqref="A43"/>
      <selection pane="bottomLeft" activeCell="A43" sqref="A43"/>
      <selection pane="bottomRight" activeCell="A2" sqref="A2"/>
    </sheetView>
  </sheetViews>
  <sheetFormatPr defaultColWidth="9.109375" defaultRowHeight="13.2"/>
  <cols>
    <col min="1" max="1" width="14.33203125" style="111" customWidth="1"/>
    <col min="2" max="2" width="18.44140625" style="111" customWidth="1"/>
    <col min="3" max="3" width="13.33203125" style="111" customWidth="1"/>
    <col min="4" max="16384" width="9.109375" style="111"/>
  </cols>
  <sheetData>
    <row r="1" spans="1:3">
      <c r="B1" s="126" t="s">
        <v>178</v>
      </c>
    </row>
    <row r="2" spans="1:3" ht="39.6">
      <c r="A2" s="125" t="s">
        <v>158</v>
      </c>
      <c r="B2" s="146" t="s">
        <v>170</v>
      </c>
      <c r="C2" s="124" t="s">
        <v>177</v>
      </c>
    </row>
    <row r="3" spans="1:3">
      <c r="A3" s="123">
        <v>44470</v>
      </c>
      <c r="B3" s="120">
        <v>832.42700000000002</v>
      </c>
      <c r="C3" s="119">
        <v>1238.8665449425162</v>
      </c>
    </row>
    <row r="4" spans="1:3">
      <c r="A4" s="123">
        <v>44501</v>
      </c>
      <c r="B4" s="120">
        <v>818.01271279999992</v>
      </c>
      <c r="C4" s="119">
        <v>1202.5791951889105</v>
      </c>
    </row>
    <row r="5" spans="1:3">
      <c r="A5" s="123">
        <v>44531</v>
      </c>
      <c r="B5" s="120">
        <v>938.34100000000001</v>
      </c>
      <c r="C5" s="119">
        <v>1192.3257741901489</v>
      </c>
    </row>
    <row r="6" spans="1:3">
      <c r="A6" s="123">
        <v>44562</v>
      </c>
      <c r="B6" s="120">
        <v>791.48900000000003</v>
      </c>
      <c r="C6" s="119">
        <v>1183.8386333882768</v>
      </c>
    </row>
    <row r="7" spans="1:3">
      <c r="A7" s="123">
        <v>44593</v>
      </c>
      <c r="B7" s="120">
        <v>758.13099999999997</v>
      </c>
      <c r="C7" s="119">
        <v>1026.5064109403215</v>
      </c>
    </row>
    <row r="8" spans="1:3">
      <c r="A8" s="123">
        <v>44621</v>
      </c>
      <c r="B8" s="120">
        <v>919.11900000000003</v>
      </c>
      <c r="C8" s="119">
        <v>1236.8087117706305</v>
      </c>
    </row>
    <row r="9" spans="1:3">
      <c r="A9" s="123">
        <v>44652</v>
      </c>
      <c r="B9" s="120">
        <v>842.00099999999998</v>
      </c>
      <c r="C9" s="119">
        <v>1176.5496951479056</v>
      </c>
    </row>
    <row r="10" spans="1:3">
      <c r="A10" s="123">
        <v>44682</v>
      </c>
      <c r="B10" s="120">
        <v>855.74599999999998</v>
      </c>
      <c r="C10" s="119">
        <v>1293.8578602987186</v>
      </c>
    </row>
    <row r="11" spans="1:3">
      <c r="A11" s="123">
        <v>44713</v>
      </c>
      <c r="B11" s="120">
        <v>809.79899999999998</v>
      </c>
      <c r="C11" s="119">
        <v>1278.8797634852426</v>
      </c>
    </row>
    <row r="12" spans="1:3">
      <c r="A12" s="123">
        <v>44743</v>
      </c>
      <c r="B12" s="120">
        <v>956.48800000000006</v>
      </c>
      <c r="C12" s="119">
        <v>1157.154279888857</v>
      </c>
    </row>
    <row r="13" spans="1:3">
      <c r="A13" s="123">
        <v>44774</v>
      </c>
      <c r="B13" s="120">
        <v>924.71799999999996</v>
      </c>
      <c r="C13" s="119">
        <v>1293.1227149794981</v>
      </c>
    </row>
    <row r="14" spans="1:3">
      <c r="A14" s="123">
        <v>44805</v>
      </c>
      <c r="B14" s="120">
        <v>932.48199999999997</v>
      </c>
      <c r="C14" s="119">
        <v>1145.8174447306692</v>
      </c>
    </row>
    <row r="15" spans="1:3">
      <c r="A15" s="123">
        <v>44835</v>
      </c>
      <c r="B15" s="122">
        <v>906.40899999999999</v>
      </c>
      <c r="C15" s="119">
        <v>1335.408776373396</v>
      </c>
    </row>
    <row r="16" spans="1:3">
      <c r="A16" s="123">
        <v>44866</v>
      </c>
      <c r="B16" s="122">
        <v>943.34199999999998</v>
      </c>
      <c r="C16" s="119">
        <v>1240.4073674101041</v>
      </c>
    </row>
    <row r="17" spans="1:3">
      <c r="A17" s="123">
        <v>44896</v>
      </c>
      <c r="B17" s="122">
        <v>885.65899999999999</v>
      </c>
      <c r="C17" s="119">
        <v>1103.589187355306</v>
      </c>
    </row>
    <row r="18" spans="1:3">
      <c r="A18" s="123">
        <v>44927</v>
      </c>
      <c r="B18" s="122">
        <v>940.87400000000002</v>
      </c>
      <c r="C18" s="119">
        <v>1271.0190419700828</v>
      </c>
    </row>
    <row r="19" spans="1:3">
      <c r="A19" s="123">
        <v>44958</v>
      </c>
      <c r="B19" s="122">
        <v>909.98699999999997</v>
      </c>
      <c r="C19" s="119">
        <v>1181.4164767279176</v>
      </c>
    </row>
    <row r="20" spans="1:3">
      <c r="A20" s="123">
        <v>44986</v>
      </c>
      <c r="B20" s="122">
        <v>952.70299999999997</v>
      </c>
      <c r="C20" s="119">
        <v>1383.8268096663091</v>
      </c>
    </row>
    <row r="21" spans="1:3">
      <c r="A21" s="123">
        <v>45017</v>
      </c>
      <c r="B21" s="122">
        <v>926.59799999999996</v>
      </c>
      <c r="C21" s="119">
        <v>1131.6384162338127</v>
      </c>
    </row>
    <row r="22" spans="1:3">
      <c r="A22" s="123">
        <v>45047</v>
      </c>
      <c r="B22" s="122">
        <v>1140.8710000000001</v>
      </c>
      <c r="C22" s="119">
        <v>1244.921470546235</v>
      </c>
    </row>
    <row r="23" spans="1:3">
      <c r="A23" s="123">
        <v>45078</v>
      </c>
      <c r="B23" s="122">
        <v>1206.92</v>
      </c>
      <c r="C23" s="119">
        <v>1028.6439040683845</v>
      </c>
    </row>
    <row r="24" spans="1:3">
      <c r="A24" s="123"/>
      <c r="B24" s="119"/>
      <c r="C24" s="122"/>
    </row>
    <row r="25" spans="1:3">
      <c r="A25" s="123"/>
      <c r="B25" s="119"/>
      <c r="C25" s="122"/>
    </row>
    <row r="26" spans="1:3">
      <c r="A26" s="123"/>
      <c r="B26" s="119"/>
      <c r="C26" s="122"/>
    </row>
    <row r="27" spans="1:3">
      <c r="A27" s="123"/>
      <c r="B27" s="120"/>
      <c r="C27" s="122"/>
    </row>
    <row r="28" spans="1:3">
      <c r="A28" s="123"/>
      <c r="B28" s="120"/>
      <c r="C28" s="122"/>
    </row>
    <row r="29" spans="1:3">
      <c r="A29" s="123"/>
      <c r="B29" s="122"/>
      <c r="C29" s="122"/>
    </row>
    <row r="30" spans="1:3">
      <c r="A30" s="123"/>
      <c r="B30" s="122"/>
      <c r="C30" s="122"/>
    </row>
    <row r="31" spans="1:3">
      <c r="A31" s="123"/>
      <c r="B31" s="120"/>
      <c r="C31" s="122"/>
    </row>
    <row r="32" spans="1:3">
      <c r="A32" s="123"/>
      <c r="B32" s="120"/>
      <c r="C32" s="122"/>
    </row>
    <row r="33" spans="1:15">
      <c r="A33" s="123"/>
      <c r="B33" s="120"/>
      <c r="C33" s="122"/>
    </row>
    <row r="34" spans="1:15">
      <c r="A34" s="123"/>
      <c r="B34" s="120"/>
      <c r="C34" s="122"/>
    </row>
    <row r="35" spans="1:15">
      <c r="A35" s="123"/>
      <c r="B35" s="120"/>
      <c r="C35" s="122"/>
    </row>
    <row r="36" spans="1:15">
      <c r="A36" s="123"/>
      <c r="B36" s="122"/>
      <c r="C36" s="122"/>
    </row>
    <row r="37" spans="1:15">
      <c r="A37" s="123"/>
      <c r="B37" s="122"/>
      <c r="C37" s="122"/>
    </row>
    <row r="38" spans="1:15">
      <c r="A38" s="123"/>
      <c r="B38" s="120"/>
      <c r="C38" s="122"/>
    </row>
    <row r="39" spans="1:15">
      <c r="A39" s="123"/>
      <c r="B39" s="122"/>
      <c r="C39" s="122"/>
      <c r="O39" s="120"/>
    </row>
    <row r="40" spans="1:15">
      <c r="A40" s="123"/>
      <c r="B40" s="122"/>
      <c r="C40" s="122"/>
      <c r="O40" s="120"/>
    </row>
    <row r="41" spans="1:15">
      <c r="A41" s="123"/>
      <c r="B41" s="120"/>
      <c r="C41" s="122"/>
    </row>
    <row r="42" spans="1:15">
      <c r="A42" s="123"/>
      <c r="B42" s="120"/>
      <c r="C42" s="122"/>
    </row>
    <row r="43" spans="1:15">
      <c r="A43" s="123"/>
      <c r="B43" s="122"/>
      <c r="C43" s="122"/>
    </row>
    <row r="44" spans="1:15">
      <c r="A44" s="123"/>
      <c r="B44" s="122"/>
      <c r="C44" s="122"/>
    </row>
    <row r="45" spans="1:15">
      <c r="A45" s="123"/>
      <c r="B45" s="120"/>
      <c r="C45" s="122"/>
    </row>
    <row r="46" spans="1:15">
      <c r="A46" s="123"/>
      <c r="B46" s="120"/>
      <c r="C46" s="122"/>
    </row>
    <row r="47" spans="1:15">
      <c r="A47" s="123"/>
      <c r="B47" s="120"/>
      <c r="C47" s="122"/>
    </row>
    <row r="48" spans="1:15">
      <c r="A48" s="123"/>
      <c r="B48" s="120"/>
      <c r="C48" s="122"/>
    </row>
    <row r="49" spans="1:3">
      <c r="A49" s="123"/>
      <c r="B49" s="120"/>
      <c r="C49" s="122"/>
    </row>
    <row r="50" spans="1:3">
      <c r="A50" s="123"/>
      <c r="B50" s="120"/>
      <c r="C50" s="122"/>
    </row>
    <row r="51" spans="1:3">
      <c r="A51" s="123"/>
      <c r="B51" s="122"/>
      <c r="C51" s="122"/>
    </row>
    <row r="52" spans="1:3">
      <c r="A52" s="123"/>
      <c r="B52" s="122"/>
      <c r="C52" s="122"/>
    </row>
    <row r="53" spans="1:3">
      <c r="A53" s="123"/>
      <c r="B53" s="120"/>
      <c r="C53" s="122"/>
    </row>
    <row r="54" spans="1:3">
      <c r="A54" s="123"/>
      <c r="B54" s="120"/>
      <c r="C54" s="122"/>
    </row>
    <row r="55" spans="1:3">
      <c r="A55" s="123"/>
      <c r="B55" s="120"/>
      <c r="C55" s="122"/>
    </row>
    <row r="56" spans="1:3">
      <c r="A56" s="123"/>
      <c r="B56" s="120"/>
      <c r="C56" s="122"/>
    </row>
    <row r="57" spans="1:3">
      <c r="A57" s="123"/>
      <c r="B57" s="120"/>
      <c r="C57" s="122"/>
    </row>
    <row r="58" spans="1:3">
      <c r="A58" s="123"/>
      <c r="B58" s="120"/>
      <c r="C58" s="122"/>
    </row>
    <row r="59" spans="1:3">
      <c r="A59" s="123"/>
      <c r="B59" s="120"/>
    </row>
    <row r="60" spans="1:3">
      <c r="A60" s="123"/>
      <c r="B60" s="120"/>
      <c r="C60" s="122"/>
    </row>
    <row r="61" spans="1:3">
      <c r="A61" s="123"/>
      <c r="B61" s="120"/>
      <c r="C61" s="122"/>
    </row>
    <row r="62" spans="1:3">
      <c r="A62" s="123"/>
      <c r="B62" s="120"/>
    </row>
    <row r="63" spans="1:3">
      <c r="A63" s="123"/>
      <c r="B63" s="121"/>
    </row>
    <row r="64" spans="1:3">
      <c r="A64" s="123"/>
    </row>
    <row r="65" spans="1:1">
      <c r="A65" s="12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BA5-FF6A-4C66-8593-900333E12A84}">
  <dimension ref="A1:D23"/>
  <sheetViews>
    <sheetView zoomScaleNormal="100" workbookViewId="0">
      <selection activeCell="B16" sqref="B16"/>
    </sheetView>
  </sheetViews>
  <sheetFormatPr defaultColWidth="9.109375" defaultRowHeight="13.2"/>
  <cols>
    <col min="1" max="1" width="12.6640625" style="102" bestFit="1" customWidth="1"/>
    <col min="2" max="2" width="12.88671875" style="102" customWidth="1"/>
    <col min="4" max="4" width="11.33203125" customWidth="1"/>
    <col min="5" max="16384" width="9.109375" style="102"/>
  </cols>
  <sheetData>
    <row r="1" spans="1:4" ht="26.4">
      <c r="A1" s="108" t="s">
        <v>156</v>
      </c>
      <c r="B1" s="108" t="s">
        <v>25</v>
      </c>
      <c r="C1" s="108" t="s">
        <v>29</v>
      </c>
      <c r="D1" s="108" t="s">
        <v>20</v>
      </c>
    </row>
    <row r="2" spans="1:4">
      <c r="A2" s="109" t="s">
        <v>113</v>
      </c>
      <c r="B2" s="144">
        <v>17.576000000000001</v>
      </c>
      <c r="C2" s="142">
        <v>3.8889999999999998</v>
      </c>
      <c r="D2" s="142">
        <v>12.925000000000001</v>
      </c>
    </row>
    <row r="3" spans="1:4">
      <c r="A3" s="109" t="s">
        <v>114</v>
      </c>
      <c r="B3" s="144">
        <v>20.736000000000001</v>
      </c>
      <c r="C3" s="142">
        <v>4.1280000000000001</v>
      </c>
      <c r="D3" s="142">
        <v>15.58</v>
      </c>
    </row>
    <row r="4" spans="1:4">
      <c r="A4" s="109" t="s">
        <v>115</v>
      </c>
      <c r="B4" s="144">
        <v>19.902000000000001</v>
      </c>
      <c r="C4" s="142">
        <v>4.9139999999999997</v>
      </c>
      <c r="D4" s="142">
        <v>14.955</v>
      </c>
    </row>
    <row r="5" spans="1:4">
      <c r="A5" s="106" t="s">
        <v>116</v>
      </c>
      <c r="B5" s="144">
        <v>22.681000000000001</v>
      </c>
      <c r="C5" s="142">
        <v>5.1289999999999996</v>
      </c>
      <c r="D5" s="142">
        <v>17.04</v>
      </c>
    </row>
    <row r="6" spans="1:4">
      <c r="A6" s="106" t="s">
        <v>117</v>
      </c>
      <c r="B6" s="144">
        <v>24.463999999999999</v>
      </c>
      <c r="C6" s="142">
        <v>5.6820000000000004</v>
      </c>
      <c r="D6" s="142">
        <v>18.725000000000001</v>
      </c>
    </row>
    <row r="7" spans="1:4">
      <c r="A7" s="106" t="s">
        <v>118</v>
      </c>
      <c r="B7" s="144">
        <v>19.850000000000001</v>
      </c>
      <c r="C7" s="142">
        <v>4.0529999999999999</v>
      </c>
      <c r="D7" s="142">
        <v>15.4</v>
      </c>
    </row>
    <row r="8" spans="1:4">
      <c r="A8" s="106" t="s">
        <v>33</v>
      </c>
      <c r="B8" s="144">
        <v>24.315000000000001</v>
      </c>
      <c r="C8" s="144">
        <v>5.71</v>
      </c>
      <c r="D8" s="144">
        <v>12.5</v>
      </c>
    </row>
    <row r="9" spans="1:4">
      <c r="A9" s="106" t="s">
        <v>52</v>
      </c>
      <c r="B9" s="145">
        <v>19.8</v>
      </c>
      <c r="C9" s="142">
        <v>8.5210000000000008</v>
      </c>
      <c r="D9" s="143">
        <v>14.683</v>
      </c>
    </row>
    <row r="10" spans="1:4">
      <c r="A10" s="106" t="s">
        <v>157</v>
      </c>
      <c r="B10" s="144">
        <v>23.1</v>
      </c>
      <c r="C10" s="142">
        <v>7.4</v>
      </c>
      <c r="D10" s="142">
        <v>15.675000000000001</v>
      </c>
    </row>
    <row r="11" spans="1:4">
      <c r="B11" s="112"/>
      <c r="D11" s="114"/>
    </row>
    <row r="12" spans="1:4">
      <c r="B12" s="112"/>
      <c r="D12" s="127"/>
    </row>
    <row r="13" spans="1:4">
      <c r="B13" s="112"/>
      <c r="C13" s="141"/>
      <c r="D13" s="141"/>
    </row>
    <row r="14" spans="1:4">
      <c r="B14" s="112"/>
      <c r="C14" s="141"/>
      <c r="D14" s="141"/>
    </row>
    <row r="15" spans="1:4">
      <c r="B15" s="112"/>
      <c r="C15" s="141"/>
      <c r="D15" s="141"/>
    </row>
    <row r="16" spans="1:4">
      <c r="B16" s="112"/>
      <c r="C16" s="141"/>
      <c r="D16" s="141"/>
    </row>
    <row r="17" spans="1:4" customFormat="1">
      <c r="A17" s="102"/>
      <c r="B17" s="112"/>
      <c r="C17" s="141"/>
      <c r="D17" s="141"/>
    </row>
    <row r="18" spans="1:4" customFormat="1">
      <c r="A18" s="102"/>
      <c r="B18" s="112"/>
      <c r="C18" s="141"/>
      <c r="D18" s="141"/>
    </row>
    <row r="19" spans="1:4" customFormat="1">
      <c r="A19" s="102"/>
      <c r="B19" s="112"/>
      <c r="C19" s="141"/>
      <c r="D19" s="141"/>
    </row>
    <row r="20" spans="1:4" customFormat="1">
      <c r="A20" s="102"/>
      <c r="B20" s="112"/>
      <c r="C20" s="141"/>
      <c r="D20" s="141"/>
    </row>
    <row r="21" spans="1:4" customFormat="1">
      <c r="A21" s="102"/>
      <c r="B21" s="112"/>
      <c r="C21" s="141"/>
      <c r="D21" s="141"/>
    </row>
    <row r="22" spans="1:4" customFormat="1">
      <c r="A22" s="102"/>
      <c r="B22" s="112"/>
    </row>
    <row r="23" spans="1:4" customFormat="1">
      <c r="A23" s="102"/>
      <c r="B23" s="112"/>
    </row>
  </sheetData>
  <phoneticPr fontId="34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5" ma:contentTypeDescription="Create a new document." ma:contentTypeScope="" ma:versionID="57dc3235c951814817744eeddbaef84b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d25759a2e0a6c409a5675b9d3245aeb3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7818c5c2-d41f-4dce-801c-4e3595afcb3f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c49de858-f9fd-4eb6-bcba-50396646711f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B962478-6736-46F8-AD75-7EF5A8C1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2023-09-14T12:53:53Z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