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FC24131D-8CEF-421D-B1E6-F3DE69D7FE62}" xr6:coauthVersionLast="47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13" r:id="rId9"/>
    <sheet name="Figure 2" sheetId="108" r:id="rId10"/>
    <sheet name="Figure 3" sheetId="111" r:id="rId11"/>
    <sheet name="Figure 4" sheetId="110" r:id="rId12"/>
  </sheets>
  <definedNames>
    <definedName name="_xlnm.Print_Area" localSheetId="1">'Table 1'!$A$1:$N$35</definedName>
    <definedName name="_xlnm.Print_Area" localSheetId="7">'Table 10'!$A$1:$G$39</definedName>
    <definedName name="_xlnm.Print_Area" localSheetId="2">'Table 2'!$A$1:$J$29</definedName>
    <definedName name="_xlnm.Print_Area" localSheetId="3">'Table 3'!$A$1:$L$42</definedName>
    <definedName name="_xlnm.Print_Area" localSheetId="5">'Table 8'!$A$1:$G$38</definedName>
    <definedName name="_xlnm.Print_Area" localSheetId="6">'Table 9'!$A$1:$I$40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N26" i="1"/>
  <c r="F33" i="1"/>
  <c r="I3" i="111" l="1"/>
  <c r="D27" i="9" l="1"/>
  <c r="D27" i="2"/>
  <c r="J27" i="9" l="1"/>
  <c r="H27" i="2"/>
  <c r="G32" i="1" l="1"/>
  <c r="L32" i="1" l="1"/>
  <c r="J32" i="1" l="1"/>
  <c r="B27" i="9" l="1"/>
  <c r="E27" i="9" s="1"/>
  <c r="K27" i="9" s="1"/>
  <c r="G27" i="9" s="1"/>
  <c r="B27" i="2"/>
  <c r="E27" i="2"/>
  <c r="I27" i="2" s="1"/>
  <c r="G27" i="2" s="1"/>
  <c r="D26" i="9"/>
  <c r="J26" i="9"/>
  <c r="H26" i="2"/>
  <c r="D26" i="2"/>
  <c r="L31" i="1" l="1"/>
  <c r="G31" i="1"/>
  <c r="J31" i="1" l="1"/>
  <c r="B11" i="2"/>
  <c r="I6" i="2"/>
  <c r="E6" i="2"/>
  <c r="B11" i="9"/>
  <c r="E6" i="9"/>
  <c r="K6" i="9" s="1"/>
  <c r="G6" i="9" s="1"/>
  <c r="B26" i="9"/>
  <c r="E26" i="9" s="1"/>
  <c r="K26" i="9" s="1"/>
  <c r="G26" i="9" s="1"/>
  <c r="I26" i="9" s="1"/>
  <c r="B26" i="2"/>
  <c r="E26" i="2" l="1"/>
  <c r="I26" i="2" s="1"/>
  <c r="G26" i="2" s="1"/>
  <c r="J23" i="9"/>
  <c r="H23" i="2"/>
  <c r="D23" i="9"/>
  <c r="D23" i="2"/>
  <c r="L27" i="1"/>
  <c r="G27" i="1"/>
  <c r="H22" i="2"/>
  <c r="G30" i="1"/>
  <c r="G33" i="1" s="1"/>
  <c r="L30" i="1"/>
  <c r="L33" i="1" s="1"/>
  <c r="J22" i="9" l="1"/>
  <c r="D22" i="9"/>
  <c r="D22" i="2"/>
  <c r="E32" i="4" l="1"/>
  <c r="J25" i="1"/>
  <c r="J30" i="1"/>
  <c r="J33" i="1" s="1"/>
  <c r="L7" i="9" l="1"/>
  <c r="J7" i="9"/>
  <c r="H23" i="9"/>
  <c r="D7" i="9"/>
  <c r="C23" i="9"/>
  <c r="B22" i="9"/>
  <c r="E22" i="9" s="1"/>
  <c r="K22" i="9" s="1"/>
  <c r="J7" i="2"/>
  <c r="B22" i="2"/>
  <c r="E22" i="2" s="1"/>
  <c r="I22" i="2" s="1"/>
  <c r="G22" i="2" s="1"/>
  <c r="C23" i="2"/>
  <c r="C7" i="2" s="1"/>
  <c r="E14" i="1"/>
  <c r="C7" i="9" l="1"/>
  <c r="G22" i="9"/>
  <c r="I22" i="9" s="1"/>
  <c r="B41" i="6" l="1"/>
  <c r="B41" i="5"/>
  <c r="B40" i="4"/>
  <c r="B50" i="3"/>
  <c r="B30" i="9"/>
  <c r="B30" i="2"/>
  <c r="B36" i="1"/>
  <c r="D21" i="9" l="1"/>
  <c r="D21" i="2"/>
  <c r="G25" i="1" l="1"/>
  <c r="J21" i="9" l="1"/>
  <c r="H21" i="2"/>
  <c r="L25" i="1" l="1"/>
  <c r="F14" i="1" l="1"/>
  <c r="G32" i="4" l="1"/>
  <c r="F32" i="4"/>
  <c r="D32" i="4"/>
  <c r="C32" i="4"/>
  <c r="B32" i="4"/>
  <c r="E26" i="1"/>
  <c r="F27" i="1"/>
  <c r="F7" i="1" s="1"/>
  <c r="E33" i="1"/>
  <c r="H33" i="1" s="1"/>
  <c r="M33" i="1" s="1"/>
  <c r="K33" i="1" s="1"/>
  <c r="B21" i="2"/>
  <c r="E21" i="2" s="1"/>
  <c r="I21" i="2" s="1"/>
  <c r="G21" i="2" s="1"/>
  <c r="B21" i="9"/>
  <c r="E21" i="9" s="1"/>
  <c r="K21" i="9" s="1"/>
  <c r="N7" i="1" l="1"/>
  <c r="G21" i="9"/>
  <c r="J20" i="9"/>
  <c r="H20" i="2"/>
  <c r="I21" i="9" l="1"/>
  <c r="D20" i="9"/>
  <c r="D20" i="2"/>
  <c r="G24" i="1" l="1"/>
  <c r="L24" i="1" l="1"/>
  <c r="J24" i="1" l="1"/>
  <c r="B20" i="9"/>
  <c r="E20" i="9" s="1"/>
  <c r="K20" i="9" s="1"/>
  <c r="G20" i="9" s="1"/>
  <c r="I20" i="9" s="1"/>
  <c r="B20" i="2"/>
  <c r="E20" i="2" s="1"/>
  <c r="I20" i="2" s="1"/>
  <c r="G20" i="2" s="1"/>
  <c r="D46" i="3" l="1"/>
  <c r="H19" i="2" l="1"/>
  <c r="H18" i="2"/>
  <c r="H17" i="2"/>
  <c r="H16" i="2"/>
  <c r="H15" i="2"/>
  <c r="H14" i="2"/>
  <c r="H13" i="2"/>
  <c r="H12" i="2"/>
  <c r="H11" i="2"/>
  <c r="H7" i="2" s="1"/>
  <c r="D19" i="2"/>
  <c r="D18" i="2"/>
  <c r="D17" i="2"/>
  <c r="D16" i="2"/>
  <c r="D15" i="2"/>
  <c r="D14" i="2"/>
  <c r="D13" i="2"/>
  <c r="D12" i="2"/>
  <c r="D11" i="2"/>
  <c r="D7" i="2" l="1"/>
  <c r="D19" i="9"/>
  <c r="D18" i="9"/>
  <c r="D17" i="9"/>
  <c r="D16" i="9"/>
  <c r="D15" i="9"/>
  <c r="D14" i="9"/>
  <c r="D13" i="9"/>
  <c r="D12" i="9"/>
  <c r="D11" i="9"/>
  <c r="J19" i="9" l="1"/>
  <c r="J18" i="9"/>
  <c r="J17" i="9"/>
  <c r="J16" i="9"/>
  <c r="J15" i="9"/>
  <c r="J14" i="9"/>
  <c r="J13" i="9"/>
  <c r="J12" i="9"/>
  <c r="J11" i="9"/>
  <c r="G23" i="1" l="1"/>
  <c r="G26" i="1" s="1"/>
  <c r="H26" i="1" s="1"/>
  <c r="M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J23" i="1" l="1"/>
  <c r="J26" i="1" s="1"/>
  <c r="K26" i="1" s="1"/>
  <c r="J21" i="1"/>
  <c r="J20" i="1"/>
  <c r="B19" i="9"/>
  <c r="E19" i="9" s="1"/>
  <c r="K19" i="9" s="1"/>
  <c r="G19" i="9" s="1"/>
  <c r="I19" i="9" s="1"/>
  <c r="B19" i="2"/>
  <c r="E19" i="2" s="1"/>
  <c r="I19" i="2" s="1"/>
  <c r="G19" i="2" s="1"/>
  <c r="E22" i="1" l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6" i="3" l="1"/>
  <c r="H46" i="3" s="1"/>
  <c r="N46" i="3" s="1"/>
  <c r="L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I8" i="3" s="1"/>
  <c r="B8" i="9"/>
  <c r="E8" i="9" s="1"/>
  <c r="K8" i="9" s="1"/>
  <c r="G8" i="9" s="1"/>
  <c r="I8" i="9" s="1"/>
  <c r="B8" i="2"/>
  <c r="E8" i="2" s="1"/>
  <c r="I8" i="2" s="1"/>
  <c r="D8" i="1"/>
  <c r="B16" i="9"/>
  <c r="B16" i="2"/>
  <c r="E16" i="2" s="1"/>
  <c r="I16" i="2" s="1"/>
  <c r="L22" i="1"/>
  <c r="J19" i="1"/>
  <c r="J22" i="1" s="1"/>
  <c r="G22" i="1"/>
  <c r="H8" i="1" l="1"/>
  <c r="M8" i="1" s="1"/>
  <c r="K8" i="1" s="1"/>
  <c r="H22" i="1"/>
  <c r="M22" i="1" s="1"/>
  <c r="K22" i="1" s="1"/>
  <c r="E16" i="9"/>
  <c r="K16" i="9" s="1"/>
  <c r="G16" i="9" s="1"/>
  <c r="I16" i="9" s="1"/>
  <c r="G16" i="2"/>
  <c r="J17" i="1"/>
  <c r="B15" i="9"/>
  <c r="B15" i="2"/>
  <c r="E18" i="1"/>
  <c r="E15" i="9" l="1"/>
  <c r="K15" i="9" s="1"/>
  <c r="G15" i="9" s="1"/>
  <c r="I15" i="9" s="1"/>
  <c r="E15" i="2"/>
  <c r="I15" i="2" s="1"/>
  <c r="G15" i="2" s="1"/>
  <c r="J16" i="1" l="1"/>
  <c r="B14" i="9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7" i="9" s="1"/>
  <c r="E11" i="2"/>
  <c r="I11" i="2" s="1"/>
  <c r="E23" i="2"/>
  <c r="E7" i="2" s="1"/>
  <c r="B20" i="3"/>
  <c r="G11" i="9" l="1"/>
  <c r="K23" i="9"/>
  <c r="G11" i="2"/>
  <c r="G23" i="2" s="1"/>
  <c r="G7" i="2" s="1"/>
  <c r="I23" i="2"/>
  <c r="I7" i="2" s="1"/>
  <c r="L14" i="1"/>
  <c r="L7" i="1" s="1"/>
  <c r="G14" i="1"/>
  <c r="I11" i="9" l="1"/>
  <c r="I23" i="9" s="1"/>
  <c r="G23" i="9"/>
  <c r="H27" i="1"/>
  <c r="G7" i="1"/>
  <c r="H14" i="1"/>
  <c r="M14" i="1" s="1"/>
  <c r="M27" i="1" s="1"/>
  <c r="J11" i="1"/>
  <c r="J14" i="1" s="1"/>
  <c r="J27" i="1" s="1"/>
  <c r="J7" i="1" s="1"/>
  <c r="K14" i="1" l="1"/>
  <c r="K27" i="1" s="1"/>
  <c r="D45" i="3" l="1"/>
  <c r="B7" i="9"/>
  <c r="D7" i="1"/>
  <c r="I19" i="3" l="1"/>
  <c r="B7" i="2" l="1"/>
  <c r="K7" i="9" l="1"/>
  <c r="G7" i="9" s="1"/>
  <c r="I7" i="9" s="1"/>
  <c r="B7" i="3" l="1"/>
  <c r="E7" i="3" s="1"/>
  <c r="J7" i="3" s="1"/>
  <c r="I7" i="3" s="1"/>
  <c r="E20" i="3"/>
  <c r="G20" i="3" s="1"/>
  <c r="I20" i="3" s="1"/>
  <c r="B32" i="3"/>
  <c r="E45" i="3"/>
  <c r="H45" i="3" s="1"/>
  <c r="N45" i="3" s="1"/>
  <c r="L45" i="3" s="1"/>
  <c r="D44" i="3"/>
  <c r="E32" i="3" l="1"/>
  <c r="I32" i="3" s="1"/>
  <c r="G32" i="3" s="1"/>
  <c r="E19" i="3" l="1"/>
  <c r="H44" i="3" l="1"/>
  <c r="N44" i="3" s="1"/>
  <c r="L44" i="3" s="1"/>
  <c r="E31" i="3"/>
  <c r="E6" i="3"/>
  <c r="J6" i="3" s="1"/>
  <c r="I6" i="3" s="1"/>
  <c r="I31" i="3" l="1"/>
  <c r="G31" i="3" s="1"/>
  <c r="D6" i="1" l="1"/>
  <c r="H6" i="1" l="1"/>
  <c r="M6" i="1" s="1"/>
  <c r="K6" i="1" s="1"/>
  <c r="E7" i="1" l="1"/>
  <c r="H7" i="1" s="1"/>
  <c r="M7" i="1" s="1"/>
  <c r="K7" i="1" s="1"/>
</calcChain>
</file>

<file path=xl/sharedStrings.xml><?xml version="1.0" encoding="utf-8"?>
<sst xmlns="http://schemas.openxmlformats.org/spreadsheetml/2006/main" count="492" uniqueCount="176">
  <si>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</si>
  <si>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</si>
  <si>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</si>
  <si>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</si>
  <si>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</si>
  <si>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</si>
  <si>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</si>
  <si>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</si>
  <si>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</si>
  <si>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</si>
  <si>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</si>
  <si>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</si>
  <si>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</si>
  <si>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</si>
  <si>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</si>
  <si>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</si>
  <si>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</si>
  <si>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</si>
  <si>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</si>
  <si>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</si>
  <si>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</si>
  <si>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</si>
  <si>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</si>
  <si>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</si>
  <si>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</si>
  <si>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</si>
  <si>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</si>
  <si>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</si>
  <si>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</si>
  <si>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</si>
  <si>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</si>
  <si>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</si>
  <si>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</si>
  <si>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</si>
  <si>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</si>
  <si>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</si>
  <si>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</si>
  <si>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</si>
  <si>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</si>
  <si>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</si>
  <si>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</si>
  <si>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</si>
  <si>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</si>
  <si>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</si>
  <si>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</si>
  <si>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</si>
  <si>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</si>
  <si>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</si>
  <si>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</si>
  <si>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</si>
  <si>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</si>
  <si>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</si>
  <si>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</si>
  <si>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</si>
  <si>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</si>
  <si>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</si>
  <si>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</si>
  <si>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</si>
  <si>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</si>
  <si>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</si>
  <si>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</si>
  <si>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</si>
  <si>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</si>
  <si>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</si>
  <si>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</si>
  <si>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</si>
  <si>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</si>
  <si>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</si>
  <si>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</si>
  <si>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</si>
  <si>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</si>
  <si>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</si>
  <si>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</si>
  <si>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</si>
  <si>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</si>
  <si>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</si>
  <si>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</si>
  <si>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</si>
  <si>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</si>
  <si>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</si>
  <si>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</si>
  <si>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</si>
  <si>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</si>
  <si>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</si>
  <si>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</si>
  <si>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</si>
  <si>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</si>
  <si>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</si>
  <si>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</si>
  <si>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</si>
  <si>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</si>
  <si>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</si>
  <si>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</si>
  <si>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</si>
  <si>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</si>
  <si>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</si>
  <si>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</si>
  <si>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</si>
  <si>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</si>
  <si>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</si>
  <si>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</si>
  <si>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</si>
  <si>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</si>
  <si>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</si>
  <si>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</si>
  <si>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</si>
  <si>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</si>
  <si>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</si>
  <si>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</si>
  <si>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</si>
  <si>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</si>
  <si>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</si>
  <si>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</si>
  <si>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</si>
  <si>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</si>
  <si>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</si>
  <si>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</si>
  <si>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</si>
  <si>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</si>
  <si>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</si>
  <si>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</si>
  <si>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</si>
  <si>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</si>
  <si>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</si>
  <si>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</si>
  <si>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</si>
  <si>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</si>
  <si>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</si>
  <si>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</si>
  <si>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</si>
  <si>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</si>
  <si>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</si>
  <si>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</si>
  <si>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</si>
  <si>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</si>
  <si>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</si>
  <si>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</si>
  <si>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</si>
  <si>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</si>
  <si>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</si>
  <si>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</si>
  <si>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</si>
  <si>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</si>
  <si>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</si>
  <si>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</si>
  <si>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</si>
  <si>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</si>
  <si>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</si>
  <si>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</si>
  <si>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</si>
  <si>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</si>
  <si>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</si>
  <si>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</si>
  <si>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</si>
  <si>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</si>
  <si>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</si>
  <si>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2022/23</t>
  </si>
  <si>
    <t>2022/23 Dec.*</t>
  </si>
  <si>
    <t>Soybean Export Prices</t>
  </si>
  <si>
    <t>Argentina (Up River)</t>
  </si>
  <si>
    <t>2022/23 Jan.*</t>
  </si>
  <si>
    <t>Beginning stocks</t>
  </si>
  <si>
    <t>Alabama</t>
  </si>
  <si>
    <t>Georgia</t>
  </si>
  <si>
    <t>Florida</t>
  </si>
  <si>
    <t>North Carolina</t>
  </si>
  <si>
    <t>South Carolina</t>
  </si>
  <si>
    <t>Texas</t>
  </si>
  <si>
    <t>Other</t>
  </si>
  <si>
    <t>2022/23 U.S. peanut production</t>
  </si>
  <si>
    <t>Percent</t>
  </si>
  <si>
    <t>Ending stocks</t>
  </si>
  <si>
    <t>Feed, seed, residual</t>
  </si>
  <si>
    <t>Brazil (Paranaguá)</t>
  </si>
  <si>
    <t>United States (Gulf)</t>
  </si>
  <si>
    <t>Feed waste, domestic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</si>
</sst>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5" fillId="0" borderId="0"/>
    <xf numFmtId="0" fontId="20" fillId="0" borderId="0"/>
    <xf numFmtId="0" fontId="19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4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22" fillId="0" borderId="0" xfId="8" applyFont="1"/>
    <xf numFmtId="0" fontId="23" fillId="0" borderId="0" xfId="8" applyFont="1"/>
    <xf numFmtId="0" fontId="28" fillId="0" borderId="0" xfId="8" applyFont="1" applyFill="1"/>
    <xf numFmtId="0" fontId="29" fillId="0" borderId="0" xfId="8" applyFont="1"/>
    <xf numFmtId="169" fontId="30" fillId="0" borderId="0" xfId="1" applyNumberFormat="1" applyFont="1" applyFill="1" applyBorder="1" applyAlignment="1">
      <alignment horizontal="center"/>
    </xf>
    <xf numFmtId="169" fontId="30" fillId="0" borderId="0" xfId="1" applyNumberFormat="1" applyFont="1" applyFill="1" applyBorder="1" applyAlignment="1">
      <alignment horizontal="right" indent="1"/>
    </xf>
    <xf numFmtId="0" fontId="36" fillId="0" borderId="0" xfId="7" applyFont="1" applyAlignment="1">
      <alignment horizontal="left"/>
    </xf>
    <xf numFmtId="0" fontId="37" fillId="0" borderId="0" xfId="5" applyFont="1" applyAlignment="1" applyProtection="1"/>
    <xf numFmtId="14" fontId="36" fillId="0" borderId="0" xfId="7" applyNumberFormat="1" applyFont="1" applyAlignment="1">
      <alignment horizontal="left"/>
    </xf>
    <xf numFmtId="0" fontId="37" fillId="0" borderId="0" xfId="4" applyFont="1" applyAlignment="1" applyProtection="1"/>
    <xf numFmtId="0" fontId="30" fillId="0" borderId="0" xfId="7" quotePrefix="1" applyFont="1" applyAlignment="1">
      <alignment horizontal="left"/>
    </xf>
    <xf numFmtId="0" fontId="30" fillId="0" borderId="0" xfId="8" applyFont="1" applyBorder="1" applyAlignment="1">
      <alignment wrapText="1"/>
    </xf>
    <xf numFmtId="169" fontId="30" fillId="0" borderId="0" xfId="1" applyNumberFormat="1" applyFont="1" applyFill="1" applyBorder="1" applyAlignment="1">
      <alignment horizontal="right"/>
    </xf>
    <xf numFmtId="2" fontId="30" fillId="0" borderId="1" xfId="0" applyNumberFormat="1" applyFont="1" applyFill="1" applyBorder="1" applyAlignment="1">
      <alignment horizontal="right" indent="2"/>
    </xf>
    <xf numFmtId="0" fontId="30" fillId="0" borderId="1" xfId="0" applyFont="1" applyFill="1" applyBorder="1"/>
    <xf numFmtId="0" fontId="0" fillId="0" borderId="0" xfId="0" applyFill="1"/>
    <xf numFmtId="0" fontId="30" fillId="0" borderId="0" xfId="0" applyFont="1" applyFill="1"/>
    <xf numFmtId="0" fontId="30" fillId="0" borderId="2" xfId="0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0" fontId="0" fillId="0" borderId="2" xfId="0" applyFill="1" applyBorder="1"/>
    <xf numFmtId="0" fontId="30" fillId="0" borderId="0" xfId="0" applyFont="1" applyFill="1" applyBorder="1"/>
    <xf numFmtId="0" fontId="30" fillId="0" borderId="2" xfId="0" applyFont="1" applyFill="1" applyBorder="1" applyAlignment="1">
      <alignment horizontal="left"/>
    </xf>
    <xf numFmtId="0" fontId="30" fillId="0" borderId="0" xfId="0" applyFont="1" applyFill="1" applyAlignment="1">
      <alignment horizontal="right"/>
    </xf>
    <xf numFmtId="16" fontId="30" fillId="0" borderId="1" xfId="0" quotePrefix="1" applyNumberFormat="1" applyFont="1" applyFill="1" applyBorder="1"/>
    <xf numFmtId="16" fontId="30" fillId="0" borderId="1" xfId="0" applyNumberFormat="1" applyFont="1" applyFill="1" applyBorder="1"/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31" fillId="0" borderId="3" xfId="0" quotePrefix="1" applyFont="1" applyFill="1" applyBorder="1" applyAlignment="1">
      <alignment horizontal="center"/>
    </xf>
    <xf numFmtId="0" fontId="31" fillId="0" borderId="0" xfId="0" quotePrefix="1" applyFont="1" applyFill="1" applyAlignment="1">
      <alignment horizontal="right"/>
    </xf>
    <xf numFmtId="167" fontId="30" fillId="0" borderId="0" xfId="0" applyNumberFormat="1" applyFont="1" applyFill="1" applyAlignment="1">
      <alignment horizontal="center"/>
    </xf>
    <xf numFmtId="165" fontId="30" fillId="0" borderId="0" xfId="1" applyNumberFormat="1" applyFont="1" applyFill="1" applyAlignment="1">
      <alignment horizontal="left"/>
    </xf>
    <xf numFmtId="165" fontId="30" fillId="0" borderId="0" xfId="1" applyNumberFormat="1" applyFont="1" applyFill="1" applyAlignment="1">
      <alignment horizontal="center"/>
    </xf>
    <xf numFmtId="3" fontId="30" fillId="0" borderId="0" xfId="1" applyNumberFormat="1" applyFont="1" applyFill="1" applyBorder="1" applyAlignment="1">
      <alignment horizontal="right" indent="1"/>
    </xf>
    <xf numFmtId="164" fontId="30" fillId="0" borderId="0" xfId="1" applyNumberFormat="1" applyFont="1" applyFill="1" applyBorder="1"/>
    <xf numFmtId="164" fontId="30" fillId="0" borderId="0" xfId="1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0" fontId="36" fillId="0" borderId="0" xfId="0" applyFont="1" applyFill="1"/>
    <xf numFmtId="169" fontId="30" fillId="0" borderId="0" xfId="1" quotePrefix="1" applyNumberFormat="1" applyFont="1" applyFill="1" applyBorder="1" applyAlignment="1">
      <alignment horizontal="right"/>
    </xf>
    <xf numFmtId="164" fontId="30" fillId="0" borderId="0" xfId="1" applyNumberFormat="1" applyFont="1" applyFill="1" applyBorder="1" applyAlignment="1">
      <alignment horizontal="center"/>
    </xf>
    <xf numFmtId="164" fontId="30" fillId="0" borderId="0" xfId="1" quotePrefix="1" applyNumberFormat="1" applyFont="1" applyFill="1" applyBorder="1" applyAlignment="1">
      <alignment horizontal="center"/>
    </xf>
    <xf numFmtId="169" fontId="0" fillId="0" borderId="0" xfId="0" applyNumberFormat="1" applyFill="1"/>
    <xf numFmtId="169" fontId="30" fillId="0" borderId="1" xfId="1" applyNumberFormat="1" applyFont="1" applyFill="1" applyBorder="1" applyAlignment="1">
      <alignment horizontal="right" indent="1"/>
    </xf>
    <xf numFmtId="164" fontId="30" fillId="0" borderId="0" xfId="1" applyNumberFormat="1" applyFont="1" applyFill="1"/>
    <xf numFmtId="14" fontId="30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30" fillId="0" borderId="0" xfId="1" applyNumberFormat="1" applyFont="1" applyFill="1" applyAlignment="1">
      <alignment horizontal="right" indent="2"/>
    </xf>
    <xf numFmtId="3" fontId="30" fillId="0" borderId="0" xfId="1" applyNumberFormat="1" applyFont="1" applyFill="1" applyAlignment="1">
      <alignment horizontal="right" indent="1"/>
    </xf>
    <xf numFmtId="3" fontId="30" fillId="0" borderId="0" xfId="1" applyNumberFormat="1" applyFont="1" applyFill="1" applyAlignment="1">
      <alignment horizontal="center"/>
    </xf>
    <xf numFmtId="0" fontId="36" fillId="0" borderId="0" xfId="0" applyFont="1" applyFill="1" applyBorder="1"/>
    <xf numFmtId="169" fontId="30" fillId="0" borderId="0" xfId="1" applyNumberFormat="1" applyFont="1" applyFill="1" applyBorder="1" applyAlignment="1">
      <alignment horizontal="right" indent="2"/>
    </xf>
    <xf numFmtId="169" fontId="30" fillId="0" borderId="1" xfId="1" applyNumberFormat="1" applyFont="1" applyFill="1" applyBorder="1" applyAlignment="1">
      <alignment horizontal="right" indent="2"/>
    </xf>
    <xf numFmtId="0" fontId="32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0" fillId="0" borderId="1" xfId="1" applyNumberFormat="1" applyFont="1" applyFill="1" applyBorder="1" applyAlignment="1">
      <alignment horizontal="center"/>
    </xf>
    <xf numFmtId="165" fontId="30" fillId="0" borderId="1" xfId="1" applyNumberFormat="1" applyFont="1" applyFill="1" applyBorder="1" applyAlignment="1">
      <alignment horizontal="right"/>
    </xf>
    <xf numFmtId="16" fontId="30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right" indent="2"/>
    </xf>
    <xf numFmtId="170" fontId="30" fillId="0" borderId="0" xfId="0" applyNumberFormat="1" applyFont="1" applyFill="1" applyBorder="1"/>
    <xf numFmtId="43" fontId="30" fillId="0" borderId="0" xfId="1" quotePrefix="1" applyNumberFormat="1" applyFont="1" applyFill="1" applyBorder="1" applyAlignment="1">
      <alignment horizontal="center"/>
    </xf>
    <xf numFmtId="166" fontId="30" fillId="0" borderId="0" xfId="1" quotePrefix="1" applyNumberFormat="1" applyFont="1" applyFill="1" applyBorder="1" applyAlignment="1">
      <alignment horizontal="center"/>
    </xf>
    <xf numFmtId="43" fontId="30" fillId="0" borderId="0" xfId="1" quotePrefix="1" applyFont="1" applyFill="1" applyBorder="1" applyAlignment="1">
      <alignment horizontal="center"/>
    </xf>
    <xf numFmtId="43" fontId="30" fillId="0" borderId="0" xfId="1" applyNumberFormat="1" applyFont="1" applyFill="1" applyBorder="1" applyAlignment="1">
      <alignment horizontal="center"/>
    </xf>
    <xf numFmtId="0" fontId="36" fillId="0" borderId="0" xfId="0" quotePrefix="1" applyFont="1" applyFill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indent="1"/>
    </xf>
    <xf numFmtId="0" fontId="30" fillId="0" borderId="3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1" fillId="0" borderId="3" xfId="0" quotePrefix="1" applyFont="1" applyFill="1" applyBorder="1" applyAlignment="1"/>
    <xf numFmtId="0" fontId="31" fillId="0" borderId="3" xfId="0" applyFont="1" applyFill="1" applyBorder="1" applyAlignment="1"/>
    <xf numFmtId="43" fontId="30" fillId="0" borderId="0" xfId="1" applyNumberFormat="1" applyFont="1" applyFill="1" applyBorder="1"/>
    <xf numFmtId="2" fontId="30" fillId="0" borderId="0" xfId="0" applyNumberFormat="1" applyFont="1" applyFill="1" applyBorder="1" applyAlignment="1">
      <alignment horizontal="center"/>
    </xf>
    <xf numFmtId="43" fontId="30" fillId="0" borderId="0" xfId="0" applyNumberFormat="1" applyFont="1" applyFill="1"/>
    <xf numFmtId="0" fontId="25" fillId="0" borderId="0" xfId="0" applyFont="1" applyFill="1"/>
    <xf numFmtId="2" fontId="0" fillId="0" borderId="0" xfId="0" applyNumberFormat="1" applyFill="1"/>
    <xf numFmtId="165" fontId="30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30" fillId="0" borderId="0" xfId="1" applyFont="1" applyFill="1" applyBorder="1" applyAlignment="1">
      <alignment horizontal="center"/>
    </xf>
    <xf numFmtId="43" fontId="0" fillId="0" borderId="0" xfId="1" applyFont="1" applyFill="1"/>
    <xf numFmtId="0" fontId="34" fillId="0" borderId="0" xfId="0" applyFont="1" applyFill="1" applyAlignment="1">
      <alignment vertical="center"/>
    </xf>
    <xf numFmtId="168" fontId="30" fillId="0" borderId="0" xfId="0" applyNumberFormat="1" applyFont="1" applyFill="1"/>
    <xf numFmtId="2" fontId="30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30" fillId="0" borderId="3" xfId="0" applyFont="1" applyFill="1" applyBorder="1"/>
    <xf numFmtId="0" fontId="30" fillId="0" borderId="0" xfId="0" applyFont="1" applyFill="1" applyBorder="1" applyAlignment="1">
      <alignment horizontal="right"/>
    </xf>
    <xf numFmtId="165" fontId="30" fillId="0" borderId="0" xfId="1" applyNumberFormat="1" applyFont="1" applyFill="1"/>
    <xf numFmtId="37" fontId="30" fillId="0" borderId="0" xfId="1" applyNumberFormat="1" applyFont="1" applyFill="1" applyBorder="1" applyAlignment="1">
      <alignment horizontal="center"/>
    </xf>
    <xf numFmtId="37" fontId="30" fillId="0" borderId="0" xfId="1" applyNumberFormat="1" applyFont="1" applyFill="1" applyBorder="1" applyAlignment="1">
      <alignment horizontal="right" indent="2"/>
    </xf>
    <xf numFmtId="165" fontId="30" fillId="0" borderId="0" xfId="1" applyNumberFormat="1" applyFont="1" applyFill="1" applyBorder="1"/>
    <xf numFmtId="37" fontId="30" fillId="0" borderId="0" xfId="1" applyNumberFormat="1" applyFont="1" applyFill="1" applyBorder="1" applyAlignment="1">
      <alignment horizontal="right" indent="1"/>
    </xf>
    <xf numFmtId="37" fontId="30" fillId="0" borderId="1" xfId="1" applyNumberFormat="1" applyFont="1" applyFill="1" applyBorder="1" applyAlignment="1">
      <alignment horizontal="center"/>
    </xf>
    <xf numFmtId="37" fontId="30" fillId="0" borderId="1" xfId="1" applyNumberFormat="1" applyFont="1" applyFill="1" applyBorder="1" applyAlignment="1">
      <alignment horizontal="right" indent="2"/>
    </xf>
    <xf numFmtId="165" fontId="30" fillId="0" borderId="1" xfId="1" applyNumberFormat="1" applyFont="1" applyFill="1" applyBorder="1"/>
    <xf numFmtId="37" fontId="30" fillId="0" borderId="1" xfId="1" applyNumberFormat="1" applyFont="1" applyFill="1" applyBorder="1" applyAlignment="1">
      <alignment horizontal="right" indent="1"/>
    </xf>
    <xf numFmtId="9" fontId="30" fillId="0" borderId="0" xfId="12" applyFont="1" applyFill="1"/>
    <xf numFmtId="1" fontId="30" fillId="0" borderId="0" xfId="0" applyNumberFormat="1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1" fillId="0" borderId="4" xfId="0" applyFont="1" applyFill="1" applyBorder="1" applyAlignment="1">
      <alignment horizontal="center"/>
    </xf>
    <xf numFmtId="14" fontId="30" fillId="0" borderId="0" xfId="0" applyNumberFormat="1" applyFont="1" applyFill="1" applyAlignment="1">
      <alignment horizontal="right" indent="1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3" fontId="0" fillId="0" borderId="0" xfId="0" applyNumberFormat="1" applyFill="1"/>
    <xf numFmtId="169" fontId="30" fillId="0" borderId="0" xfId="1" applyNumberFormat="1" applyFont="1" applyFill="1" applyAlignment="1">
      <alignment horizontal="center"/>
    </xf>
    <xf numFmtId="0" fontId="32" fillId="0" borderId="3" xfId="0" applyFont="1" applyFill="1" applyBorder="1"/>
    <xf numFmtId="164" fontId="30" fillId="0" borderId="3" xfId="0" applyNumberFormat="1" applyFont="1" applyFill="1" applyBorder="1"/>
    <xf numFmtId="43" fontId="30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21" fillId="0" borderId="0" xfId="8" applyFont="1"/>
    <xf numFmtId="0" fontId="21" fillId="0" borderId="0" xfId="8" applyFont="1" applyFill="1"/>
    <xf numFmtId="0" fontId="21" fillId="0" borderId="0" xfId="0" applyFont="1" applyFill="1" applyBorder="1"/>
    <xf numFmtId="0" fontId="21" fillId="0" borderId="0" xfId="0" applyFont="1" applyFill="1"/>
    <xf numFmtId="4" fontId="39" fillId="0" borderId="0" xfId="0" applyNumberFormat="1" applyFont="1"/>
    <xf numFmtId="0" fontId="21" fillId="0" borderId="0" xfId="0" applyFont="1" applyAlignment="1">
      <alignment horizontal="right"/>
    </xf>
    <xf numFmtId="2" fontId="21" fillId="0" borderId="0" xfId="0" applyNumberFormat="1" applyFont="1" applyAlignment="1">
      <alignment horizontal="right"/>
    </xf>
    <xf numFmtId="172" fontId="25" fillId="0" borderId="0" xfId="12" applyNumberFormat="1" applyFont="1" applyFill="1"/>
    <xf numFmtId="2" fontId="21" fillId="0" borderId="0" xfId="0" applyNumberFormat="1" applyFont="1" applyFill="1" applyAlignment="1">
      <alignment horizontal="right"/>
    </xf>
    <xf numFmtId="4" fontId="0" fillId="0" borderId="0" xfId="0" applyNumberFormat="1"/>
    <xf numFmtId="169" fontId="30" fillId="0" borderId="0" xfId="1" applyNumberFormat="1" applyFont="1" applyBorder="1" applyAlignment="1">
      <alignment horizontal="right" indent="1"/>
    </xf>
    <xf numFmtId="0" fontId="21" fillId="0" borderId="0" xfId="20"/>
    <xf numFmtId="37" fontId="0" fillId="0" borderId="0" xfId="0" applyNumberFormat="1" applyFill="1"/>
    <xf numFmtId="3" fontId="21" fillId="0" borderId="0" xfId="20" applyNumberFormat="1"/>
    <xf numFmtId="165" fontId="21" fillId="0" borderId="0" xfId="20" applyNumberFormat="1"/>
    <xf numFmtId="3" fontId="42" fillId="0" borderId="0" xfId="1" applyNumberFormat="1" applyFont="1" applyFill="1"/>
    <xf numFmtId="0" fontId="30" fillId="0" borderId="2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6" fillId="0" borderId="0" xfId="0" quotePrefix="1" applyFont="1" applyFill="1" applyBorder="1"/>
    <xf numFmtId="0" fontId="28" fillId="0" borderId="0" xfId="20" applyFont="1" applyAlignment="1">
      <alignment wrapText="1"/>
    </xf>
    <xf numFmtId="173" fontId="39" fillId="0" borderId="0" xfId="0" applyNumberFormat="1" applyFont="1"/>
    <xf numFmtId="174" fontId="30" fillId="0" borderId="0" xfId="1" applyNumberFormat="1" applyFont="1" applyFill="1" applyBorder="1" applyAlignment="1">
      <alignment horizontal="right" indent="2"/>
    </xf>
    <xf numFmtId="3" fontId="21" fillId="0" borderId="0" xfId="20" quotePrefix="1" applyNumberFormat="1" applyAlignment="1">
      <alignment horizontal="left"/>
    </xf>
    <xf numFmtId="3" fontId="40" fillId="0" borderId="0" xfId="42" quotePrefix="1" applyNumberFormat="1" applyFont="1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1" fillId="0" borderId="1" xfId="44" applyFont="1" applyBorder="1" applyAlignment="1">
      <alignment horizontal="center" wrapText="1"/>
    </xf>
    <xf numFmtId="0" fontId="40" fillId="0" borderId="0" xfId="44" applyFont="1" applyAlignment="1">
      <alignment horizontal="center"/>
    </xf>
    <xf numFmtId="0" fontId="41" fillId="0" borderId="1" xfId="45" applyFont="1" applyBorder="1" applyAlignment="1">
      <alignment horizontal="left" wrapText="1"/>
    </xf>
    <xf numFmtId="9" fontId="40" fillId="0" borderId="0" xfId="12" applyFont="1" applyFill="1" applyAlignment="1">
      <alignment horizontal="center" vertical="center"/>
    </xf>
    <xf numFmtId="9" fontId="0" fillId="0" borderId="0" xfId="12" applyFont="1"/>
    <xf numFmtId="9" fontId="21" fillId="0" borderId="0" xfId="12" applyFont="1"/>
    <xf numFmtId="9" fontId="21" fillId="0" borderId="0" xfId="20" applyNumberFormat="1"/>
    <xf numFmtId="17" fontId="21" fillId="0" borderId="0" xfId="20" applyNumberFormat="1" applyAlignment="1">
      <alignment horizontal="left"/>
    </xf>
    <xf numFmtId="0" fontId="41" fillId="0" borderId="0" xfId="45" applyFont="1" applyAlignment="1">
      <alignment horizontal="left" wrapText="1"/>
    </xf>
    <xf numFmtId="41" fontId="40" fillId="0" borderId="0" xfId="33" applyNumberFormat="1" applyFont="1" applyFill="1" applyAlignment="1">
      <alignment horizontal="center" vertical="center"/>
    </xf>
    <xf numFmtId="0" fontId="21" fillId="0" borderId="0" xfId="20" applyAlignment="1">
      <alignment horizontal="left"/>
    </xf>
    <xf numFmtId="41" fontId="21" fillId="0" borderId="0" xfId="20" applyNumberFormat="1" applyAlignment="1">
      <alignment horizontal="left"/>
    </xf>
    <xf numFmtId="164" fontId="30" fillId="2" borderId="0" xfId="1" applyNumberFormat="1" applyFont="1" applyFill="1" applyBorder="1" applyAlignment="1">
      <alignment horizontal="center"/>
    </xf>
    <xf numFmtId="3" fontId="40" fillId="0" borderId="0" xfId="12" applyNumberFormat="1" applyFont="1" applyFill="1" applyAlignment="1">
      <alignment horizontal="center" vertical="center"/>
    </xf>
    <xf numFmtId="0" fontId="41" fillId="0" borderId="1" xfId="46" applyFont="1" applyBorder="1" applyAlignment="1">
      <alignment horizontal="center" wrapText="1"/>
    </xf>
    <xf numFmtId="0" fontId="40" fillId="0" borderId="0" xfId="46" applyFont="1" applyAlignment="1">
      <alignment horizontal="center"/>
    </xf>
    <xf numFmtId="0" fontId="41" fillId="0" borderId="0" xfId="46" applyFont="1" applyBorder="1" applyAlignment="1">
      <alignment horizontal="center" wrapText="1"/>
    </xf>
    <xf numFmtId="3" fontId="42" fillId="0" borderId="0" xfId="1" applyNumberFormat="1" applyFont="1" applyFill="1" applyBorder="1"/>
    <xf numFmtId="3" fontId="21" fillId="0" borderId="0" xfId="20" applyNumberFormat="1" applyBorder="1"/>
    <xf numFmtId="0" fontId="21" fillId="0" borderId="0" xfId="20" applyBorder="1"/>
    <xf numFmtId="0" fontId="41" fillId="0" borderId="1" xfId="46" applyFont="1" applyFill="1" applyBorder="1" applyAlignment="1">
      <alignment horizontal="center" wrapText="1"/>
    </xf>
    <xf numFmtId="3" fontId="21" fillId="0" borderId="0" xfId="20" applyNumberFormat="1" applyFill="1"/>
    <xf numFmtId="2" fontId="30" fillId="0" borderId="1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5" xfId="0" quotePrefix="1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</cellXfs>
  <cellStyles count="47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2 2" xfId="40" xr:uid="{AF392839-9EFD-46E7-9522-B670F46A3E86}"/>
    <cellStyle name="Normal 11 3" xfId="32" xr:uid="{5440E113-77DF-4DAD-9026-4858CCB03DB9}"/>
    <cellStyle name="Normal 11 3 2" xfId="43" xr:uid="{8321DB1C-E877-443D-8A22-A2E591665B83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3" xfId="44" xr:uid="{8D99E9BD-AF94-4306-8B61-749EAEFE8FD0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C0504D"/>
      <color rgb="FFFA6400"/>
      <color rgb="FFC0502F"/>
      <color rgb="FFD99694"/>
      <color rgb="FFFB0BCD"/>
      <color rgb="FFFFFF00"/>
      <color rgb="FFBE4D4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supply and demand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09420055369791E-2"/>
          <c:y val="0.19444493873294086"/>
          <c:w val="0.8839811598892604"/>
          <c:h val="0.53976382912764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Supply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 Dec.*</c:v>
                </c:pt>
                <c:pt idx="6">
                  <c:v>2022/23 Jan.*</c:v>
                </c:pt>
              </c:strCache>
            </c:strRef>
          </c:cat>
          <c:val>
            <c:numRef>
              <c:f>'Figure 1'!$B$2:$B$8</c:f>
              <c:numCache>
                <c:formatCode>#,##0</c:formatCode>
                <c:ptCount val="7"/>
                <c:pt idx="0">
                  <c:v>4735.0385006007273</c:v>
                </c:pt>
                <c:pt idx="1">
                  <c:v>4880.3122800963401</c:v>
                </c:pt>
                <c:pt idx="2">
                  <c:v>4476.3405056159772</c:v>
                </c:pt>
                <c:pt idx="3">
                  <c:v>4760.6579864362348</c:v>
                </c:pt>
                <c:pt idx="4">
                  <c:v>4738.2710486205597</c:v>
                </c:pt>
                <c:pt idx="5">
                  <c:v>4634.2800000000007</c:v>
                </c:pt>
                <c:pt idx="6">
                  <c:v>4565.5169999999998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3-40AD-8D79-DDA8F83240B3}"/>
            </c:ext>
          </c:extLst>
        </c:ser>
        <c:ser>
          <c:idx val="4"/>
          <c:order val="1"/>
          <c:tx>
            <c:strRef>
              <c:f>'Figure 1'!$C$1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8100" cap="rnd">
              <a:noFill/>
              <a:round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 Dec.*</c:v>
                </c:pt>
                <c:pt idx="6">
                  <c:v>2022/23 Jan.*</c:v>
                </c:pt>
              </c:strCache>
            </c:strRef>
          </c:cat>
          <c:val>
            <c:numRef>
              <c:f>'Figure 1'!$C$2:$C$8</c:f>
              <c:numCache>
                <c:formatCode>#,##0</c:formatCode>
                <c:ptCount val="7"/>
                <c:pt idx="0">
                  <c:v>2133.7308779136683</c:v>
                </c:pt>
                <c:pt idx="1">
                  <c:v>1753.4299779624448</c:v>
                </c:pt>
                <c:pt idx="2">
                  <c:v>1682.8750323994002</c:v>
                </c:pt>
                <c:pt idx="3">
                  <c:v>2265.8038041324871</c:v>
                </c:pt>
                <c:pt idx="4">
                  <c:v>2157.6296778962228</c:v>
                </c:pt>
                <c:pt idx="5">
                  <c:v>2045</c:v>
                </c:pt>
                <c:pt idx="6">
                  <c:v>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3-40AD-8D79-DDA8F83240B3}"/>
            </c:ext>
          </c:extLst>
        </c:ser>
        <c:ser>
          <c:idx val="2"/>
          <c:order val="3"/>
          <c:tx>
            <c:strRef>
              <c:f>'Figure 1'!$D$1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 Dec.*</c:v>
                </c:pt>
                <c:pt idx="6">
                  <c:v>2022/23 Jan.*</c:v>
                </c:pt>
              </c:strCache>
            </c:strRef>
          </c:cat>
          <c:val>
            <c:numRef>
              <c:f>'Figure 1'!$D$2:$D$8</c:f>
              <c:numCache>
                <c:formatCode>#,##0</c:formatCode>
                <c:ptCount val="7"/>
                <c:pt idx="0">
                  <c:v>2054.9319999999998</c:v>
                </c:pt>
                <c:pt idx="1">
                  <c:v>2091.9902999999999</c:v>
                </c:pt>
                <c:pt idx="2">
                  <c:v>2164.5542</c:v>
                </c:pt>
                <c:pt idx="3">
                  <c:v>2140.5846999999999</c:v>
                </c:pt>
                <c:pt idx="4">
                  <c:v>2203.8143</c:v>
                </c:pt>
                <c:pt idx="5">
                  <c:v>2245</c:v>
                </c:pt>
                <c:pt idx="6">
                  <c:v>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C3-40AD-8D79-DDA8F83240B3}"/>
            </c:ext>
          </c:extLst>
        </c:ser>
        <c:ser>
          <c:idx val="1"/>
          <c:order val="4"/>
          <c:tx>
            <c:strRef>
              <c:f>'Figure 1'!$E$1</c:f>
              <c:strCache>
                <c:ptCount val="1"/>
                <c:pt idx="0">
                  <c:v>Feed, seed, residual</c:v>
                </c:pt>
              </c:strCache>
            </c:strRef>
          </c:tx>
          <c:spPr>
            <a:solidFill>
              <a:srgbClr val="FFCF01"/>
            </a:solidFill>
            <a:ln>
              <a:solidFill>
                <a:srgbClr val="FFCF01"/>
              </a:solidFill>
            </a:ln>
            <a:effectLst/>
          </c:spPr>
          <c:invertIfNegative val="0"/>
          <c:cat>
            <c:strRef>
              <c:f>'Figure 1'!$A$2:$A$8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 Dec.*</c:v>
                </c:pt>
                <c:pt idx="6">
                  <c:v>2022/23 Jan.*</c:v>
                </c:pt>
              </c:strCache>
            </c:strRef>
          </c:cat>
          <c:val>
            <c:numRef>
              <c:f>'Figure 1'!$E$2:$E$8</c:f>
              <c:numCache>
                <c:formatCode>#,##0</c:formatCode>
                <c:ptCount val="7"/>
                <c:pt idx="0">
                  <c:v>108.27062268705959</c:v>
                </c:pt>
                <c:pt idx="1">
                  <c:v>125.84000213389527</c:v>
                </c:pt>
                <c:pt idx="2">
                  <c:v>104.37027321657683</c:v>
                </c:pt>
                <c:pt idx="3">
                  <c:v>97.290482303747467</c:v>
                </c:pt>
                <c:pt idx="4">
                  <c:v>102.43307072433663</c:v>
                </c:pt>
                <c:pt idx="5">
                  <c:v>124.09970249388789</c:v>
                </c:pt>
                <c:pt idx="6">
                  <c:v>120.35269749388863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C3-40AD-8D79-DDA8F832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5"/>
          <c:order val="2"/>
          <c:tx>
            <c:strRef>
              <c:f>'Figure 1'!$F$1</c:f>
              <c:strCache>
                <c:ptCount val="1"/>
                <c:pt idx="0">
                  <c:v>Ending stocks</c:v>
                </c:pt>
              </c:strCache>
            </c:strRef>
          </c:tx>
          <c:spPr>
            <a:ln w="476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'Figure 1'!$F$2:$F$8</c:f>
              <c:numCache>
                <c:formatCode>#,##0</c:formatCode>
                <c:ptCount val="7"/>
                <c:pt idx="0">
                  <c:v>438.10500000000002</c:v>
                </c:pt>
                <c:pt idx="1">
                  <c:v>909.05200000000002</c:v>
                </c:pt>
                <c:pt idx="2">
                  <c:v>524.54100000000005</c:v>
                </c:pt>
                <c:pt idx="3">
                  <c:v>256.97899999999998</c:v>
                </c:pt>
                <c:pt idx="4">
                  <c:v>274.39400000000001</c:v>
                </c:pt>
                <c:pt idx="5">
                  <c:v>220</c:v>
                </c:pt>
                <c:pt idx="6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C3-40AD-8D79-DDA8F832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79104"/>
        <c:axId val="70668451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324668551046505"/>
              <c:y val="0.85991152147648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5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757847049940709E-2"/>
              <c:y val="0.12373637637580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70668451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90217351598173512"/>
              <c:y val="0.12338610154386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6679104"/>
        <c:crosses val="max"/>
        <c:crossBetween val="between"/>
      </c:valAx>
      <c:catAx>
        <c:axId val="70667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70668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105390672319805"/>
          <c:y val="8.1318741407324091E-2"/>
          <c:w val="0.74164580388989843"/>
          <c:h val="7.0936966212556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Soybean export prices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67880577427827E-2"/>
          <c:y val="0.17439205641463493"/>
          <c:w val="0.90135203412073495"/>
          <c:h val="0.597481421144196"/>
        </c:manualLayout>
      </c:layout>
      <c:lineChart>
        <c:grouping val="standard"/>
        <c:varyColors val="0"/>
        <c:ser>
          <c:idx val="5"/>
          <c:order val="0"/>
          <c:tx>
            <c:strRef>
              <c:f>'Figure 2'!$B$1</c:f>
              <c:strCache>
                <c:ptCount val="1"/>
                <c:pt idx="0">
                  <c:v>Argentina (Up River)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2'!$A$2:$A$262</c:f>
              <c:numCache>
                <c:formatCode>m/d/yyyy</c:formatCode>
                <c:ptCount val="261"/>
                <c:pt idx="0">
                  <c:v>44566</c:v>
                </c:pt>
                <c:pt idx="1">
                  <c:v>44567</c:v>
                </c:pt>
                <c:pt idx="2">
                  <c:v>44568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44711</c:v>
                </c:pt>
                <c:pt idx="104">
                  <c:v>44712</c:v>
                </c:pt>
                <c:pt idx="105">
                  <c:v>44713</c:v>
                </c:pt>
                <c:pt idx="106">
                  <c:v>44714</c:v>
                </c:pt>
                <c:pt idx="107">
                  <c:v>44715</c:v>
                </c:pt>
                <c:pt idx="108">
                  <c:v>44718</c:v>
                </c:pt>
                <c:pt idx="109">
                  <c:v>44719</c:v>
                </c:pt>
                <c:pt idx="110">
                  <c:v>44720</c:v>
                </c:pt>
                <c:pt idx="111">
                  <c:v>44721</c:v>
                </c:pt>
                <c:pt idx="112">
                  <c:v>44722</c:v>
                </c:pt>
                <c:pt idx="113">
                  <c:v>44725</c:v>
                </c:pt>
                <c:pt idx="114">
                  <c:v>44726</c:v>
                </c:pt>
                <c:pt idx="115">
                  <c:v>44727</c:v>
                </c:pt>
                <c:pt idx="116">
                  <c:v>44728</c:v>
                </c:pt>
                <c:pt idx="117">
                  <c:v>44729</c:v>
                </c:pt>
                <c:pt idx="118">
                  <c:v>44732</c:v>
                </c:pt>
                <c:pt idx="119">
                  <c:v>44733</c:v>
                </c:pt>
                <c:pt idx="120">
                  <c:v>44734</c:v>
                </c:pt>
                <c:pt idx="121">
                  <c:v>44735</c:v>
                </c:pt>
                <c:pt idx="122">
                  <c:v>44736</c:v>
                </c:pt>
                <c:pt idx="123">
                  <c:v>44739</c:v>
                </c:pt>
                <c:pt idx="124">
                  <c:v>44740</c:v>
                </c:pt>
                <c:pt idx="125">
                  <c:v>44741</c:v>
                </c:pt>
                <c:pt idx="126">
                  <c:v>44742</c:v>
                </c:pt>
                <c:pt idx="127">
                  <c:v>44743</c:v>
                </c:pt>
                <c:pt idx="128">
                  <c:v>44746</c:v>
                </c:pt>
                <c:pt idx="129">
                  <c:v>44747</c:v>
                </c:pt>
                <c:pt idx="130">
                  <c:v>44748</c:v>
                </c:pt>
                <c:pt idx="131">
                  <c:v>44749</c:v>
                </c:pt>
                <c:pt idx="132">
                  <c:v>44750</c:v>
                </c:pt>
                <c:pt idx="133">
                  <c:v>44753</c:v>
                </c:pt>
                <c:pt idx="134">
                  <c:v>44754</c:v>
                </c:pt>
                <c:pt idx="135">
                  <c:v>44755</c:v>
                </c:pt>
                <c:pt idx="136">
                  <c:v>44756</c:v>
                </c:pt>
                <c:pt idx="137">
                  <c:v>44757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44767</c:v>
                </c:pt>
                <c:pt idx="144">
                  <c:v>44768</c:v>
                </c:pt>
                <c:pt idx="145">
                  <c:v>44769</c:v>
                </c:pt>
                <c:pt idx="146">
                  <c:v>44770</c:v>
                </c:pt>
                <c:pt idx="147">
                  <c:v>44771</c:v>
                </c:pt>
                <c:pt idx="148">
                  <c:v>44774</c:v>
                </c:pt>
                <c:pt idx="149">
                  <c:v>44775</c:v>
                </c:pt>
                <c:pt idx="150">
                  <c:v>44776</c:v>
                </c:pt>
                <c:pt idx="151">
                  <c:v>44777</c:v>
                </c:pt>
                <c:pt idx="152">
                  <c:v>44778</c:v>
                </c:pt>
                <c:pt idx="153">
                  <c:v>44781</c:v>
                </c:pt>
                <c:pt idx="154">
                  <c:v>44782</c:v>
                </c:pt>
                <c:pt idx="155">
                  <c:v>44783</c:v>
                </c:pt>
                <c:pt idx="156">
                  <c:v>44784</c:v>
                </c:pt>
                <c:pt idx="157">
                  <c:v>44785</c:v>
                </c:pt>
                <c:pt idx="158">
                  <c:v>44788</c:v>
                </c:pt>
                <c:pt idx="159">
                  <c:v>44789</c:v>
                </c:pt>
                <c:pt idx="160">
                  <c:v>44790</c:v>
                </c:pt>
                <c:pt idx="161">
                  <c:v>44791</c:v>
                </c:pt>
                <c:pt idx="162">
                  <c:v>44792</c:v>
                </c:pt>
                <c:pt idx="163">
                  <c:v>44795</c:v>
                </c:pt>
                <c:pt idx="164">
                  <c:v>44796</c:v>
                </c:pt>
                <c:pt idx="165">
                  <c:v>44797</c:v>
                </c:pt>
                <c:pt idx="166">
                  <c:v>44798</c:v>
                </c:pt>
                <c:pt idx="167">
                  <c:v>44799</c:v>
                </c:pt>
                <c:pt idx="168">
                  <c:v>44802</c:v>
                </c:pt>
                <c:pt idx="169">
                  <c:v>44803</c:v>
                </c:pt>
                <c:pt idx="170">
                  <c:v>44804</c:v>
                </c:pt>
                <c:pt idx="171">
                  <c:v>44805</c:v>
                </c:pt>
                <c:pt idx="172">
                  <c:v>44806</c:v>
                </c:pt>
                <c:pt idx="173">
                  <c:v>44809</c:v>
                </c:pt>
                <c:pt idx="174">
                  <c:v>44810</c:v>
                </c:pt>
                <c:pt idx="175">
                  <c:v>44811</c:v>
                </c:pt>
                <c:pt idx="176">
                  <c:v>44812</c:v>
                </c:pt>
                <c:pt idx="177">
                  <c:v>44813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44823</c:v>
                </c:pt>
                <c:pt idx="184">
                  <c:v>44824</c:v>
                </c:pt>
                <c:pt idx="185">
                  <c:v>44825</c:v>
                </c:pt>
                <c:pt idx="186">
                  <c:v>44826</c:v>
                </c:pt>
                <c:pt idx="187">
                  <c:v>44827</c:v>
                </c:pt>
                <c:pt idx="188">
                  <c:v>44830</c:v>
                </c:pt>
                <c:pt idx="189">
                  <c:v>44831</c:v>
                </c:pt>
                <c:pt idx="190">
                  <c:v>44832</c:v>
                </c:pt>
                <c:pt idx="191">
                  <c:v>44833</c:v>
                </c:pt>
                <c:pt idx="192">
                  <c:v>44834</c:v>
                </c:pt>
                <c:pt idx="193">
                  <c:v>44837</c:v>
                </c:pt>
                <c:pt idx="194">
                  <c:v>44838</c:v>
                </c:pt>
                <c:pt idx="195">
                  <c:v>44839</c:v>
                </c:pt>
                <c:pt idx="196">
                  <c:v>44840</c:v>
                </c:pt>
                <c:pt idx="197">
                  <c:v>44841</c:v>
                </c:pt>
                <c:pt idx="198">
                  <c:v>44844</c:v>
                </c:pt>
                <c:pt idx="199">
                  <c:v>44845</c:v>
                </c:pt>
                <c:pt idx="200">
                  <c:v>44846</c:v>
                </c:pt>
                <c:pt idx="201">
                  <c:v>44847</c:v>
                </c:pt>
                <c:pt idx="202">
                  <c:v>44848</c:v>
                </c:pt>
                <c:pt idx="203">
                  <c:v>44851</c:v>
                </c:pt>
                <c:pt idx="204">
                  <c:v>44852</c:v>
                </c:pt>
                <c:pt idx="205">
                  <c:v>44853</c:v>
                </c:pt>
                <c:pt idx="206">
                  <c:v>44854</c:v>
                </c:pt>
                <c:pt idx="207">
                  <c:v>44855</c:v>
                </c:pt>
                <c:pt idx="208">
                  <c:v>44858</c:v>
                </c:pt>
                <c:pt idx="209">
                  <c:v>44859</c:v>
                </c:pt>
                <c:pt idx="210">
                  <c:v>44860</c:v>
                </c:pt>
                <c:pt idx="211">
                  <c:v>44861</c:v>
                </c:pt>
                <c:pt idx="212">
                  <c:v>44862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44872</c:v>
                </c:pt>
                <c:pt idx="219">
                  <c:v>44873</c:v>
                </c:pt>
                <c:pt idx="220">
                  <c:v>44874</c:v>
                </c:pt>
                <c:pt idx="221">
                  <c:v>44875</c:v>
                </c:pt>
                <c:pt idx="222">
                  <c:v>44876</c:v>
                </c:pt>
                <c:pt idx="223">
                  <c:v>44879</c:v>
                </c:pt>
                <c:pt idx="224">
                  <c:v>44880</c:v>
                </c:pt>
                <c:pt idx="225">
                  <c:v>44881</c:v>
                </c:pt>
                <c:pt idx="226">
                  <c:v>44882</c:v>
                </c:pt>
                <c:pt idx="227">
                  <c:v>44883</c:v>
                </c:pt>
                <c:pt idx="228">
                  <c:v>44886</c:v>
                </c:pt>
                <c:pt idx="229">
                  <c:v>44887</c:v>
                </c:pt>
                <c:pt idx="230">
                  <c:v>44888</c:v>
                </c:pt>
                <c:pt idx="231">
                  <c:v>44889</c:v>
                </c:pt>
                <c:pt idx="232">
                  <c:v>44890</c:v>
                </c:pt>
                <c:pt idx="233">
                  <c:v>44893</c:v>
                </c:pt>
                <c:pt idx="234">
                  <c:v>44894</c:v>
                </c:pt>
                <c:pt idx="235">
                  <c:v>44895</c:v>
                </c:pt>
                <c:pt idx="236">
                  <c:v>44896</c:v>
                </c:pt>
                <c:pt idx="237">
                  <c:v>44897</c:v>
                </c:pt>
                <c:pt idx="238">
                  <c:v>44900</c:v>
                </c:pt>
                <c:pt idx="239">
                  <c:v>44901</c:v>
                </c:pt>
                <c:pt idx="240">
                  <c:v>44902</c:v>
                </c:pt>
                <c:pt idx="241">
                  <c:v>44903</c:v>
                </c:pt>
                <c:pt idx="242">
                  <c:v>44904</c:v>
                </c:pt>
                <c:pt idx="243">
                  <c:v>44907</c:v>
                </c:pt>
                <c:pt idx="244">
                  <c:v>44908</c:v>
                </c:pt>
                <c:pt idx="245">
                  <c:v>44909</c:v>
                </c:pt>
                <c:pt idx="246">
                  <c:v>44910</c:v>
                </c:pt>
                <c:pt idx="247">
                  <c:v>44911</c:v>
                </c:pt>
                <c:pt idx="248">
                  <c:v>44914</c:v>
                </c:pt>
                <c:pt idx="249">
                  <c:v>44915</c:v>
                </c:pt>
                <c:pt idx="250">
                  <c:v>44916</c:v>
                </c:pt>
                <c:pt idx="251">
                  <c:v>44917</c:v>
                </c:pt>
                <c:pt idx="252">
                  <c:v>44918</c:v>
                </c:pt>
                <c:pt idx="253">
                  <c:v>44921</c:v>
                </c:pt>
                <c:pt idx="254">
                  <c:v>44922</c:v>
                </c:pt>
                <c:pt idx="255">
                  <c:v>44923</c:v>
                </c:pt>
                <c:pt idx="256">
                  <c:v>44924</c:v>
                </c:pt>
                <c:pt idx="257">
                  <c:v>44925</c:v>
                </c:pt>
                <c:pt idx="258">
                  <c:v>44928</c:v>
                </c:pt>
                <c:pt idx="259">
                  <c:v>44929</c:v>
                </c:pt>
                <c:pt idx="260">
                  <c:v>44930</c:v>
                </c:pt>
              </c:numCache>
            </c:numRef>
          </c:cat>
          <c:val>
            <c:numRef>
              <c:f>'Figure 2'!$B$2:$B$262</c:f>
              <c:numCache>
                <c:formatCode>#,##0</c:formatCode>
                <c:ptCount val="261"/>
                <c:pt idx="0">
                  <c:v>606</c:v>
                </c:pt>
                <c:pt idx="1">
                  <c:v>603</c:v>
                </c:pt>
                <c:pt idx="2">
                  <c:v>612</c:v>
                </c:pt>
                <c:pt idx="3">
                  <c:v>602</c:v>
                </c:pt>
                <c:pt idx="4">
                  <c:v>603</c:v>
                </c:pt>
                <c:pt idx="5">
                  <c:v>609</c:v>
                </c:pt>
                <c:pt idx="6">
                  <c:v>599</c:v>
                </c:pt>
                <c:pt idx="7">
                  <c:v>596</c:v>
                </c:pt>
                <c:pt idx="8">
                  <c:v>593</c:v>
                </c:pt>
                <c:pt idx="9">
                  <c:v>590</c:v>
                </c:pt>
                <c:pt idx="10">
                  <c:v>600</c:v>
                </c:pt>
                <c:pt idx="11">
                  <c:v>608</c:v>
                </c:pt>
                <c:pt idx="12">
                  <c:v>605</c:v>
                </c:pt>
                <c:pt idx="13">
                  <c:v>600</c:v>
                </c:pt>
                <c:pt idx="14">
                  <c:v>600</c:v>
                </c:pt>
                <c:pt idx="15">
                  <c:v>605</c:v>
                </c:pt>
                <c:pt idx="16">
                  <c:v>605</c:v>
                </c:pt>
                <c:pt idx="17">
                  <c:v>610</c:v>
                </c:pt>
                <c:pt idx="18">
                  <c:v>615</c:v>
                </c:pt>
                <c:pt idx="19">
                  <c:v>625</c:v>
                </c:pt>
                <c:pt idx="20">
                  <c:v>630</c:v>
                </c:pt>
                <c:pt idx="21">
                  <c:v>628</c:v>
                </c:pt>
                <c:pt idx="22">
                  <c:v>634</c:v>
                </c:pt>
                <c:pt idx="23">
                  <c:v>640</c:v>
                </c:pt>
                <c:pt idx="24">
                  <c:v>638</c:v>
                </c:pt>
                <c:pt idx="25">
                  <c:v>647</c:v>
                </c:pt>
                <c:pt idx="26">
                  <c:v>640</c:v>
                </c:pt>
                <c:pt idx="27">
                  <c:v>645</c:v>
                </c:pt>
                <c:pt idx="28">
                  <c:v>640</c:v>
                </c:pt>
                <c:pt idx="29">
                  <c:v>634</c:v>
                </c:pt>
                <c:pt idx="30">
                  <c:v>644</c:v>
                </c:pt>
                <c:pt idx="31">
                  <c:v>649</c:v>
                </c:pt>
                <c:pt idx="32">
                  <c:v>653</c:v>
                </c:pt>
                <c:pt idx="33">
                  <c:v>653</c:v>
                </c:pt>
                <c:pt idx="34">
                  <c:v>667</c:v>
                </c:pt>
                <c:pt idx="35">
                  <c:v>682</c:v>
                </c:pt>
                <c:pt idx="36">
                  <c:v>676</c:v>
                </c:pt>
                <c:pt idx="37">
                  <c:v>664</c:v>
                </c:pt>
                <c:pt idx="38">
                  <c:v>684</c:v>
                </c:pt>
                <c:pt idx="39">
                  <c:v>700</c:v>
                </c:pt>
                <c:pt idx="40">
                  <c:v>690</c:v>
                </c:pt>
                <c:pt idx="41">
                  <c:v>695</c:v>
                </c:pt>
                <c:pt idx="42">
                  <c:v>695</c:v>
                </c:pt>
                <c:pt idx="43">
                  <c:v>694</c:v>
                </c:pt>
                <c:pt idx="44">
                  <c:v>704</c:v>
                </c:pt>
                <c:pt idx="45">
                  <c:v>704</c:v>
                </c:pt>
                <c:pt idx="46">
                  <c:v>710</c:v>
                </c:pt>
                <c:pt idx="47">
                  <c:v>707</c:v>
                </c:pt>
                <c:pt idx="48">
                  <c:v>705</c:v>
                </c:pt>
                <c:pt idx="49">
                  <c:v>700</c:v>
                </c:pt>
                <c:pt idx="50">
                  <c:v>695</c:v>
                </c:pt>
                <c:pt idx="51">
                  <c:v>695</c:v>
                </c:pt>
                <c:pt idx="52" formatCode="General">
                  <c:v>694</c:v>
                </c:pt>
                <c:pt idx="53" formatCode="General">
                  <c:v>694</c:v>
                </c:pt>
                <c:pt idx="54" formatCode="General">
                  <c:v>690</c:v>
                </c:pt>
                <c:pt idx="55" formatCode="General">
                  <c:v>685</c:v>
                </c:pt>
                <c:pt idx="56" formatCode="General">
                  <c:v>679</c:v>
                </c:pt>
                <c:pt idx="57" formatCode="General">
                  <c:v>681</c:v>
                </c:pt>
                <c:pt idx="58" formatCode="General">
                  <c:v>663</c:v>
                </c:pt>
                <c:pt idx="59" formatCode="General">
                  <c:v>654</c:v>
                </c:pt>
                <c:pt idx="60" formatCode="General">
                  <c:v>657</c:v>
                </c:pt>
                <c:pt idx="61" formatCode="General">
                  <c:v>639</c:v>
                </c:pt>
                <c:pt idx="62" formatCode="General">
                  <c:v>626</c:v>
                </c:pt>
                <c:pt idx="63" formatCode="General">
                  <c:v>630</c:v>
                </c:pt>
                <c:pt idx="64" formatCode="General">
                  <c:v>640</c:v>
                </c:pt>
                <c:pt idx="65" formatCode="General">
                  <c:v>635</c:v>
                </c:pt>
                <c:pt idx="66" formatCode="General">
                  <c:v>645</c:v>
                </c:pt>
                <c:pt idx="67" formatCode="General">
                  <c:v>660</c:v>
                </c:pt>
                <c:pt idx="68" formatCode="General">
                  <c:v>649</c:v>
                </c:pt>
                <c:pt idx="69" formatCode="General">
                  <c:v>653</c:v>
                </c:pt>
                <c:pt idx="70" formatCode="General">
                  <c:v>654</c:v>
                </c:pt>
                <c:pt idx="71" formatCode="General">
                  <c:v>654</c:v>
                </c:pt>
                <c:pt idx="72" formatCode="General">
                  <c:v>654</c:v>
                </c:pt>
                <c:pt idx="73" formatCode="General">
                  <c:v>663</c:v>
                </c:pt>
                <c:pt idx="74" formatCode="General">
                  <c:v>662</c:v>
                </c:pt>
                <c:pt idx="75" formatCode="General">
                  <c:v>671</c:v>
                </c:pt>
                <c:pt idx="76" formatCode="General">
                  <c:v>669</c:v>
                </c:pt>
                <c:pt idx="77" formatCode="General">
                  <c:v>656</c:v>
                </c:pt>
                <c:pt idx="78" formatCode="General">
                  <c:v>652</c:v>
                </c:pt>
                <c:pt idx="79" formatCode="General">
                  <c:v>652</c:v>
                </c:pt>
                <c:pt idx="80" formatCode="General">
                  <c:v>659</c:v>
                </c:pt>
                <c:pt idx="81" formatCode="General">
                  <c:v>656</c:v>
                </c:pt>
                <c:pt idx="82" formatCode="General">
                  <c:v>656</c:v>
                </c:pt>
                <c:pt idx="83" formatCode="General">
                  <c:v>644</c:v>
                </c:pt>
                <c:pt idx="84" formatCode="General">
                  <c:v>639</c:v>
                </c:pt>
                <c:pt idx="85" formatCode="General">
                  <c:v>641</c:v>
                </c:pt>
                <c:pt idx="86" formatCode="General">
                  <c:v>643</c:v>
                </c:pt>
                <c:pt idx="87" formatCode="General">
                  <c:v>636</c:v>
                </c:pt>
                <c:pt idx="88" formatCode="General">
                  <c:v>624</c:v>
                </c:pt>
                <c:pt idx="89" formatCode="General">
                  <c:v>625</c:v>
                </c:pt>
                <c:pt idx="90" formatCode="General">
                  <c:v>629</c:v>
                </c:pt>
                <c:pt idx="91" formatCode="General">
                  <c:v>633</c:v>
                </c:pt>
                <c:pt idx="92" formatCode="General">
                  <c:v>645</c:v>
                </c:pt>
                <c:pt idx="93" formatCode="General">
                  <c:v>648</c:v>
                </c:pt>
                <c:pt idx="94" formatCode="General">
                  <c:v>655</c:v>
                </c:pt>
                <c:pt idx="95" formatCode="General">
                  <c:v>649</c:v>
                </c:pt>
                <c:pt idx="96" formatCode="General">
                  <c:v>659</c:v>
                </c:pt>
                <c:pt idx="97" formatCode="General">
                  <c:v>663</c:v>
                </c:pt>
                <c:pt idx="98" formatCode="General">
                  <c:v>658</c:v>
                </c:pt>
                <c:pt idx="99" formatCode="General">
                  <c:v>659</c:v>
                </c:pt>
                <c:pt idx="100" formatCode="General">
                  <c:v>659</c:v>
                </c:pt>
                <c:pt idx="101" formatCode="General">
                  <c:v>669</c:v>
                </c:pt>
                <c:pt idx="102" formatCode="General">
                  <c:v>671</c:v>
                </c:pt>
                <c:pt idx="103" formatCode="General">
                  <c:v>671</c:v>
                </c:pt>
                <c:pt idx="104" formatCode="General">
                  <c:v>653</c:v>
                </c:pt>
                <c:pt idx="105" formatCode="General">
                  <c:v>656</c:v>
                </c:pt>
                <c:pt idx="106" formatCode="General">
                  <c:v>671</c:v>
                </c:pt>
                <c:pt idx="107" formatCode="General">
                  <c:v>659</c:v>
                </c:pt>
                <c:pt idx="108" formatCode="General">
                  <c:v>660</c:v>
                </c:pt>
                <c:pt idx="109" formatCode="General">
                  <c:v>671</c:v>
                </c:pt>
                <c:pt idx="110" formatCode="General">
                  <c:v>675</c:v>
                </c:pt>
                <c:pt idx="111" formatCode="General">
                  <c:v>685</c:v>
                </c:pt>
                <c:pt idx="112" formatCode="General">
                  <c:v>677</c:v>
                </c:pt>
                <c:pt idx="113" formatCode="General">
                  <c:v>657</c:v>
                </c:pt>
                <c:pt idx="114" formatCode="General">
                  <c:v>651</c:v>
                </c:pt>
                <c:pt idx="115" formatCode="General">
                  <c:v>650</c:v>
                </c:pt>
                <c:pt idx="116" formatCode="General">
                  <c:v>656</c:v>
                </c:pt>
                <c:pt idx="117" formatCode="General">
                  <c:v>656</c:v>
                </c:pt>
                <c:pt idx="118" formatCode="General">
                  <c:v>656</c:v>
                </c:pt>
                <c:pt idx="119" formatCode="General">
                  <c:v>646</c:v>
                </c:pt>
                <c:pt idx="120" formatCode="General">
                  <c:v>634</c:v>
                </c:pt>
                <c:pt idx="121" formatCode="General">
                  <c:v>606</c:v>
                </c:pt>
                <c:pt idx="122" formatCode="General">
                  <c:v>612</c:v>
                </c:pt>
                <c:pt idx="123" formatCode="General">
                  <c:v>617</c:v>
                </c:pt>
                <c:pt idx="124" formatCode="General">
                  <c:v>629</c:v>
                </c:pt>
                <c:pt idx="125" formatCode="General">
                  <c:v>624</c:v>
                </c:pt>
                <c:pt idx="126" formatCode="General">
                  <c:v>615</c:v>
                </c:pt>
                <c:pt idx="127" formatCode="General">
                  <c:v>597</c:v>
                </c:pt>
                <c:pt idx="128" formatCode="General">
                  <c:v>597</c:v>
                </c:pt>
                <c:pt idx="129" formatCode="General">
                  <c:v>573</c:v>
                </c:pt>
                <c:pt idx="130" formatCode="General">
                  <c:v>575</c:v>
                </c:pt>
                <c:pt idx="131" formatCode="General">
                  <c:v>586</c:v>
                </c:pt>
                <c:pt idx="132" formatCode="General">
                  <c:v>598</c:v>
                </c:pt>
                <c:pt idx="133" formatCode="General">
                  <c:v>600</c:v>
                </c:pt>
                <c:pt idx="134" formatCode="General">
                  <c:v>580</c:v>
                </c:pt>
                <c:pt idx="135" formatCode="General">
                  <c:v>586</c:v>
                </c:pt>
                <c:pt idx="136" formatCode="General">
                  <c:v>581</c:v>
                </c:pt>
                <c:pt idx="137" formatCode="General">
                  <c:v>581</c:v>
                </c:pt>
                <c:pt idx="138" formatCode="General">
                  <c:v>591</c:v>
                </c:pt>
                <c:pt idx="139" formatCode="General">
                  <c:v>586</c:v>
                </c:pt>
                <c:pt idx="140" formatCode="General">
                  <c:v>573</c:v>
                </c:pt>
                <c:pt idx="141" formatCode="General">
                  <c:v>564</c:v>
                </c:pt>
                <c:pt idx="142" formatCode="General">
                  <c:v>569</c:v>
                </c:pt>
                <c:pt idx="143" formatCode="General">
                  <c:v>583</c:v>
                </c:pt>
                <c:pt idx="144" formatCode="General">
                  <c:v>605</c:v>
                </c:pt>
                <c:pt idx="145" formatCode="General">
                  <c:v>622</c:v>
                </c:pt>
                <c:pt idx="146" formatCode="General">
                  <c:v>628</c:v>
                </c:pt>
                <c:pt idx="147" formatCode="General">
                  <c:v>638</c:v>
                </c:pt>
                <c:pt idx="148" formatCode="General">
                  <c:v>616</c:v>
                </c:pt>
                <c:pt idx="149" formatCode="General">
                  <c:v>600</c:v>
                </c:pt>
                <c:pt idx="150" formatCode="General">
                  <c:v>592</c:v>
                </c:pt>
                <c:pt idx="151" formatCode="General">
                  <c:v>607</c:v>
                </c:pt>
                <c:pt idx="152" formatCode="General">
                  <c:v>607</c:v>
                </c:pt>
                <c:pt idx="153" formatCode="General">
                  <c:v>607</c:v>
                </c:pt>
                <c:pt idx="154" formatCode="General">
                  <c:v>607</c:v>
                </c:pt>
                <c:pt idx="155" formatCode="General">
                  <c:v>604</c:v>
                </c:pt>
                <c:pt idx="156" formatCode="General">
                  <c:v>611</c:v>
                </c:pt>
                <c:pt idx="157" formatCode="General">
                  <c:v>612</c:v>
                </c:pt>
                <c:pt idx="158" formatCode="General">
                  <c:v>612</c:v>
                </c:pt>
                <c:pt idx="159" formatCode="General">
                  <c:v>593</c:v>
                </c:pt>
                <c:pt idx="160" formatCode="General">
                  <c:v>594</c:v>
                </c:pt>
                <c:pt idx="161" formatCode="General">
                  <c:v>596</c:v>
                </c:pt>
                <c:pt idx="162" formatCode="General">
                  <c:v>597</c:v>
                </c:pt>
                <c:pt idx="163" formatCode="General">
                  <c:v>607</c:v>
                </c:pt>
                <c:pt idx="164" formatCode="General">
                  <c:v>619</c:v>
                </c:pt>
                <c:pt idx="165" formatCode="General">
                  <c:v>619</c:v>
                </c:pt>
                <c:pt idx="166" formatCode="General">
                  <c:v>613</c:v>
                </c:pt>
                <c:pt idx="167" formatCode="General">
                  <c:v>624</c:v>
                </c:pt>
                <c:pt idx="168" formatCode="General">
                  <c:v>615</c:v>
                </c:pt>
                <c:pt idx="169" formatCode="General">
                  <c:v>611</c:v>
                </c:pt>
                <c:pt idx="170" formatCode="General">
                  <c:v>608</c:v>
                </c:pt>
                <c:pt idx="171" formatCode="General">
                  <c:v>597</c:v>
                </c:pt>
                <c:pt idx="172" formatCode="General">
                  <c:v>597</c:v>
                </c:pt>
                <c:pt idx="173" formatCode="General">
                  <c:v>605</c:v>
                </c:pt>
                <c:pt idx="174" formatCode="General">
                  <c:v>592</c:v>
                </c:pt>
                <c:pt idx="175" formatCode="General">
                  <c:v>583</c:v>
                </c:pt>
                <c:pt idx="176" formatCode="General">
                  <c:v>577</c:v>
                </c:pt>
                <c:pt idx="177" formatCode="General">
                  <c:v>582</c:v>
                </c:pt>
                <c:pt idx="178" formatCode="General">
                  <c:v>607</c:v>
                </c:pt>
                <c:pt idx="179" formatCode="General">
                  <c:v>594</c:v>
                </c:pt>
                <c:pt idx="180" formatCode="General">
                  <c:v>585</c:v>
                </c:pt>
                <c:pt idx="181" formatCode="General">
                  <c:v>579</c:v>
                </c:pt>
                <c:pt idx="182" formatCode="General">
                  <c:v>578</c:v>
                </c:pt>
                <c:pt idx="183" formatCode="General">
                  <c:v>583</c:v>
                </c:pt>
                <c:pt idx="184" formatCode="General">
                  <c:v>589</c:v>
                </c:pt>
                <c:pt idx="185" formatCode="General">
                  <c:v>584</c:v>
                </c:pt>
                <c:pt idx="186" formatCode="General">
                  <c:v>581</c:v>
                </c:pt>
                <c:pt idx="187" formatCode="General">
                  <c:v>570</c:v>
                </c:pt>
                <c:pt idx="188" formatCode="General">
                  <c:v>565</c:v>
                </c:pt>
                <c:pt idx="189" formatCode="General">
                  <c:v>565</c:v>
                </c:pt>
                <c:pt idx="190" formatCode="General">
                  <c:v>565</c:v>
                </c:pt>
                <c:pt idx="191" formatCode="General">
                  <c:v>566</c:v>
                </c:pt>
                <c:pt idx="192" formatCode="General">
                  <c:v>562</c:v>
                </c:pt>
                <c:pt idx="193" formatCode="General">
                  <c:v>565</c:v>
                </c:pt>
                <c:pt idx="194" formatCode="General">
                  <c:v>574</c:v>
                </c:pt>
                <c:pt idx="195" formatCode="General">
                  <c:v>569</c:v>
                </c:pt>
                <c:pt idx="196" formatCode="General">
                  <c:v>565</c:v>
                </c:pt>
                <c:pt idx="197" formatCode="General">
                  <c:v>565</c:v>
                </c:pt>
                <c:pt idx="198" formatCode="General">
                  <c:v>568</c:v>
                </c:pt>
                <c:pt idx="199" formatCode="General">
                  <c:v>579</c:v>
                </c:pt>
                <c:pt idx="200" formatCode="General">
                  <c:v>592</c:v>
                </c:pt>
                <c:pt idx="201" formatCode="General">
                  <c:v>592</c:v>
                </c:pt>
                <c:pt idx="202" formatCode="General">
                  <c:v>589</c:v>
                </c:pt>
                <c:pt idx="203" formatCode="General">
                  <c:v>590</c:v>
                </c:pt>
                <c:pt idx="204" formatCode="General">
                  <c:v>585</c:v>
                </c:pt>
                <c:pt idx="205" formatCode="General">
                  <c:v>590</c:v>
                </c:pt>
                <c:pt idx="206" formatCode="General">
                  <c:v>598</c:v>
                </c:pt>
                <c:pt idx="207" formatCode="General">
                  <c:v>599</c:v>
                </c:pt>
                <c:pt idx="208" formatCode="General">
                  <c:v>590</c:v>
                </c:pt>
                <c:pt idx="209" formatCode="General">
                  <c:v>594</c:v>
                </c:pt>
                <c:pt idx="210" formatCode="General">
                  <c:v>594</c:v>
                </c:pt>
                <c:pt idx="211" formatCode="General">
                  <c:v>590</c:v>
                </c:pt>
                <c:pt idx="212" formatCode="General">
                  <c:v>594</c:v>
                </c:pt>
                <c:pt idx="213" formatCode="General">
                  <c:v>603</c:v>
                </c:pt>
                <c:pt idx="214" formatCode="General">
                  <c:v>607</c:v>
                </c:pt>
                <c:pt idx="215" formatCode="General">
                  <c:v>610</c:v>
                </c:pt>
                <c:pt idx="216" formatCode="General">
                  <c:v>607</c:v>
                </c:pt>
                <c:pt idx="217" formatCode="General">
                  <c:v>614</c:v>
                </c:pt>
                <c:pt idx="218" formatCode="General">
                  <c:v>610</c:v>
                </c:pt>
                <c:pt idx="219" formatCode="General">
                  <c:v>609</c:v>
                </c:pt>
                <c:pt idx="220" formatCode="General">
                  <c:v>611</c:v>
                </c:pt>
                <c:pt idx="221" formatCode="General">
                  <c:v>600</c:v>
                </c:pt>
                <c:pt idx="222" formatCode="General">
                  <c:v>608</c:v>
                </c:pt>
                <c:pt idx="223" formatCode="General">
                  <c:v>605</c:v>
                </c:pt>
                <c:pt idx="224" formatCode="General">
                  <c:v>611</c:v>
                </c:pt>
                <c:pt idx="225" formatCode="General">
                  <c:v>597</c:v>
                </c:pt>
                <c:pt idx="226" formatCode="General">
                  <c:v>597</c:v>
                </c:pt>
                <c:pt idx="227" formatCode="General">
                  <c:v>596</c:v>
                </c:pt>
                <c:pt idx="228" formatCode="General">
                  <c:v>596</c:v>
                </c:pt>
                <c:pt idx="229" formatCode="General">
                  <c:v>591</c:v>
                </c:pt>
                <c:pt idx="230" formatCode="General">
                  <c:v>592</c:v>
                </c:pt>
                <c:pt idx="231" formatCode="General">
                  <c:v>592</c:v>
                </c:pt>
                <c:pt idx="232" formatCode="General">
                  <c:v>592</c:v>
                </c:pt>
                <c:pt idx="233" formatCode="General">
                  <c:v>591</c:v>
                </c:pt>
                <c:pt idx="234" formatCode="General">
                  <c:v>589</c:v>
                </c:pt>
                <c:pt idx="235" formatCode="General">
                  <c:v>592</c:v>
                </c:pt>
                <c:pt idx="236" formatCode="General">
                  <c:v>586</c:v>
                </c:pt>
                <c:pt idx="237" formatCode="General">
                  <c:v>589</c:v>
                </c:pt>
                <c:pt idx="238" formatCode="General">
                  <c:v>589</c:v>
                </c:pt>
                <c:pt idx="239" formatCode="General">
                  <c:v>604</c:v>
                </c:pt>
                <c:pt idx="240" formatCode="General">
                  <c:v>611</c:v>
                </c:pt>
                <c:pt idx="241" formatCode="General">
                  <c:v>616</c:v>
                </c:pt>
                <c:pt idx="242" formatCode="General">
                  <c:v>615</c:v>
                </c:pt>
                <c:pt idx="243" formatCode="General">
                  <c:v>614</c:v>
                </c:pt>
                <c:pt idx="244" formatCode="General">
                  <c:v>630</c:v>
                </c:pt>
                <c:pt idx="245" formatCode="General">
                  <c:v>631</c:v>
                </c:pt>
                <c:pt idx="246" formatCode="General">
                  <c:v>628</c:v>
                </c:pt>
                <c:pt idx="247" formatCode="General">
                  <c:v>625</c:v>
                </c:pt>
                <c:pt idx="248" formatCode="General">
                  <c:v>625</c:v>
                </c:pt>
                <c:pt idx="249" formatCode="General">
                  <c:v>625</c:v>
                </c:pt>
                <c:pt idx="250" formatCode="General">
                  <c:v>630</c:v>
                </c:pt>
                <c:pt idx="251" formatCode="General">
                  <c:v>625</c:v>
                </c:pt>
                <c:pt idx="252" formatCode="General">
                  <c:v>629</c:v>
                </c:pt>
                <c:pt idx="253" formatCode="General">
                  <c:v>625</c:v>
                </c:pt>
                <c:pt idx="254" formatCode="General">
                  <c:v>625</c:v>
                </c:pt>
                <c:pt idx="255" formatCode="General">
                  <c:v>614</c:v>
                </c:pt>
                <c:pt idx="256" formatCode="General">
                  <c:v>615</c:v>
                </c:pt>
                <c:pt idx="257" formatCode="General">
                  <c:v>619</c:v>
                </c:pt>
                <c:pt idx="258" formatCode="General">
                  <c:v>618</c:v>
                </c:pt>
                <c:pt idx="259" formatCode="General">
                  <c:v>610</c:v>
                </c:pt>
                <c:pt idx="260" formatCode="General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8-4ECC-BF15-AC335293E93C}"/>
            </c:ext>
          </c:extLst>
        </c:ser>
        <c:ser>
          <c:idx val="4"/>
          <c:order val="1"/>
          <c:tx>
            <c:strRef>
              <c:f>'Figure 2'!$C$1</c:f>
              <c:strCache>
                <c:ptCount val="1"/>
                <c:pt idx="0">
                  <c:v>Brazil (Paranaguá)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2'!$A$2:$A$262</c:f>
              <c:numCache>
                <c:formatCode>m/d/yyyy</c:formatCode>
                <c:ptCount val="261"/>
                <c:pt idx="0">
                  <c:v>44566</c:v>
                </c:pt>
                <c:pt idx="1">
                  <c:v>44567</c:v>
                </c:pt>
                <c:pt idx="2">
                  <c:v>44568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44711</c:v>
                </c:pt>
                <c:pt idx="104">
                  <c:v>44712</c:v>
                </c:pt>
                <c:pt idx="105">
                  <c:v>44713</c:v>
                </c:pt>
                <c:pt idx="106">
                  <c:v>44714</c:v>
                </c:pt>
                <c:pt idx="107">
                  <c:v>44715</c:v>
                </c:pt>
                <c:pt idx="108">
                  <c:v>44718</c:v>
                </c:pt>
                <c:pt idx="109">
                  <c:v>44719</c:v>
                </c:pt>
                <c:pt idx="110">
                  <c:v>44720</c:v>
                </c:pt>
                <c:pt idx="111">
                  <c:v>44721</c:v>
                </c:pt>
                <c:pt idx="112">
                  <c:v>44722</c:v>
                </c:pt>
                <c:pt idx="113">
                  <c:v>44725</c:v>
                </c:pt>
                <c:pt idx="114">
                  <c:v>44726</c:v>
                </c:pt>
                <c:pt idx="115">
                  <c:v>44727</c:v>
                </c:pt>
                <c:pt idx="116">
                  <c:v>44728</c:v>
                </c:pt>
                <c:pt idx="117">
                  <c:v>44729</c:v>
                </c:pt>
                <c:pt idx="118">
                  <c:v>44732</c:v>
                </c:pt>
                <c:pt idx="119">
                  <c:v>44733</c:v>
                </c:pt>
                <c:pt idx="120">
                  <c:v>44734</c:v>
                </c:pt>
                <c:pt idx="121">
                  <c:v>44735</c:v>
                </c:pt>
                <c:pt idx="122">
                  <c:v>44736</c:v>
                </c:pt>
                <c:pt idx="123">
                  <c:v>44739</c:v>
                </c:pt>
                <c:pt idx="124">
                  <c:v>44740</c:v>
                </c:pt>
                <c:pt idx="125">
                  <c:v>44741</c:v>
                </c:pt>
                <c:pt idx="126">
                  <c:v>44742</c:v>
                </c:pt>
                <c:pt idx="127">
                  <c:v>44743</c:v>
                </c:pt>
                <c:pt idx="128">
                  <c:v>44746</c:v>
                </c:pt>
                <c:pt idx="129">
                  <c:v>44747</c:v>
                </c:pt>
                <c:pt idx="130">
                  <c:v>44748</c:v>
                </c:pt>
                <c:pt idx="131">
                  <c:v>44749</c:v>
                </c:pt>
                <c:pt idx="132">
                  <c:v>44750</c:v>
                </c:pt>
                <c:pt idx="133">
                  <c:v>44753</c:v>
                </c:pt>
                <c:pt idx="134">
                  <c:v>44754</c:v>
                </c:pt>
                <c:pt idx="135">
                  <c:v>44755</c:v>
                </c:pt>
                <c:pt idx="136">
                  <c:v>44756</c:v>
                </c:pt>
                <c:pt idx="137">
                  <c:v>44757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44767</c:v>
                </c:pt>
                <c:pt idx="144">
                  <c:v>44768</c:v>
                </c:pt>
                <c:pt idx="145">
                  <c:v>44769</c:v>
                </c:pt>
                <c:pt idx="146">
                  <c:v>44770</c:v>
                </c:pt>
                <c:pt idx="147">
                  <c:v>44771</c:v>
                </c:pt>
                <c:pt idx="148">
                  <c:v>44774</c:v>
                </c:pt>
                <c:pt idx="149">
                  <c:v>44775</c:v>
                </c:pt>
                <c:pt idx="150">
                  <c:v>44776</c:v>
                </c:pt>
                <c:pt idx="151">
                  <c:v>44777</c:v>
                </c:pt>
                <c:pt idx="152">
                  <c:v>44778</c:v>
                </c:pt>
                <c:pt idx="153">
                  <c:v>44781</c:v>
                </c:pt>
                <c:pt idx="154">
                  <c:v>44782</c:v>
                </c:pt>
                <c:pt idx="155">
                  <c:v>44783</c:v>
                </c:pt>
                <c:pt idx="156">
                  <c:v>44784</c:v>
                </c:pt>
                <c:pt idx="157">
                  <c:v>44785</c:v>
                </c:pt>
                <c:pt idx="158">
                  <c:v>44788</c:v>
                </c:pt>
                <c:pt idx="159">
                  <c:v>44789</c:v>
                </c:pt>
                <c:pt idx="160">
                  <c:v>44790</c:v>
                </c:pt>
                <c:pt idx="161">
                  <c:v>44791</c:v>
                </c:pt>
                <c:pt idx="162">
                  <c:v>44792</c:v>
                </c:pt>
                <c:pt idx="163">
                  <c:v>44795</c:v>
                </c:pt>
                <c:pt idx="164">
                  <c:v>44796</c:v>
                </c:pt>
                <c:pt idx="165">
                  <c:v>44797</c:v>
                </c:pt>
                <c:pt idx="166">
                  <c:v>44798</c:v>
                </c:pt>
                <c:pt idx="167">
                  <c:v>44799</c:v>
                </c:pt>
                <c:pt idx="168">
                  <c:v>44802</c:v>
                </c:pt>
                <c:pt idx="169">
                  <c:v>44803</c:v>
                </c:pt>
                <c:pt idx="170">
                  <c:v>44804</c:v>
                </c:pt>
                <c:pt idx="171">
                  <c:v>44805</c:v>
                </c:pt>
                <c:pt idx="172">
                  <c:v>44806</c:v>
                </c:pt>
                <c:pt idx="173">
                  <c:v>44809</c:v>
                </c:pt>
                <c:pt idx="174">
                  <c:v>44810</c:v>
                </c:pt>
                <c:pt idx="175">
                  <c:v>44811</c:v>
                </c:pt>
                <c:pt idx="176">
                  <c:v>44812</c:v>
                </c:pt>
                <c:pt idx="177">
                  <c:v>44813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44823</c:v>
                </c:pt>
                <c:pt idx="184">
                  <c:v>44824</c:v>
                </c:pt>
                <c:pt idx="185">
                  <c:v>44825</c:v>
                </c:pt>
                <c:pt idx="186">
                  <c:v>44826</c:v>
                </c:pt>
                <c:pt idx="187">
                  <c:v>44827</c:v>
                </c:pt>
                <c:pt idx="188">
                  <c:v>44830</c:v>
                </c:pt>
                <c:pt idx="189">
                  <c:v>44831</c:v>
                </c:pt>
                <c:pt idx="190">
                  <c:v>44832</c:v>
                </c:pt>
                <c:pt idx="191">
                  <c:v>44833</c:v>
                </c:pt>
                <c:pt idx="192">
                  <c:v>44834</c:v>
                </c:pt>
                <c:pt idx="193">
                  <c:v>44837</c:v>
                </c:pt>
                <c:pt idx="194">
                  <c:v>44838</c:v>
                </c:pt>
                <c:pt idx="195">
                  <c:v>44839</c:v>
                </c:pt>
                <c:pt idx="196">
                  <c:v>44840</c:v>
                </c:pt>
                <c:pt idx="197">
                  <c:v>44841</c:v>
                </c:pt>
                <c:pt idx="198">
                  <c:v>44844</c:v>
                </c:pt>
                <c:pt idx="199">
                  <c:v>44845</c:v>
                </c:pt>
                <c:pt idx="200">
                  <c:v>44846</c:v>
                </c:pt>
                <c:pt idx="201">
                  <c:v>44847</c:v>
                </c:pt>
                <c:pt idx="202">
                  <c:v>44848</c:v>
                </c:pt>
                <c:pt idx="203">
                  <c:v>44851</c:v>
                </c:pt>
                <c:pt idx="204">
                  <c:v>44852</c:v>
                </c:pt>
                <c:pt idx="205">
                  <c:v>44853</c:v>
                </c:pt>
                <c:pt idx="206">
                  <c:v>44854</c:v>
                </c:pt>
                <c:pt idx="207">
                  <c:v>44855</c:v>
                </c:pt>
                <c:pt idx="208">
                  <c:v>44858</c:v>
                </c:pt>
                <c:pt idx="209">
                  <c:v>44859</c:v>
                </c:pt>
                <c:pt idx="210">
                  <c:v>44860</c:v>
                </c:pt>
                <c:pt idx="211">
                  <c:v>44861</c:v>
                </c:pt>
                <c:pt idx="212">
                  <c:v>44862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44872</c:v>
                </c:pt>
                <c:pt idx="219">
                  <c:v>44873</c:v>
                </c:pt>
                <c:pt idx="220">
                  <c:v>44874</c:v>
                </c:pt>
                <c:pt idx="221">
                  <c:v>44875</c:v>
                </c:pt>
                <c:pt idx="222">
                  <c:v>44876</c:v>
                </c:pt>
                <c:pt idx="223">
                  <c:v>44879</c:v>
                </c:pt>
                <c:pt idx="224">
                  <c:v>44880</c:v>
                </c:pt>
                <c:pt idx="225">
                  <c:v>44881</c:v>
                </c:pt>
                <c:pt idx="226">
                  <c:v>44882</c:v>
                </c:pt>
                <c:pt idx="227">
                  <c:v>44883</c:v>
                </c:pt>
                <c:pt idx="228">
                  <c:v>44886</c:v>
                </c:pt>
                <c:pt idx="229">
                  <c:v>44887</c:v>
                </c:pt>
                <c:pt idx="230">
                  <c:v>44888</c:v>
                </c:pt>
                <c:pt idx="231">
                  <c:v>44889</c:v>
                </c:pt>
                <c:pt idx="232">
                  <c:v>44890</c:v>
                </c:pt>
                <c:pt idx="233">
                  <c:v>44893</c:v>
                </c:pt>
                <c:pt idx="234">
                  <c:v>44894</c:v>
                </c:pt>
                <c:pt idx="235">
                  <c:v>44895</c:v>
                </c:pt>
                <c:pt idx="236">
                  <c:v>44896</c:v>
                </c:pt>
                <c:pt idx="237">
                  <c:v>44897</c:v>
                </c:pt>
                <c:pt idx="238">
                  <c:v>44900</c:v>
                </c:pt>
                <c:pt idx="239">
                  <c:v>44901</c:v>
                </c:pt>
                <c:pt idx="240">
                  <c:v>44902</c:v>
                </c:pt>
                <c:pt idx="241">
                  <c:v>44903</c:v>
                </c:pt>
                <c:pt idx="242">
                  <c:v>44904</c:v>
                </c:pt>
                <c:pt idx="243">
                  <c:v>44907</c:v>
                </c:pt>
                <c:pt idx="244">
                  <c:v>44908</c:v>
                </c:pt>
                <c:pt idx="245">
                  <c:v>44909</c:v>
                </c:pt>
                <c:pt idx="246">
                  <c:v>44910</c:v>
                </c:pt>
                <c:pt idx="247">
                  <c:v>44911</c:v>
                </c:pt>
                <c:pt idx="248">
                  <c:v>44914</c:v>
                </c:pt>
                <c:pt idx="249">
                  <c:v>44915</c:v>
                </c:pt>
                <c:pt idx="250">
                  <c:v>44916</c:v>
                </c:pt>
                <c:pt idx="251">
                  <c:v>44917</c:v>
                </c:pt>
                <c:pt idx="252">
                  <c:v>44918</c:v>
                </c:pt>
                <c:pt idx="253">
                  <c:v>44921</c:v>
                </c:pt>
                <c:pt idx="254">
                  <c:v>44922</c:v>
                </c:pt>
                <c:pt idx="255">
                  <c:v>44923</c:v>
                </c:pt>
                <c:pt idx="256">
                  <c:v>44924</c:v>
                </c:pt>
                <c:pt idx="257">
                  <c:v>44925</c:v>
                </c:pt>
                <c:pt idx="258">
                  <c:v>44928</c:v>
                </c:pt>
                <c:pt idx="259">
                  <c:v>44929</c:v>
                </c:pt>
                <c:pt idx="260">
                  <c:v>44930</c:v>
                </c:pt>
              </c:numCache>
            </c:numRef>
          </c:cat>
          <c:val>
            <c:numRef>
              <c:f>'Figure 2'!$C$2:$C$262</c:f>
              <c:numCache>
                <c:formatCode>#,##0</c:formatCode>
                <c:ptCount val="261"/>
                <c:pt idx="0">
                  <c:v>544</c:v>
                </c:pt>
                <c:pt idx="1">
                  <c:v>543</c:v>
                </c:pt>
                <c:pt idx="2">
                  <c:v>551</c:v>
                </c:pt>
                <c:pt idx="3">
                  <c:v>542</c:v>
                </c:pt>
                <c:pt idx="4">
                  <c:v>543</c:v>
                </c:pt>
                <c:pt idx="5">
                  <c:v>548</c:v>
                </c:pt>
                <c:pt idx="6">
                  <c:v>540</c:v>
                </c:pt>
                <c:pt idx="7">
                  <c:v>524</c:v>
                </c:pt>
                <c:pt idx="8">
                  <c:v>524</c:v>
                </c:pt>
                <c:pt idx="9">
                  <c:v>523</c:v>
                </c:pt>
                <c:pt idx="10">
                  <c:v>538</c:v>
                </c:pt>
                <c:pt idx="11">
                  <c:v>554</c:v>
                </c:pt>
                <c:pt idx="12">
                  <c:v>549</c:v>
                </c:pt>
                <c:pt idx="13">
                  <c:v>546</c:v>
                </c:pt>
                <c:pt idx="14">
                  <c:v>550</c:v>
                </c:pt>
                <c:pt idx="15">
                  <c:v>563</c:v>
                </c:pt>
                <c:pt idx="16">
                  <c:v>567</c:v>
                </c:pt>
                <c:pt idx="17">
                  <c:v>575</c:v>
                </c:pt>
                <c:pt idx="18">
                  <c:v>585</c:v>
                </c:pt>
                <c:pt idx="19">
                  <c:v>599</c:v>
                </c:pt>
                <c:pt idx="20">
                  <c:v>610</c:v>
                </c:pt>
                <c:pt idx="21">
                  <c:v>613</c:v>
                </c:pt>
                <c:pt idx="22">
                  <c:v>619</c:v>
                </c:pt>
                <c:pt idx="23">
                  <c:v>627</c:v>
                </c:pt>
                <c:pt idx="24">
                  <c:v>622</c:v>
                </c:pt>
                <c:pt idx="25">
                  <c:v>630</c:v>
                </c:pt>
                <c:pt idx="26">
                  <c:v>617</c:v>
                </c:pt>
                <c:pt idx="27">
                  <c:v>621</c:v>
                </c:pt>
                <c:pt idx="28">
                  <c:v>614</c:v>
                </c:pt>
                <c:pt idx="29">
                  <c:v>611</c:v>
                </c:pt>
                <c:pt idx="30">
                  <c:v>631</c:v>
                </c:pt>
                <c:pt idx="31">
                  <c:v>638</c:v>
                </c:pt>
                <c:pt idx="32">
                  <c:v>644</c:v>
                </c:pt>
                <c:pt idx="33">
                  <c:v>644</c:v>
                </c:pt>
                <c:pt idx="34">
                  <c:v>658</c:v>
                </c:pt>
                <c:pt idx="35">
                  <c:v>676</c:v>
                </c:pt>
                <c:pt idx="36">
                  <c:v>671</c:v>
                </c:pt>
                <c:pt idx="37">
                  <c:v>645</c:v>
                </c:pt>
                <c:pt idx="38">
                  <c:v>663</c:v>
                </c:pt>
                <c:pt idx="39">
                  <c:v>685</c:v>
                </c:pt>
                <c:pt idx="40">
                  <c:v>673</c:v>
                </c:pt>
                <c:pt idx="41">
                  <c:v>680</c:v>
                </c:pt>
                <c:pt idx="42">
                  <c:v>677</c:v>
                </c:pt>
                <c:pt idx="43">
                  <c:v>676</c:v>
                </c:pt>
                <c:pt idx="44">
                  <c:v>689</c:v>
                </c:pt>
                <c:pt idx="45">
                  <c:v>683</c:v>
                </c:pt>
                <c:pt idx="46">
                  <c:v>686</c:v>
                </c:pt>
                <c:pt idx="47">
                  <c:v>680</c:v>
                </c:pt>
                <c:pt idx="48">
                  <c:v>671</c:v>
                </c:pt>
                <c:pt idx="49">
                  <c:v>668</c:v>
                </c:pt>
                <c:pt idx="50">
                  <c:v>668</c:v>
                </c:pt>
                <c:pt idx="51">
                  <c:v>677</c:v>
                </c:pt>
                <c:pt idx="52" formatCode="General">
                  <c:v>678</c:v>
                </c:pt>
                <c:pt idx="53" formatCode="General">
                  <c:v>684</c:v>
                </c:pt>
                <c:pt idx="54" formatCode="General">
                  <c:v>686</c:v>
                </c:pt>
                <c:pt idx="55" formatCode="General">
                  <c:v>692</c:v>
                </c:pt>
                <c:pt idx="56" formatCode="General">
                  <c:v>687</c:v>
                </c:pt>
                <c:pt idx="57" formatCode="General">
                  <c:v>689</c:v>
                </c:pt>
                <c:pt idx="58" formatCode="General">
                  <c:v>668</c:v>
                </c:pt>
                <c:pt idx="59" formatCode="General">
                  <c:v>660</c:v>
                </c:pt>
                <c:pt idx="60" formatCode="General">
                  <c:v>663</c:v>
                </c:pt>
                <c:pt idx="61" formatCode="General">
                  <c:v>646</c:v>
                </c:pt>
                <c:pt idx="62" formatCode="General">
                  <c:v>633</c:v>
                </c:pt>
                <c:pt idx="63" formatCode="General">
                  <c:v>643</c:v>
                </c:pt>
                <c:pt idx="64" formatCode="General">
                  <c:v>652</c:v>
                </c:pt>
                <c:pt idx="65" formatCode="General">
                  <c:v>647</c:v>
                </c:pt>
                <c:pt idx="66" formatCode="General">
                  <c:v>655</c:v>
                </c:pt>
                <c:pt idx="67" formatCode="General">
                  <c:v>669</c:v>
                </c:pt>
                <c:pt idx="68" formatCode="General">
                  <c:v>658</c:v>
                </c:pt>
                <c:pt idx="69" formatCode="General">
                  <c:v>663</c:v>
                </c:pt>
                <c:pt idx="70" formatCode="General">
                  <c:v>665</c:v>
                </c:pt>
                <c:pt idx="71" formatCode="General">
                  <c:v>668</c:v>
                </c:pt>
                <c:pt idx="72" formatCode="General">
                  <c:v>668</c:v>
                </c:pt>
                <c:pt idx="73" formatCode="General">
                  <c:v>681</c:v>
                </c:pt>
                <c:pt idx="74" formatCode="General">
                  <c:v>681</c:v>
                </c:pt>
                <c:pt idx="75" formatCode="General">
                  <c:v>690</c:v>
                </c:pt>
                <c:pt idx="76" formatCode="General">
                  <c:v>689</c:v>
                </c:pt>
                <c:pt idx="77" formatCode="General">
                  <c:v>678</c:v>
                </c:pt>
                <c:pt idx="78" formatCode="General">
                  <c:v>677</c:v>
                </c:pt>
                <c:pt idx="79" formatCode="General">
                  <c:v>674</c:v>
                </c:pt>
                <c:pt idx="80" formatCode="General">
                  <c:v>678</c:v>
                </c:pt>
                <c:pt idx="81" formatCode="General">
                  <c:v>671</c:v>
                </c:pt>
                <c:pt idx="82" formatCode="General">
                  <c:v>672</c:v>
                </c:pt>
                <c:pt idx="83" formatCode="General">
                  <c:v>661</c:v>
                </c:pt>
                <c:pt idx="84" formatCode="General">
                  <c:v>653</c:v>
                </c:pt>
                <c:pt idx="85" formatCode="General">
                  <c:v>655</c:v>
                </c:pt>
                <c:pt idx="86" formatCode="General">
                  <c:v>657</c:v>
                </c:pt>
                <c:pt idx="87" formatCode="General">
                  <c:v>648</c:v>
                </c:pt>
                <c:pt idx="88" formatCode="General">
                  <c:v>638</c:v>
                </c:pt>
                <c:pt idx="89" formatCode="General">
                  <c:v>642</c:v>
                </c:pt>
                <c:pt idx="90" formatCode="General">
                  <c:v>649</c:v>
                </c:pt>
                <c:pt idx="91" formatCode="General">
                  <c:v>652</c:v>
                </c:pt>
                <c:pt idx="92" formatCode="General">
                  <c:v>655</c:v>
                </c:pt>
                <c:pt idx="93" formatCode="General">
                  <c:v>659</c:v>
                </c:pt>
                <c:pt idx="94" formatCode="General">
                  <c:v>667</c:v>
                </c:pt>
                <c:pt idx="95" formatCode="General">
                  <c:v>662</c:v>
                </c:pt>
                <c:pt idx="96" formatCode="General">
                  <c:v>674</c:v>
                </c:pt>
                <c:pt idx="97" formatCode="General">
                  <c:v>680</c:v>
                </c:pt>
                <c:pt idx="98" formatCode="General">
                  <c:v>673</c:v>
                </c:pt>
                <c:pt idx="99" formatCode="General">
                  <c:v>675</c:v>
                </c:pt>
                <c:pt idx="100" formatCode="General">
                  <c:v>672</c:v>
                </c:pt>
                <c:pt idx="101" formatCode="General">
                  <c:v>689</c:v>
                </c:pt>
                <c:pt idx="102" formatCode="General">
                  <c:v>692</c:v>
                </c:pt>
                <c:pt idx="103" formatCode="General">
                  <c:v>692</c:v>
                </c:pt>
                <c:pt idx="104" formatCode="General">
                  <c:v>677</c:v>
                </c:pt>
                <c:pt idx="105" formatCode="General">
                  <c:v>680</c:v>
                </c:pt>
                <c:pt idx="106" formatCode="General">
                  <c:v>694</c:v>
                </c:pt>
                <c:pt idx="107" formatCode="General">
                  <c:v>683</c:v>
                </c:pt>
                <c:pt idx="108" formatCode="General">
                  <c:v>681</c:v>
                </c:pt>
                <c:pt idx="109" formatCode="General">
                  <c:v>688</c:v>
                </c:pt>
                <c:pt idx="110" formatCode="General">
                  <c:v>689</c:v>
                </c:pt>
                <c:pt idx="111" formatCode="General">
                  <c:v>696</c:v>
                </c:pt>
                <c:pt idx="112" formatCode="General">
                  <c:v>682</c:v>
                </c:pt>
                <c:pt idx="113" formatCode="General">
                  <c:v>666</c:v>
                </c:pt>
                <c:pt idx="114" formatCode="General">
                  <c:v>659</c:v>
                </c:pt>
                <c:pt idx="115" formatCode="General">
                  <c:v>657</c:v>
                </c:pt>
                <c:pt idx="116" formatCode="General">
                  <c:v>664</c:v>
                </c:pt>
                <c:pt idx="117" formatCode="General">
                  <c:v>661</c:v>
                </c:pt>
                <c:pt idx="118" formatCode="General">
                  <c:v>661</c:v>
                </c:pt>
                <c:pt idx="119" formatCode="General">
                  <c:v>653</c:v>
                </c:pt>
                <c:pt idx="120" formatCode="General">
                  <c:v>640</c:v>
                </c:pt>
                <c:pt idx="121" formatCode="General">
                  <c:v>620</c:v>
                </c:pt>
                <c:pt idx="122" formatCode="General">
                  <c:v>626</c:v>
                </c:pt>
                <c:pt idx="123" formatCode="General">
                  <c:v>630</c:v>
                </c:pt>
                <c:pt idx="124" formatCode="General">
                  <c:v>635</c:v>
                </c:pt>
                <c:pt idx="125" formatCode="General">
                  <c:v>637</c:v>
                </c:pt>
                <c:pt idx="126" formatCode="General">
                  <c:v>636</c:v>
                </c:pt>
                <c:pt idx="127" formatCode="General">
                  <c:v>618</c:v>
                </c:pt>
                <c:pt idx="128" formatCode="General">
                  <c:v>618</c:v>
                </c:pt>
                <c:pt idx="129" formatCode="General">
                  <c:v>599</c:v>
                </c:pt>
                <c:pt idx="130" formatCode="General">
                  <c:v>599</c:v>
                </c:pt>
                <c:pt idx="131" formatCode="General">
                  <c:v>603</c:v>
                </c:pt>
                <c:pt idx="132" formatCode="General">
                  <c:v>617</c:v>
                </c:pt>
                <c:pt idx="133" formatCode="General">
                  <c:v>618</c:v>
                </c:pt>
                <c:pt idx="134" formatCode="General">
                  <c:v>599</c:v>
                </c:pt>
                <c:pt idx="135" formatCode="General">
                  <c:v>605</c:v>
                </c:pt>
                <c:pt idx="136" formatCode="General">
                  <c:v>600</c:v>
                </c:pt>
                <c:pt idx="137" formatCode="General">
                  <c:v>592</c:v>
                </c:pt>
                <c:pt idx="138" formatCode="General">
                  <c:v>601</c:v>
                </c:pt>
                <c:pt idx="139" formatCode="General">
                  <c:v>592</c:v>
                </c:pt>
                <c:pt idx="140" formatCode="General">
                  <c:v>581</c:v>
                </c:pt>
                <c:pt idx="141" formatCode="General">
                  <c:v>570</c:v>
                </c:pt>
                <c:pt idx="142" formatCode="General">
                  <c:v>577</c:v>
                </c:pt>
                <c:pt idx="143" formatCode="General">
                  <c:v>593</c:v>
                </c:pt>
                <c:pt idx="144" formatCode="General">
                  <c:v>610</c:v>
                </c:pt>
                <c:pt idx="145" formatCode="General">
                  <c:v>624</c:v>
                </c:pt>
                <c:pt idx="146" formatCode="General">
                  <c:v>630</c:v>
                </c:pt>
                <c:pt idx="147" formatCode="General">
                  <c:v>636</c:v>
                </c:pt>
                <c:pt idx="148" formatCode="General">
                  <c:v>614</c:v>
                </c:pt>
                <c:pt idx="149" formatCode="General">
                  <c:v>608</c:v>
                </c:pt>
                <c:pt idx="150" formatCode="General">
                  <c:v>604</c:v>
                </c:pt>
                <c:pt idx="151" formatCode="General">
                  <c:v>621</c:v>
                </c:pt>
                <c:pt idx="152" formatCode="General">
                  <c:v>618</c:v>
                </c:pt>
                <c:pt idx="153" formatCode="General">
                  <c:v>615</c:v>
                </c:pt>
                <c:pt idx="154" formatCode="General">
                  <c:v>625</c:v>
                </c:pt>
                <c:pt idx="155" formatCode="General">
                  <c:v>622</c:v>
                </c:pt>
                <c:pt idx="156" formatCode="General">
                  <c:v>624</c:v>
                </c:pt>
                <c:pt idx="157" formatCode="General">
                  <c:v>629</c:v>
                </c:pt>
                <c:pt idx="158" formatCode="General">
                  <c:v>615</c:v>
                </c:pt>
                <c:pt idx="159" formatCode="General">
                  <c:v>602</c:v>
                </c:pt>
                <c:pt idx="160" formatCode="General">
                  <c:v>609</c:v>
                </c:pt>
                <c:pt idx="161" formatCode="General">
                  <c:v>614</c:v>
                </c:pt>
                <c:pt idx="162" formatCode="General">
                  <c:v>611</c:v>
                </c:pt>
                <c:pt idx="163" formatCode="General">
                  <c:v>625</c:v>
                </c:pt>
                <c:pt idx="164" formatCode="General">
                  <c:v>636</c:v>
                </c:pt>
                <c:pt idx="165" formatCode="General">
                  <c:v>631</c:v>
                </c:pt>
                <c:pt idx="166" formatCode="General">
                  <c:v>631</c:v>
                </c:pt>
                <c:pt idx="167" formatCode="General">
                  <c:v>645</c:v>
                </c:pt>
                <c:pt idx="168" formatCode="General">
                  <c:v>625</c:v>
                </c:pt>
                <c:pt idx="169" formatCode="General">
                  <c:v>613</c:v>
                </c:pt>
                <c:pt idx="170" formatCode="General">
                  <c:v>616</c:v>
                </c:pt>
                <c:pt idx="171" formatCode="General">
                  <c:v>610</c:v>
                </c:pt>
                <c:pt idx="172" formatCode="General">
                  <c:v>617</c:v>
                </c:pt>
                <c:pt idx="173" formatCode="General">
                  <c:v>621</c:v>
                </c:pt>
                <c:pt idx="174" formatCode="General">
                  <c:v>617</c:v>
                </c:pt>
                <c:pt idx="175" formatCode="General">
                  <c:v>611</c:v>
                </c:pt>
                <c:pt idx="176" formatCode="General">
                  <c:v>607</c:v>
                </c:pt>
                <c:pt idx="177" formatCode="General">
                  <c:v>613</c:v>
                </c:pt>
                <c:pt idx="178" formatCode="General">
                  <c:v>637</c:v>
                </c:pt>
                <c:pt idx="179" formatCode="General">
                  <c:v>622</c:v>
                </c:pt>
                <c:pt idx="180" formatCode="General">
                  <c:v>608</c:v>
                </c:pt>
                <c:pt idx="181" formatCode="General">
                  <c:v>607</c:v>
                </c:pt>
                <c:pt idx="182" formatCode="General">
                  <c:v>606</c:v>
                </c:pt>
                <c:pt idx="183" formatCode="General">
                  <c:v>612</c:v>
                </c:pt>
                <c:pt idx="184" formatCode="General">
                  <c:v>619</c:v>
                </c:pt>
                <c:pt idx="185" formatCode="General">
                  <c:v>610</c:v>
                </c:pt>
                <c:pt idx="186" formatCode="General">
                  <c:v>611</c:v>
                </c:pt>
                <c:pt idx="187" formatCode="General">
                  <c:v>601</c:v>
                </c:pt>
                <c:pt idx="188" formatCode="General">
                  <c:v>595</c:v>
                </c:pt>
                <c:pt idx="189" formatCode="General">
                  <c:v>591</c:v>
                </c:pt>
                <c:pt idx="190" formatCode="General">
                  <c:v>591</c:v>
                </c:pt>
                <c:pt idx="191" formatCode="General">
                  <c:v>593</c:v>
                </c:pt>
                <c:pt idx="192" formatCode="General">
                  <c:v>576</c:v>
                </c:pt>
                <c:pt idx="193" formatCode="General">
                  <c:v>582</c:v>
                </c:pt>
                <c:pt idx="194" formatCode="General">
                  <c:v>587</c:v>
                </c:pt>
                <c:pt idx="195" formatCode="General">
                  <c:v>583</c:v>
                </c:pt>
                <c:pt idx="196" formatCode="General">
                  <c:v>582</c:v>
                </c:pt>
                <c:pt idx="197" formatCode="General">
                  <c:v>598</c:v>
                </c:pt>
                <c:pt idx="198" formatCode="General">
                  <c:v>600</c:v>
                </c:pt>
                <c:pt idx="199" formatCode="General">
                  <c:v>601</c:v>
                </c:pt>
                <c:pt idx="200" formatCode="General">
                  <c:v>607</c:v>
                </c:pt>
                <c:pt idx="201" formatCode="General">
                  <c:v>608</c:v>
                </c:pt>
                <c:pt idx="202" formatCode="General">
                  <c:v>604</c:v>
                </c:pt>
                <c:pt idx="203" formatCode="General">
                  <c:v>608</c:v>
                </c:pt>
                <c:pt idx="204" formatCode="General">
                  <c:v>603</c:v>
                </c:pt>
                <c:pt idx="205" formatCode="General">
                  <c:v>600</c:v>
                </c:pt>
                <c:pt idx="206" formatCode="General">
                  <c:v>601</c:v>
                </c:pt>
                <c:pt idx="207" formatCode="General">
                  <c:v>605</c:v>
                </c:pt>
                <c:pt idx="208" formatCode="General">
                  <c:v>596</c:v>
                </c:pt>
                <c:pt idx="209" formatCode="General">
                  <c:v>601</c:v>
                </c:pt>
                <c:pt idx="210" formatCode="General">
                  <c:v>602</c:v>
                </c:pt>
                <c:pt idx="211" formatCode="General">
                  <c:v>605</c:v>
                </c:pt>
                <c:pt idx="212" formatCode="General">
                  <c:v>607</c:v>
                </c:pt>
                <c:pt idx="213" formatCode="General">
                  <c:v>611</c:v>
                </c:pt>
                <c:pt idx="214" formatCode="General">
                  <c:v>618</c:v>
                </c:pt>
                <c:pt idx="215" formatCode="General">
                  <c:v>621</c:v>
                </c:pt>
                <c:pt idx="216" formatCode="General">
                  <c:v>613</c:v>
                </c:pt>
                <c:pt idx="217" formatCode="General">
                  <c:v>624</c:v>
                </c:pt>
                <c:pt idx="218" formatCode="General">
                  <c:v>619</c:v>
                </c:pt>
                <c:pt idx="219" formatCode="General">
                  <c:v>622</c:v>
                </c:pt>
                <c:pt idx="220" formatCode="General">
                  <c:v>624</c:v>
                </c:pt>
                <c:pt idx="221" formatCode="General">
                  <c:v>617</c:v>
                </c:pt>
                <c:pt idx="222" formatCode="General">
                  <c:v>626</c:v>
                </c:pt>
                <c:pt idx="223" formatCode="General">
                  <c:v>621</c:v>
                </c:pt>
                <c:pt idx="224" formatCode="General">
                  <c:v>627</c:v>
                </c:pt>
                <c:pt idx="225" formatCode="General">
                  <c:v>608</c:v>
                </c:pt>
                <c:pt idx="226" formatCode="General">
                  <c:v>603</c:v>
                </c:pt>
                <c:pt idx="227" formatCode="General">
                  <c:v>609</c:v>
                </c:pt>
                <c:pt idx="228" formatCode="General">
                  <c:v>611</c:v>
                </c:pt>
                <c:pt idx="229" formatCode="General">
                  <c:v>604</c:v>
                </c:pt>
                <c:pt idx="230" formatCode="General">
                  <c:v>607</c:v>
                </c:pt>
                <c:pt idx="231" formatCode="General">
                  <c:v>607</c:v>
                </c:pt>
                <c:pt idx="232" formatCode="General">
                  <c:v>605</c:v>
                </c:pt>
                <c:pt idx="233" formatCode="General">
                  <c:v>609</c:v>
                </c:pt>
                <c:pt idx="234" formatCode="General">
                  <c:v>606</c:v>
                </c:pt>
                <c:pt idx="235" formatCode="General">
                  <c:v>610</c:v>
                </c:pt>
                <c:pt idx="236" formatCode="General">
                  <c:v>596</c:v>
                </c:pt>
                <c:pt idx="237" formatCode="General">
                  <c:v>596</c:v>
                </c:pt>
                <c:pt idx="238" formatCode="General">
                  <c:v>591</c:v>
                </c:pt>
                <c:pt idx="239" formatCode="General">
                  <c:v>592</c:v>
                </c:pt>
                <c:pt idx="240" formatCode="General">
                  <c:v>587</c:v>
                </c:pt>
                <c:pt idx="241" formatCode="General">
                  <c:v>587</c:v>
                </c:pt>
                <c:pt idx="242" formatCode="General">
                  <c:v>587</c:v>
                </c:pt>
                <c:pt idx="243" formatCode="General">
                  <c:v>581</c:v>
                </c:pt>
                <c:pt idx="244" formatCode="General">
                  <c:v>588</c:v>
                </c:pt>
                <c:pt idx="245" formatCode="General">
                  <c:v>589</c:v>
                </c:pt>
                <c:pt idx="246" formatCode="General">
                  <c:v>586</c:v>
                </c:pt>
                <c:pt idx="247" formatCode="General">
                  <c:v>588</c:v>
                </c:pt>
                <c:pt idx="248" formatCode="General">
                  <c:v>579</c:v>
                </c:pt>
                <c:pt idx="249" formatCode="General">
                  <c:v>586</c:v>
                </c:pt>
                <c:pt idx="250" formatCode="General">
                  <c:v>585</c:v>
                </c:pt>
                <c:pt idx="251" formatCode="General">
                  <c:v>580</c:v>
                </c:pt>
                <c:pt idx="252" formatCode="General">
                  <c:v>584</c:v>
                </c:pt>
                <c:pt idx="253" formatCode="General">
                  <c:v>584</c:v>
                </c:pt>
                <c:pt idx="254" formatCode="General">
                  <c:v>585</c:v>
                </c:pt>
                <c:pt idx="255" formatCode="General">
                  <c:v>598</c:v>
                </c:pt>
                <c:pt idx="256" formatCode="General">
                  <c:v>598</c:v>
                </c:pt>
                <c:pt idx="257" formatCode="General">
                  <c:v>602</c:v>
                </c:pt>
                <c:pt idx="258" formatCode="General">
                  <c:v>602</c:v>
                </c:pt>
                <c:pt idx="259" formatCode="General">
                  <c:v>592</c:v>
                </c:pt>
                <c:pt idx="260" formatCode="General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8-4ECC-BF15-AC335293E93C}"/>
            </c:ext>
          </c:extLst>
        </c:ser>
        <c:ser>
          <c:idx val="0"/>
          <c:order val="2"/>
          <c:tx>
            <c:strRef>
              <c:f>'Figure 2'!$D$1</c:f>
              <c:strCache>
                <c:ptCount val="1"/>
                <c:pt idx="0">
                  <c:v>United States (Gulf)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2'!$A$2:$A$262</c:f>
              <c:numCache>
                <c:formatCode>m/d/yyyy</c:formatCode>
                <c:ptCount val="261"/>
                <c:pt idx="0">
                  <c:v>44566</c:v>
                </c:pt>
                <c:pt idx="1">
                  <c:v>44567</c:v>
                </c:pt>
                <c:pt idx="2">
                  <c:v>44568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44711</c:v>
                </c:pt>
                <c:pt idx="104">
                  <c:v>44712</c:v>
                </c:pt>
                <c:pt idx="105">
                  <c:v>44713</c:v>
                </c:pt>
                <c:pt idx="106">
                  <c:v>44714</c:v>
                </c:pt>
                <c:pt idx="107">
                  <c:v>44715</c:v>
                </c:pt>
                <c:pt idx="108">
                  <c:v>44718</c:v>
                </c:pt>
                <c:pt idx="109">
                  <c:v>44719</c:v>
                </c:pt>
                <c:pt idx="110">
                  <c:v>44720</c:v>
                </c:pt>
                <c:pt idx="111">
                  <c:v>44721</c:v>
                </c:pt>
                <c:pt idx="112">
                  <c:v>44722</c:v>
                </c:pt>
                <c:pt idx="113">
                  <c:v>44725</c:v>
                </c:pt>
                <c:pt idx="114">
                  <c:v>44726</c:v>
                </c:pt>
                <c:pt idx="115">
                  <c:v>44727</c:v>
                </c:pt>
                <c:pt idx="116">
                  <c:v>44728</c:v>
                </c:pt>
                <c:pt idx="117">
                  <c:v>44729</c:v>
                </c:pt>
                <c:pt idx="118">
                  <c:v>44732</c:v>
                </c:pt>
                <c:pt idx="119">
                  <c:v>44733</c:v>
                </c:pt>
                <c:pt idx="120">
                  <c:v>44734</c:v>
                </c:pt>
                <c:pt idx="121">
                  <c:v>44735</c:v>
                </c:pt>
                <c:pt idx="122">
                  <c:v>44736</c:v>
                </c:pt>
                <c:pt idx="123">
                  <c:v>44739</c:v>
                </c:pt>
                <c:pt idx="124">
                  <c:v>44740</c:v>
                </c:pt>
                <c:pt idx="125">
                  <c:v>44741</c:v>
                </c:pt>
                <c:pt idx="126">
                  <c:v>44742</c:v>
                </c:pt>
                <c:pt idx="127">
                  <c:v>44743</c:v>
                </c:pt>
                <c:pt idx="128">
                  <c:v>44746</c:v>
                </c:pt>
                <c:pt idx="129">
                  <c:v>44747</c:v>
                </c:pt>
                <c:pt idx="130">
                  <c:v>44748</c:v>
                </c:pt>
                <c:pt idx="131">
                  <c:v>44749</c:v>
                </c:pt>
                <c:pt idx="132">
                  <c:v>44750</c:v>
                </c:pt>
                <c:pt idx="133">
                  <c:v>44753</c:v>
                </c:pt>
                <c:pt idx="134">
                  <c:v>44754</c:v>
                </c:pt>
                <c:pt idx="135">
                  <c:v>44755</c:v>
                </c:pt>
                <c:pt idx="136">
                  <c:v>44756</c:v>
                </c:pt>
                <c:pt idx="137">
                  <c:v>44757</c:v>
                </c:pt>
                <c:pt idx="138">
                  <c:v>44760</c:v>
                </c:pt>
                <c:pt idx="139">
                  <c:v>44761</c:v>
                </c:pt>
                <c:pt idx="140">
                  <c:v>44762</c:v>
                </c:pt>
                <c:pt idx="141">
                  <c:v>44763</c:v>
                </c:pt>
                <c:pt idx="142">
                  <c:v>44764</c:v>
                </c:pt>
                <c:pt idx="143">
                  <c:v>44767</c:v>
                </c:pt>
                <c:pt idx="144">
                  <c:v>44768</c:v>
                </c:pt>
                <c:pt idx="145">
                  <c:v>44769</c:v>
                </c:pt>
                <c:pt idx="146">
                  <c:v>44770</c:v>
                </c:pt>
                <c:pt idx="147">
                  <c:v>44771</c:v>
                </c:pt>
                <c:pt idx="148">
                  <c:v>44774</c:v>
                </c:pt>
                <c:pt idx="149">
                  <c:v>44775</c:v>
                </c:pt>
                <c:pt idx="150">
                  <c:v>44776</c:v>
                </c:pt>
                <c:pt idx="151">
                  <c:v>44777</c:v>
                </c:pt>
                <c:pt idx="152">
                  <c:v>44778</c:v>
                </c:pt>
                <c:pt idx="153">
                  <c:v>44781</c:v>
                </c:pt>
                <c:pt idx="154">
                  <c:v>44782</c:v>
                </c:pt>
                <c:pt idx="155">
                  <c:v>44783</c:v>
                </c:pt>
                <c:pt idx="156">
                  <c:v>44784</c:v>
                </c:pt>
                <c:pt idx="157">
                  <c:v>44785</c:v>
                </c:pt>
                <c:pt idx="158">
                  <c:v>44788</c:v>
                </c:pt>
                <c:pt idx="159">
                  <c:v>44789</c:v>
                </c:pt>
                <c:pt idx="160">
                  <c:v>44790</c:v>
                </c:pt>
                <c:pt idx="161">
                  <c:v>44791</c:v>
                </c:pt>
                <c:pt idx="162">
                  <c:v>44792</c:v>
                </c:pt>
                <c:pt idx="163">
                  <c:v>44795</c:v>
                </c:pt>
                <c:pt idx="164">
                  <c:v>44796</c:v>
                </c:pt>
                <c:pt idx="165">
                  <c:v>44797</c:v>
                </c:pt>
                <c:pt idx="166">
                  <c:v>44798</c:v>
                </c:pt>
                <c:pt idx="167">
                  <c:v>44799</c:v>
                </c:pt>
                <c:pt idx="168">
                  <c:v>44802</c:v>
                </c:pt>
                <c:pt idx="169">
                  <c:v>44803</c:v>
                </c:pt>
                <c:pt idx="170">
                  <c:v>44804</c:v>
                </c:pt>
                <c:pt idx="171">
                  <c:v>44805</c:v>
                </c:pt>
                <c:pt idx="172">
                  <c:v>44806</c:v>
                </c:pt>
                <c:pt idx="173">
                  <c:v>44809</c:v>
                </c:pt>
                <c:pt idx="174">
                  <c:v>44810</c:v>
                </c:pt>
                <c:pt idx="175">
                  <c:v>44811</c:v>
                </c:pt>
                <c:pt idx="176">
                  <c:v>44812</c:v>
                </c:pt>
                <c:pt idx="177">
                  <c:v>44813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44823</c:v>
                </c:pt>
                <c:pt idx="184">
                  <c:v>44824</c:v>
                </c:pt>
                <c:pt idx="185">
                  <c:v>44825</c:v>
                </c:pt>
                <c:pt idx="186">
                  <c:v>44826</c:v>
                </c:pt>
                <c:pt idx="187">
                  <c:v>44827</c:v>
                </c:pt>
                <c:pt idx="188">
                  <c:v>44830</c:v>
                </c:pt>
                <c:pt idx="189">
                  <c:v>44831</c:v>
                </c:pt>
                <c:pt idx="190">
                  <c:v>44832</c:v>
                </c:pt>
                <c:pt idx="191">
                  <c:v>44833</c:v>
                </c:pt>
                <c:pt idx="192">
                  <c:v>44834</c:v>
                </c:pt>
                <c:pt idx="193">
                  <c:v>44837</c:v>
                </c:pt>
                <c:pt idx="194">
                  <c:v>44838</c:v>
                </c:pt>
                <c:pt idx="195">
                  <c:v>44839</c:v>
                </c:pt>
                <c:pt idx="196">
                  <c:v>44840</c:v>
                </c:pt>
                <c:pt idx="197">
                  <c:v>44841</c:v>
                </c:pt>
                <c:pt idx="198">
                  <c:v>44844</c:v>
                </c:pt>
                <c:pt idx="199">
                  <c:v>44845</c:v>
                </c:pt>
                <c:pt idx="200">
                  <c:v>44846</c:v>
                </c:pt>
                <c:pt idx="201">
                  <c:v>44847</c:v>
                </c:pt>
                <c:pt idx="202">
                  <c:v>44848</c:v>
                </c:pt>
                <c:pt idx="203">
                  <c:v>44851</c:v>
                </c:pt>
                <c:pt idx="204">
                  <c:v>44852</c:v>
                </c:pt>
                <c:pt idx="205">
                  <c:v>44853</c:v>
                </c:pt>
                <c:pt idx="206">
                  <c:v>44854</c:v>
                </c:pt>
                <c:pt idx="207">
                  <c:v>44855</c:v>
                </c:pt>
                <c:pt idx="208">
                  <c:v>44858</c:v>
                </c:pt>
                <c:pt idx="209">
                  <c:v>44859</c:v>
                </c:pt>
                <c:pt idx="210">
                  <c:v>44860</c:v>
                </c:pt>
                <c:pt idx="211">
                  <c:v>44861</c:v>
                </c:pt>
                <c:pt idx="212">
                  <c:v>44862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44872</c:v>
                </c:pt>
                <c:pt idx="219">
                  <c:v>44873</c:v>
                </c:pt>
                <c:pt idx="220">
                  <c:v>44874</c:v>
                </c:pt>
                <c:pt idx="221">
                  <c:v>44875</c:v>
                </c:pt>
                <c:pt idx="222">
                  <c:v>44876</c:v>
                </c:pt>
                <c:pt idx="223">
                  <c:v>44879</c:v>
                </c:pt>
                <c:pt idx="224">
                  <c:v>44880</c:v>
                </c:pt>
                <c:pt idx="225">
                  <c:v>44881</c:v>
                </c:pt>
                <c:pt idx="226">
                  <c:v>44882</c:v>
                </c:pt>
                <c:pt idx="227">
                  <c:v>44883</c:v>
                </c:pt>
                <c:pt idx="228">
                  <c:v>44886</c:v>
                </c:pt>
                <c:pt idx="229">
                  <c:v>44887</c:v>
                </c:pt>
                <c:pt idx="230">
                  <c:v>44888</c:v>
                </c:pt>
                <c:pt idx="231">
                  <c:v>44889</c:v>
                </c:pt>
                <c:pt idx="232">
                  <c:v>44890</c:v>
                </c:pt>
                <c:pt idx="233">
                  <c:v>44893</c:v>
                </c:pt>
                <c:pt idx="234">
                  <c:v>44894</c:v>
                </c:pt>
                <c:pt idx="235">
                  <c:v>44895</c:v>
                </c:pt>
                <c:pt idx="236">
                  <c:v>44896</c:v>
                </c:pt>
                <c:pt idx="237">
                  <c:v>44897</c:v>
                </c:pt>
                <c:pt idx="238">
                  <c:v>44900</c:v>
                </c:pt>
                <c:pt idx="239">
                  <c:v>44901</c:v>
                </c:pt>
                <c:pt idx="240">
                  <c:v>44902</c:v>
                </c:pt>
                <c:pt idx="241">
                  <c:v>44903</c:v>
                </c:pt>
                <c:pt idx="242">
                  <c:v>44904</c:v>
                </c:pt>
                <c:pt idx="243">
                  <c:v>44907</c:v>
                </c:pt>
                <c:pt idx="244">
                  <c:v>44908</c:v>
                </c:pt>
                <c:pt idx="245">
                  <c:v>44909</c:v>
                </c:pt>
                <c:pt idx="246">
                  <c:v>44910</c:v>
                </c:pt>
                <c:pt idx="247">
                  <c:v>44911</c:v>
                </c:pt>
                <c:pt idx="248">
                  <c:v>44914</c:v>
                </c:pt>
                <c:pt idx="249">
                  <c:v>44915</c:v>
                </c:pt>
                <c:pt idx="250">
                  <c:v>44916</c:v>
                </c:pt>
                <c:pt idx="251">
                  <c:v>44917</c:v>
                </c:pt>
                <c:pt idx="252">
                  <c:v>44918</c:v>
                </c:pt>
                <c:pt idx="253">
                  <c:v>44921</c:v>
                </c:pt>
                <c:pt idx="254">
                  <c:v>44922</c:v>
                </c:pt>
                <c:pt idx="255">
                  <c:v>44923</c:v>
                </c:pt>
                <c:pt idx="256">
                  <c:v>44924</c:v>
                </c:pt>
                <c:pt idx="257">
                  <c:v>44925</c:v>
                </c:pt>
                <c:pt idx="258">
                  <c:v>44928</c:v>
                </c:pt>
                <c:pt idx="259">
                  <c:v>44929</c:v>
                </c:pt>
                <c:pt idx="260">
                  <c:v>44930</c:v>
                </c:pt>
              </c:numCache>
            </c:numRef>
          </c:cat>
          <c:val>
            <c:numRef>
              <c:f>'Figure 2'!$D$2:$D$262</c:f>
              <c:numCache>
                <c:formatCode>#,##0</c:formatCode>
                <c:ptCount val="261"/>
                <c:pt idx="0">
                  <c:v>553</c:v>
                </c:pt>
                <c:pt idx="1">
                  <c:v>552</c:v>
                </c:pt>
                <c:pt idx="2">
                  <c:v>560</c:v>
                </c:pt>
                <c:pt idx="3">
                  <c:v>553</c:v>
                </c:pt>
                <c:pt idx="4">
                  <c:v>554</c:v>
                </c:pt>
                <c:pt idx="5">
                  <c:v>560</c:v>
                </c:pt>
                <c:pt idx="6">
                  <c:v>554</c:v>
                </c:pt>
                <c:pt idx="7">
                  <c:v>551</c:v>
                </c:pt>
                <c:pt idx="8">
                  <c:v>551</c:v>
                </c:pt>
                <c:pt idx="9">
                  <c:v>548</c:v>
                </c:pt>
                <c:pt idx="10">
                  <c:v>561</c:v>
                </c:pt>
                <c:pt idx="11">
                  <c:v>573</c:v>
                </c:pt>
                <c:pt idx="12">
                  <c:v>569</c:v>
                </c:pt>
                <c:pt idx="13">
                  <c:v>565</c:v>
                </c:pt>
                <c:pt idx="14">
                  <c:v>569</c:v>
                </c:pt>
                <c:pt idx="15">
                  <c:v>581</c:v>
                </c:pt>
                <c:pt idx="16">
                  <c:v>584</c:v>
                </c:pt>
                <c:pt idx="17">
                  <c:v>592</c:v>
                </c:pt>
                <c:pt idx="18">
                  <c:v>597</c:v>
                </c:pt>
                <c:pt idx="19">
                  <c:v>611</c:v>
                </c:pt>
                <c:pt idx="20">
                  <c:v>615</c:v>
                </c:pt>
                <c:pt idx="21">
                  <c:v>617</c:v>
                </c:pt>
                <c:pt idx="22">
                  <c:v>620</c:v>
                </c:pt>
                <c:pt idx="23">
                  <c:v>631</c:v>
                </c:pt>
                <c:pt idx="24">
                  <c:v>628</c:v>
                </c:pt>
                <c:pt idx="25">
                  <c:v>637</c:v>
                </c:pt>
                <c:pt idx="26">
                  <c:v>630</c:v>
                </c:pt>
                <c:pt idx="27">
                  <c:v>633</c:v>
                </c:pt>
                <c:pt idx="28">
                  <c:v>628</c:v>
                </c:pt>
                <c:pt idx="29">
                  <c:v>619</c:v>
                </c:pt>
                <c:pt idx="30">
                  <c:v>629</c:v>
                </c:pt>
                <c:pt idx="31">
                  <c:v>631</c:v>
                </c:pt>
                <c:pt idx="32">
                  <c:v>634</c:v>
                </c:pt>
                <c:pt idx="33">
                  <c:v>634</c:v>
                </c:pt>
                <c:pt idx="34">
                  <c:v>647</c:v>
                </c:pt>
                <c:pt idx="35">
                  <c:v>661</c:v>
                </c:pt>
                <c:pt idx="36">
                  <c:v>656</c:v>
                </c:pt>
                <c:pt idx="37">
                  <c:v>630</c:v>
                </c:pt>
                <c:pt idx="38">
                  <c:v>650</c:v>
                </c:pt>
                <c:pt idx="39">
                  <c:v>673</c:v>
                </c:pt>
                <c:pt idx="40">
                  <c:v>662</c:v>
                </c:pt>
                <c:pt idx="41">
                  <c:v>664</c:v>
                </c:pt>
                <c:pt idx="42">
                  <c:v>651</c:v>
                </c:pt>
                <c:pt idx="43">
                  <c:v>652</c:v>
                </c:pt>
                <c:pt idx="44">
                  <c:v>669</c:v>
                </c:pt>
                <c:pt idx="45">
                  <c:v>669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676</c:v>
                </c:pt>
                <c:pt idx="50">
                  <c:v>672</c:v>
                </c:pt>
                <c:pt idx="51">
                  <c:v>679</c:v>
                </c:pt>
                <c:pt idx="52">
                  <c:v>679</c:v>
                </c:pt>
                <c:pt idx="53" formatCode="General">
                  <c:v>687</c:v>
                </c:pt>
                <c:pt idx="54" formatCode="General">
                  <c:v>686</c:v>
                </c:pt>
                <c:pt idx="55" formatCode="General">
                  <c:v>690</c:v>
                </c:pt>
                <c:pt idx="56" formatCode="General">
                  <c:v>684</c:v>
                </c:pt>
                <c:pt idx="57" formatCode="General">
                  <c:v>686</c:v>
                </c:pt>
                <c:pt idx="58" formatCode="General">
                  <c:v>668</c:v>
                </c:pt>
                <c:pt idx="59" formatCode="General">
                  <c:v>662</c:v>
                </c:pt>
                <c:pt idx="60" formatCode="General">
                  <c:v>670</c:v>
                </c:pt>
                <c:pt idx="61" formatCode="General">
                  <c:v>653</c:v>
                </c:pt>
                <c:pt idx="62" formatCode="General">
                  <c:v>640</c:v>
                </c:pt>
                <c:pt idx="63" formatCode="General">
                  <c:v>648</c:v>
                </c:pt>
                <c:pt idx="64" formatCode="General">
                  <c:v>658</c:v>
                </c:pt>
                <c:pt idx="65" formatCode="General">
                  <c:v>654</c:v>
                </c:pt>
                <c:pt idx="66" formatCode="General">
                  <c:v>662</c:v>
                </c:pt>
                <c:pt idx="67" formatCode="General">
                  <c:v>678</c:v>
                </c:pt>
                <c:pt idx="68" formatCode="General">
                  <c:v>665</c:v>
                </c:pt>
                <c:pt idx="69" formatCode="General">
                  <c:v>669</c:v>
                </c:pt>
                <c:pt idx="70" formatCode="General">
                  <c:v>669</c:v>
                </c:pt>
                <c:pt idx="71" formatCode="General">
                  <c:v>671</c:v>
                </c:pt>
                <c:pt idx="72" formatCode="General">
                  <c:v>671</c:v>
                </c:pt>
                <c:pt idx="73" formatCode="General">
                  <c:v>680</c:v>
                </c:pt>
                <c:pt idx="74" formatCode="General">
                  <c:v>680</c:v>
                </c:pt>
                <c:pt idx="75" formatCode="General">
                  <c:v>691</c:v>
                </c:pt>
                <c:pt idx="76" formatCode="General">
                  <c:v>690</c:v>
                </c:pt>
                <c:pt idx="77" formatCode="General">
                  <c:v>678</c:v>
                </c:pt>
                <c:pt idx="78" formatCode="General">
                  <c:v>674</c:v>
                </c:pt>
                <c:pt idx="79" formatCode="General">
                  <c:v>674</c:v>
                </c:pt>
                <c:pt idx="80" formatCode="General">
                  <c:v>682</c:v>
                </c:pt>
                <c:pt idx="81" formatCode="General">
                  <c:v>676</c:v>
                </c:pt>
                <c:pt idx="82" formatCode="General">
                  <c:v>676</c:v>
                </c:pt>
                <c:pt idx="83" formatCode="General">
                  <c:v>664</c:v>
                </c:pt>
                <c:pt idx="84" formatCode="General">
                  <c:v>658</c:v>
                </c:pt>
                <c:pt idx="85" formatCode="General">
                  <c:v>662</c:v>
                </c:pt>
                <c:pt idx="86" formatCode="General">
                  <c:v>665</c:v>
                </c:pt>
                <c:pt idx="87" formatCode="General">
                  <c:v>657</c:v>
                </c:pt>
                <c:pt idx="88" formatCode="General">
                  <c:v>644</c:v>
                </c:pt>
                <c:pt idx="89" formatCode="General">
                  <c:v>647</c:v>
                </c:pt>
                <c:pt idx="90" formatCode="General">
                  <c:v>655</c:v>
                </c:pt>
                <c:pt idx="91" formatCode="General">
                  <c:v>658</c:v>
                </c:pt>
                <c:pt idx="92" formatCode="General">
                  <c:v>656</c:v>
                </c:pt>
                <c:pt idx="93" formatCode="General">
                  <c:v>660</c:v>
                </c:pt>
                <c:pt idx="94" formatCode="General">
                  <c:v>668</c:v>
                </c:pt>
                <c:pt idx="95" formatCode="General">
                  <c:v>662</c:v>
                </c:pt>
                <c:pt idx="96" formatCode="General">
                  <c:v>673</c:v>
                </c:pt>
                <c:pt idx="97" formatCode="General">
                  <c:v>680</c:v>
                </c:pt>
                <c:pt idx="98" formatCode="General">
                  <c:v>673</c:v>
                </c:pt>
                <c:pt idx="99" formatCode="General">
                  <c:v>675</c:v>
                </c:pt>
                <c:pt idx="100" formatCode="General">
                  <c:v>671</c:v>
                </c:pt>
                <c:pt idx="101" formatCode="General">
                  <c:v>688</c:v>
                </c:pt>
                <c:pt idx="102" formatCode="General">
                  <c:v>689</c:v>
                </c:pt>
                <c:pt idx="103" formatCode="General">
                  <c:v>689</c:v>
                </c:pt>
                <c:pt idx="104" formatCode="General">
                  <c:v>674</c:v>
                </c:pt>
                <c:pt idx="105" formatCode="General">
                  <c:v>676</c:v>
                </c:pt>
                <c:pt idx="106" formatCode="General">
                  <c:v>691</c:v>
                </c:pt>
                <c:pt idx="107" formatCode="General">
                  <c:v>679</c:v>
                </c:pt>
                <c:pt idx="108" formatCode="General">
                  <c:v>679</c:v>
                </c:pt>
                <c:pt idx="109" formatCode="General">
                  <c:v>690</c:v>
                </c:pt>
                <c:pt idx="110" formatCode="General">
                  <c:v>694</c:v>
                </c:pt>
                <c:pt idx="111" formatCode="General">
                  <c:v>703</c:v>
                </c:pt>
                <c:pt idx="112" formatCode="General">
                  <c:v>693</c:v>
                </c:pt>
                <c:pt idx="113" formatCode="General">
                  <c:v>679</c:v>
                </c:pt>
                <c:pt idx="114" formatCode="General">
                  <c:v>676</c:v>
                </c:pt>
                <c:pt idx="115" formatCode="General">
                  <c:v>670</c:v>
                </c:pt>
                <c:pt idx="116" formatCode="General">
                  <c:v>676</c:v>
                </c:pt>
                <c:pt idx="117" formatCode="General">
                  <c:v>673</c:v>
                </c:pt>
                <c:pt idx="118" formatCode="General">
                  <c:v>673</c:v>
                </c:pt>
                <c:pt idx="119" formatCode="General">
                  <c:v>665</c:v>
                </c:pt>
                <c:pt idx="120" formatCode="General">
                  <c:v>653</c:v>
                </c:pt>
                <c:pt idx="121" formatCode="General">
                  <c:v>630</c:v>
                </c:pt>
                <c:pt idx="122" formatCode="General">
                  <c:v>636</c:v>
                </c:pt>
                <c:pt idx="123" formatCode="General">
                  <c:v>643</c:v>
                </c:pt>
                <c:pt idx="124" formatCode="General">
                  <c:v>650</c:v>
                </c:pt>
                <c:pt idx="125" formatCode="General">
                  <c:v>654</c:v>
                </c:pt>
                <c:pt idx="126" formatCode="General">
                  <c:v>652</c:v>
                </c:pt>
                <c:pt idx="127" formatCode="General">
                  <c:v>634</c:v>
                </c:pt>
                <c:pt idx="128" formatCode="General">
                  <c:v>634</c:v>
                </c:pt>
                <c:pt idx="129" formatCode="General">
                  <c:v>616</c:v>
                </c:pt>
                <c:pt idx="130" formatCode="General">
                  <c:v>616</c:v>
                </c:pt>
                <c:pt idx="131" formatCode="General">
                  <c:v>620</c:v>
                </c:pt>
                <c:pt idx="132" formatCode="General">
                  <c:v>634</c:v>
                </c:pt>
                <c:pt idx="133" formatCode="General">
                  <c:v>632</c:v>
                </c:pt>
                <c:pt idx="134" formatCode="General">
                  <c:v>612</c:v>
                </c:pt>
                <c:pt idx="135" formatCode="General">
                  <c:v>617</c:v>
                </c:pt>
                <c:pt idx="136" formatCode="General">
                  <c:v>612</c:v>
                </c:pt>
                <c:pt idx="137" formatCode="General">
                  <c:v>610</c:v>
                </c:pt>
                <c:pt idx="138" formatCode="General">
                  <c:v>622</c:v>
                </c:pt>
                <c:pt idx="139" formatCode="General">
                  <c:v>611</c:v>
                </c:pt>
                <c:pt idx="140" formatCode="General">
                  <c:v>597</c:v>
                </c:pt>
                <c:pt idx="141" formatCode="General">
                  <c:v>586</c:v>
                </c:pt>
                <c:pt idx="142" formatCode="General">
                  <c:v>591</c:v>
                </c:pt>
                <c:pt idx="143" formatCode="General">
                  <c:v>606</c:v>
                </c:pt>
                <c:pt idx="144" formatCode="General">
                  <c:v>622</c:v>
                </c:pt>
                <c:pt idx="145" formatCode="General">
                  <c:v>635</c:v>
                </c:pt>
                <c:pt idx="146" formatCode="General">
                  <c:v>646</c:v>
                </c:pt>
                <c:pt idx="147" formatCode="General">
                  <c:v>657</c:v>
                </c:pt>
                <c:pt idx="148" formatCode="General">
                  <c:v>641</c:v>
                </c:pt>
                <c:pt idx="149" formatCode="General">
                  <c:v>628</c:v>
                </c:pt>
                <c:pt idx="150" formatCode="General">
                  <c:v>624</c:v>
                </c:pt>
                <c:pt idx="151" formatCode="General">
                  <c:v>607</c:v>
                </c:pt>
                <c:pt idx="152" formatCode="General">
                  <c:v>607</c:v>
                </c:pt>
                <c:pt idx="153" formatCode="General">
                  <c:v>608</c:v>
                </c:pt>
                <c:pt idx="154" formatCode="General">
                  <c:v>625</c:v>
                </c:pt>
                <c:pt idx="155" formatCode="General">
                  <c:v>624</c:v>
                </c:pt>
                <c:pt idx="156" formatCode="General">
                  <c:v>627</c:v>
                </c:pt>
                <c:pt idx="157" formatCode="General">
                  <c:v>632</c:v>
                </c:pt>
                <c:pt idx="158" formatCode="General">
                  <c:v>617</c:v>
                </c:pt>
                <c:pt idx="159" formatCode="General">
                  <c:v>602</c:v>
                </c:pt>
                <c:pt idx="160" formatCode="General">
                  <c:v>610</c:v>
                </c:pt>
                <c:pt idx="161" formatCode="General">
                  <c:v>617</c:v>
                </c:pt>
                <c:pt idx="162" formatCode="General">
                  <c:v>615</c:v>
                </c:pt>
                <c:pt idx="163" formatCode="General">
                  <c:v>631</c:v>
                </c:pt>
                <c:pt idx="164" formatCode="General">
                  <c:v>649</c:v>
                </c:pt>
                <c:pt idx="165" formatCode="General">
                  <c:v>647</c:v>
                </c:pt>
                <c:pt idx="166" formatCode="General">
                  <c:v>644</c:v>
                </c:pt>
                <c:pt idx="167" formatCode="General">
                  <c:v>663</c:v>
                </c:pt>
                <c:pt idx="168" formatCode="General">
                  <c:v>641</c:v>
                </c:pt>
                <c:pt idx="169" formatCode="General">
                  <c:v>633</c:v>
                </c:pt>
                <c:pt idx="170" formatCode="General">
                  <c:v>631</c:v>
                </c:pt>
                <c:pt idx="171" formatCode="General">
                  <c:v>618</c:v>
                </c:pt>
                <c:pt idx="172" formatCode="General">
                  <c:v>629</c:v>
                </c:pt>
                <c:pt idx="173" formatCode="General">
                  <c:v>629</c:v>
                </c:pt>
                <c:pt idx="174" formatCode="General">
                  <c:v>623</c:v>
                </c:pt>
                <c:pt idx="175" formatCode="General">
                  <c:v>617</c:v>
                </c:pt>
                <c:pt idx="176" formatCode="General">
                  <c:v>592</c:v>
                </c:pt>
                <c:pt idx="177" formatCode="General">
                  <c:v>602</c:v>
                </c:pt>
                <c:pt idx="178" formatCode="General">
                  <c:v>626</c:v>
                </c:pt>
                <c:pt idx="179" formatCode="General">
                  <c:v>619</c:v>
                </c:pt>
                <c:pt idx="180" formatCode="General">
                  <c:v>608</c:v>
                </c:pt>
                <c:pt idx="181" formatCode="General">
                  <c:v>607</c:v>
                </c:pt>
                <c:pt idx="182" formatCode="General">
                  <c:v>604</c:v>
                </c:pt>
                <c:pt idx="183" formatCode="General">
                  <c:v>609</c:v>
                </c:pt>
                <c:pt idx="184" formatCode="General">
                  <c:v>615</c:v>
                </c:pt>
                <c:pt idx="185" formatCode="General">
                  <c:v>609</c:v>
                </c:pt>
                <c:pt idx="186" formatCode="General">
                  <c:v>607</c:v>
                </c:pt>
                <c:pt idx="187" formatCode="General">
                  <c:v>596</c:v>
                </c:pt>
                <c:pt idx="188" formatCode="General">
                  <c:v>591</c:v>
                </c:pt>
                <c:pt idx="189" formatCode="General">
                  <c:v>589</c:v>
                </c:pt>
                <c:pt idx="190" formatCode="General">
                  <c:v>590</c:v>
                </c:pt>
                <c:pt idx="191" formatCode="General">
                  <c:v>590</c:v>
                </c:pt>
                <c:pt idx="192" formatCode="General">
                  <c:v>573</c:v>
                </c:pt>
                <c:pt idx="193" formatCode="General">
                  <c:v>577</c:v>
                </c:pt>
                <c:pt idx="194" formatCode="General">
                  <c:v>580</c:v>
                </c:pt>
                <c:pt idx="195" formatCode="General">
                  <c:v>577</c:v>
                </c:pt>
                <c:pt idx="196" formatCode="General">
                  <c:v>572</c:v>
                </c:pt>
                <c:pt idx="197" formatCode="General">
                  <c:v>578</c:v>
                </c:pt>
                <c:pt idx="198" formatCode="General">
                  <c:v>582</c:v>
                </c:pt>
                <c:pt idx="199" formatCode="General">
                  <c:v>588</c:v>
                </c:pt>
                <c:pt idx="200" formatCode="General">
                  <c:v>597</c:v>
                </c:pt>
                <c:pt idx="201" formatCode="General">
                  <c:v>597</c:v>
                </c:pt>
                <c:pt idx="202" formatCode="General">
                  <c:v>593</c:v>
                </c:pt>
                <c:pt idx="203" formatCode="General">
                  <c:v>597</c:v>
                </c:pt>
                <c:pt idx="204" formatCode="General">
                  <c:v>594</c:v>
                </c:pt>
                <c:pt idx="205" formatCode="General">
                  <c:v>596</c:v>
                </c:pt>
                <c:pt idx="206" formatCode="General">
                  <c:v>607</c:v>
                </c:pt>
                <c:pt idx="207" formatCode="General">
                  <c:v>608</c:v>
                </c:pt>
                <c:pt idx="208" formatCode="General">
                  <c:v>600</c:v>
                </c:pt>
                <c:pt idx="209" formatCode="General">
                  <c:v>603</c:v>
                </c:pt>
                <c:pt idx="210" formatCode="General">
                  <c:v>603</c:v>
                </c:pt>
                <c:pt idx="211" formatCode="General">
                  <c:v>603</c:v>
                </c:pt>
                <c:pt idx="212" formatCode="General">
                  <c:v>607</c:v>
                </c:pt>
                <c:pt idx="213" formatCode="General">
                  <c:v>614</c:v>
                </c:pt>
                <c:pt idx="214" formatCode="General">
                  <c:v>625</c:v>
                </c:pt>
                <c:pt idx="215" formatCode="General">
                  <c:v>630</c:v>
                </c:pt>
                <c:pt idx="216" formatCode="General">
                  <c:v>620</c:v>
                </c:pt>
                <c:pt idx="217" formatCode="General">
                  <c:v>629</c:v>
                </c:pt>
                <c:pt idx="218" formatCode="General">
                  <c:v>625</c:v>
                </c:pt>
                <c:pt idx="219" formatCode="General">
                  <c:v>623</c:v>
                </c:pt>
                <c:pt idx="220" formatCode="General">
                  <c:v>622</c:v>
                </c:pt>
                <c:pt idx="221" formatCode="General">
                  <c:v>611</c:v>
                </c:pt>
                <c:pt idx="222" formatCode="General">
                  <c:v>619</c:v>
                </c:pt>
                <c:pt idx="223" formatCode="General">
                  <c:v>614</c:v>
                </c:pt>
                <c:pt idx="224" formatCode="General">
                  <c:v>614</c:v>
                </c:pt>
                <c:pt idx="225" formatCode="General">
                  <c:v>600</c:v>
                </c:pt>
                <c:pt idx="226" formatCode="General">
                  <c:v>594</c:v>
                </c:pt>
                <c:pt idx="227" formatCode="General">
                  <c:v>598</c:v>
                </c:pt>
                <c:pt idx="228" formatCode="General">
                  <c:v>601</c:v>
                </c:pt>
                <c:pt idx="229" formatCode="General">
                  <c:v>595</c:v>
                </c:pt>
                <c:pt idx="230" formatCode="General">
                  <c:v>597</c:v>
                </c:pt>
                <c:pt idx="231" formatCode="General">
                  <c:v>597</c:v>
                </c:pt>
                <c:pt idx="232" formatCode="General">
                  <c:v>598</c:v>
                </c:pt>
                <c:pt idx="233" formatCode="General">
                  <c:v>602</c:v>
                </c:pt>
                <c:pt idx="234" formatCode="General">
                  <c:v>599</c:v>
                </c:pt>
                <c:pt idx="235" formatCode="General">
                  <c:v>601</c:v>
                </c:pt>
                <c:pt idx="236" formatCode="General">
                  <c:v>579</c:v>
                </c:pt>
                <c:pt idx="237" formatCode="General">
                  <c:v>582</c:v>
                </c:pt>
                <c:pt idx="238" formatCode="General">
                  <c:v>582</c:v>
                </c:pt>
                <c:pt idx="239" formatCode="General">
                  <c:v>588</c:v>
                </c:pt>
                <c:pt idx="240" formatCode="General">
                  <c:v>595</c:v>
                </c:pt>
                <c:pt idx="241" formatCode="General">
                  <c:v>603</c:v>
                </c:pt>
                <c:pt idx="242" formatCode="General">
                  <c:v>601</c:v>
                </c:pt>
                <c:pt idx="243" formatCode="General">
                  <c:v>595</c:v>
                </c:pt>
                <c:pt idx="244" formatCode="General">
                  <c:v>606</c:v>
                </c:pt>
                <c:pt idx="245" formatCode="General">
                  <c:v>609</c:v>
                </c:pt>
                <c:pt idx="246" formatCode="General">
                  <c:v>602</c:v>
                </c:pt>
                <c:pt idx="247" formatCode="General">
                  <c:v>604</c:v>
                </c:pt>
                <c:pt idx="248" formatCode="General">
                  <c:v>597</c:v>
                </c:pt>
                <c:pt idx="249" formatCode="General">
                  <c:v>604</c:v>
                </c:pt>
                <c:pt idx="250" formatCode="General">
                  <c:v>605</c:v>
                </c:pt>
                <c:pt idx="251" formatCode="General">
                  <c:v>600</c:v>
                </c:pt>
                <c:pt idx="252" formatCode="General">
                  <c:v>604</c:v>
                </c:pt>
                <c:pt idx="253" formatCode="General">
                  <c:v>604</c:v>
                </c:pt>
                <c:pt idx="254" formatCode="General">
                  <c:v>605</c:v>
                </c:pt>
                <c:pt idx="255" formatCode="General">
                  <c:v>614</c:v>
                </c:pt>
                <c:pt idx="256" formatCode="General">
                  <c:v>613</c:v>
                </c:pt>
                <c:pt idx="257" formatCode="General">
                  <c:v>617</c:v>
                </c:pt>
                <c:pt idx="258" formatCode="General">
                  <c:v>617</c:v>
                </c:pt>
                <c:pt idx="259" formatCode="General">
                  <c:v>605</c:v>
                </c:pt>
                <c:pt idx="260" formatCode="General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8-4ECC-BF15-AC335293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Week ending</a:t>
                </a:r>
              </a:p>
            </c:rich>
          </c:tx>
          <c:layout>
            <c:manualLayout>
              <c:xMode val="edge"/>
              <c:yMode val="edge"/>
              <c:x val="0.46324668551046505"/>
              <c:y val="0.89579247996299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tickLblSkip val="13"/>
        <c:tickMarkSkip val="5"/>
        <c:noMultiLvlLbl val="1"/>
      </c:catAx>
      <c:valAx>
        <c:axId val="667170632"/>
        <c:scaling>
          <c:orientation val="minMax"/>
          <c:max val="750"/>
          <c:min val="5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Thousand metric tons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85941601049869"/>
          <c:y val="7.0365961536361335E-2"/>
          <c:w val="0.77589058398950128"/>
          <c:h val="7.6614868924516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 sz="1100"/>
            </a:pPr>
            <a:endParaRPr lang="en-US" sz="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2022/23 U.S. peanut production by States </a:t>
            </a:r>
          </a:p>
          <a:p>
            <a:pPr algn="l">
              <a:defRPr sz="1100"/>
            </a:pPr>
            <a:endParaRPr lang="en-US" sz="5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9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= 5.57 billion pounds</a:t>
            </a:r>
            <a:endParaRPr lang="en-US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4860353994212264E-3"/>
          <c:y val="1.366183393742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754593175853017E-2"/>
          <c:y val="0.14786641253176686"/>
          <c:w val="0.83408523453799044"/>
          <c:h val="0.7186200683247927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B0C-4FB8-9E54-26916CBECE53}"/>
              </c:ext>
            </c:extLst>
          </c:dPt>
          <c:dPt>
            <c:idx val="1"/>
            <c:bubble3D val="0"/>
            <c:spPr>
              <a:solidFill>
                <a:srgbClr val="F79646">
                  <a:lumMod val="75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B0C-4FB8-9E54-26916CBECE53}"/>
              </c:ext>
            </c:extLst>
          </c:dPt>
          <c:dPt>
            <c:idx val="2"/>
            <c:bubble3D val="0"/>
            <c:spPr>
              <a:solidFill>
                <a:srgbClr val="FFCF0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B0C-4FB8-9E54-26916CBECE53}"/>
              </c:ext>
            </c:extLst>
          </c:dPt>
          <c:dPt>
            <c:idx val="3"/>
            <c:bubble3D val="0"/>
            <c:spPr>
              <a:solidFill>
                <a:srgbClr val="C0504D">
                  <a:lumMod val="75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B0C-4FB8-9E54-26916CBECE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B0C-4FB8-9E54-26916CBECE53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B0C-4FB8-9E54-26916CBECE53}"/>
              </c:ext>
            </c:extLst>
          </c:dPt>
          <c:dPt>
            <c:idx val="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B0C-4FB8-9E54-26916CBECE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B0C-4FB8-9E54-26916CBECE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B0C-4FB8-9E54-26916CBECE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B0C-4FB8-9E54-26916CBECE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B0C-4FB8-9E54-26916CBECE5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E3583B5-6EE3-4735-B069-2E590A5AA2D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D795CBA-2D93-4159-ACCB-B86255D97A3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B0C-4FB8-9E54-26916CBECE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F71D39-2DFC-49D6-BA53-34E840C46D0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E4FD96B-DBA2-4362-8D01-1081695DE43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B0C-4FB8-9E54-26916CBECE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F51CFA-A420-49F0-8666-C11469FF24B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EDB154D-E81D-4F5B-A5B1-9B231C87EB1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0C-4FB8-9E54-26916CBECE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77D58F-8928-4588-ABD9-62EE8CCF47B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4E2CC4F-28CB-4BCA-B77A-29FEE28988C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0C-4FB8-9E54-26916CBECE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7AF0A79-23B8-453B-B402-7114F7F4ADD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D7530E3-6779-49E9-AF6F-57E051CD182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0C-4FB8-9E54-26916CBECE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BF86DB-8CEF-4159-A876-05B0F6271BA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F9BA95C-0428-42E3-A1E4-7B5921F43CF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B0C-4FB8-9E54-26916CBECE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C74587F-CFC5-4AA6-A4BD-7228A5B8CE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803870A-F058-4768-8E54-42194041B10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B0C-4FB8-9E54-26916CBEC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'Figure 3'!$B$1:$H$1</c:f>
              <c:strCache>
                <c:ptCount val="7"/>
                <c:pt idx="0">
                  <c:v>Alabama</c:v>
                </c:pt>
                <c:pt idx="1">
                  <c:v>Florida</c:v>
                </c:pt>
                <c:pt idx="2">
                  <c:v>Georgia</c:v>
                </c:pt>
                <c:pt idx="3">
                  <c:v>North Carolina</c:v>
                </c:pt>
                <c:pt idx="4">
                  <c:v>South Carolina</c:v>
                </c:pt>
                <c:pt idx="5">
                  <c:v>Texas</c:v>
                </c:pt>
                <c:pt idx="6">
                  <c:v>Other</c:v>
                </c:pt>
              </c:strCache>
            </c:strRef>
          </c:cat>
          <c:val>
            <c:numRef>
              <c:f>'Figure 3'!$B$2:$H$2</c:f>
              <c:numCache>
                <c:formatCode>0%</c:formatCode>
                <c:ptCount val="7"/>
                <c:pt idx="0">
                  <c:v>0.10037445111931251</c:v>
                </c:pt>
                <c:pt idx="1">
                  <c:v>9.9458527518116416E-2</c:v>
                </c:pt>
                <c:pt idx="2">
                  <c:v>0.51902337401111676</c:v>
                </c:pt>
                <c:pt idx="3">
                  <c:v>9.1664197264800684E-2</c:v>
                </c:pt>
                <c:pt idx="4">
                  <c:v>5.1291721666980955E-2</c:v>
                </c:pt>
                <c:pt idx="5">
                  <c:v>6.0343201961154058E-2</c:v>
                </c:pt>
                <c:pt idx="6">
                  <c:v>7.7844526458518692E-2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3'!$B$1:$H$1</c15:f>
                <c15:dlblRangeCache>
                  <c:ptCount val="7"/>
                  <c:pt idx="0">
                    <c:v>Alabama</c:v>
                  </c:pt>
                  <c:pt idx="1">
                    <c:v>Florida</c:v>
                  </c:pt>
                  <c:pt idx="2">
                    <c:v>Georgia</c:v>
                  </c:pt>
                  <c:pt idx="3">
                    <c:v>North Carolina</c:v>
                  </c:pt>
                  <c:pt idx="4">
                    <c:v>South Carolina</c:v>
                  </c:pt>
                  <c:pt idx="5">
                    <c:v>Texas</c:v>
                  </c:pt>
                  <c:pt idx="6">
                    <c:v>Other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AB0C-4FB8-9E54-26916CBE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Argentina's soybean supply and demand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02456423716264E-2"/>
          <c:y val="0.15991881223180435"/>
          <c:w val="0.89275153105861782"/>
          <c:h val="0.57364053451651864"/>
        </c:manualLayout>
      </c:layout>
      <c:areaChart>
        <c:grouping val="stacked"/>
        <c:varyColors val="0"/>
        <c:ser>
          <c:idx val="3"/>
          <c:order val="3"/>
          <c:tx>
            <c:strRef>
              <c:f>'Figure 4'!$E$1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 Dec.*</c:v>
                </c:pt>
                <c:pt idx="8">
                  <c:v>2022/23 Jan.*</c:v>
                </c:pt>
              </c:strCache>
            </c:strRef>
          </c:cat>
          <c:val>
            <c:numRef>
              <c:f>'Figure 4'!$E$2:$E$10</c:f>
              <c:numCache>
                <c:formatCode>#,##0</c:formatCode>
                <c:ptCount val="9"/>
                <c:pt idx="0">
                  <c:v>43267</c:v>
                </c:pt>
                <c:pt idx="1">
                  <c:v>43309</c:v>
                </c:pt>
                <c:pt idx="2">
                  <c:v>36933</c:v>
                </c:pt>
                <c:pt idx="3">
                  <c:v>40567</c:v>
                </c:pt>
                <c:pt idx="4">
                  <c:v>38770</c:v>
                </c:pt>
                <c:pt idx="5">
                  <c:v>40162</c:v>
                </c:pt>
                <c:pt idx="6">
                  <c:v>38825</c:v>
                </c:pt>
                <c:pt idx="7">
                  <c:v>39750</c:v>
                </c:pt>
                <c:pt idx="8">
                  <c:v>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81-4770-9006-F3AB01D95875}"/>
            </c:ext>
          </c:extLst>
        </c:ser>
        <c:ser>
          <c:idx val="4"/>
          <c:order val="4"/>
          <c:tx>
            <c:strRef>
              <c:f>'Figure 4'!$F$1</c:f>
              <c:strCache>
                <c:ptCount val="1"/>
                <c:pt idx="0">
                  <c:v>Feed waste, domestic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 Dec.*</c:v>
                </c:pt>
                <c:pt idx="8">
                  <c:v>2022/23 Jan.*</c:v>
                </c:pt>
              </c:strCache>
            </c:strRef>
          </c:cat>
          <c:val>
            <c:numRef>
              <c:f>'Figure 4'!$F$2:$F$10</c:f>
              <c:numCache>
                <c:formatCode>#,##0</c:formatCode>
                <c:ptCount val="9"/>
                <c:pt idx="0">
                  <c:v>6200</c:v>
                </c:pt>
                <c:pt idx="1">
                  <c:v>6500</c:v>
                </c:pt>
                <c:pt idx="2">
                  <c:v>6700</c:v>
                </c:pt>
                <c:pt idx="3">
                  <c:v>6881</c:v>
                </c:pt>
                <c:pt idx="4">
                  <c:v>7148</c:v>
                </c:pt>
                <c:pt idx="5">
                  <c:v>7249</c:v>
                </c:pt>
                <c:pt idx="6">
                  <c:v>7210</c:v>
                </c:pt>
                <c:pt idx="7">
                  <c:v>7250</c:v>
                </c:pt>
                <c:pt idx="8">
                  <c:v>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81-4770-9006-F3AB01D95875}"/>
            </c:ext>
          </c:extLst>
        </c:ser>
        <c:ser>
          <c:idx val="5"/>
          <c:order val="5"/>
          <c:tx>
            <c:strRef>
              <c:f>'Figure 4'!$G$1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 Dec.*</c:v>
                </c:pt>
                <c:pt idx="8">
                  <c:v>2022/23 Jan.*</c:v>
                </c:pt>
              </c:strCache>
            </c:strRef>
          </c:cat>
          <c:val>
            <c:numRef>
              <c:f>'Figure 4'!$G$2:$G$10</c:f>
              <c:numCache>
                <c:formatCode>#,##0</c:formatCode>
                <c:ptCount val="9"/>
                <c:pt idx="0">
                  <c:v>9922</c:v>
                </c:pt>
                <c:pt idx="1">
                  <c:v>7025</c:v>
                </c:pt>
                <c:pt idx="2">
                  <c:v>2132</c:v>
                </c:pt>
                <c:pt idx="3">
                  <c:v>9104</c:v>
                </c:pt>
                <c:pt idx="4">
                  <c:v>10004</c:v>
                </c:pt>
                <c:pt idx="5">
                  <c:v>5195</c:v>
                </c:pt>
                <c:pt idx="6">
                  <c:v>2861</c:v>
                </c:pt>
                <c:pt idx="7">
                  <c:v>5900</c:v>
                </c:pt>
                <c:pt idx="8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D-4D13-8110-660B014C3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barChart>
        <c:barDir val="col"/>
        <c:grouping val="stacked"/>
        <c:varyColors val="0"/>
        <c:ser>
          <c:idx val="0"/>
          <c:order val="0"/>
          <c:tx>
            <c:strRef>
              <c:f>'Figure 4'!$C$1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 Dec.*</c:v>
                </c:pt>
                <c:pt idx="8">
                  <c:v>2022/23 Jan.*</c:v>
                </c:pt>
              </c:strCache>
            </c:strRef>
          </c:cat>
          <c:val>
            <c:numRef>
              <c:f>'Figure 4'!$C$2:$C$10</c:f>
              <c:numCache>
                <c:formatCode>#,##0</c:formatCode>
                <c:ptCount val="9"/>
                <c:pt idx="0">
                  <c:v>58800</c:v>
                </c:pt>
                <c:pt idx="1">
                  <c:v>55000</c:v>
                </c:pt>
                <c:pt idx="2">
                  <c:v>37800</c:v>
                </c:pt>
                <c:pt idx="3">
                  <c:v>55300</c:v>
                </c:pt>
                <c:pt idx="4">
                  <c:v>48800</c:v>
                </c:pt>
                <c:pt idx="5">
                  <c:v>46200</c:v>
                </c:pt>
                <c:pt idx="6">
                  <c:v>43900</c:v>
                </c:pt>
                <c:pt idx="7">
                  <c:v>49500</c:v>
                </c:pt>
                <c:pt idx="8">
                  <c:v>45500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1-4770-9006-F3AB01D95875}"/>
            </c:ext>
          </c:extLst>
        </c:ser>
        <c:ser>
          <c:idx val="1"/>
          <c:order val="1"/>
          <c:tx>
            <c:strRef>
              <c:f>'Figure 4'!$B$1</c:f>
              <c:strCache>
                <c:ptCount val="1"/>
                <c:pt idx="0">
                  <c:v>Beginning stocks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 Dec.*</c:v>
                </c:pt>
                <c:pt idx="8">
                  <c:v>2022/23 Jan.*</c:v>
                </c:pt>
              </c:strCache>
            </c:strRef>
          </c:cat>
          <c:val>
            <c:numRef>
              <c:f>'Figure 4'!$B$2:$B$10</c:f>
              <c:numCache>
                <c:formatCode>#,##0</c:formatCode>
                <c:ptCount val="9"/>
                <c:pt idx="0">
                  <c:v>27069</c:v>
                </c:pt>
                <c:pt idx="1">
                  <c:v>27156</c:v>
                </c:pt>
                <c:pt idx="2">
                  <c:v>26996</c:v>
                </c:pt>
                <c:pt idx="3">
                  <c:v>23734</c:v>
                </c:pt>
                <c:pt idx="4">
                  <c:v>28890</c:v>
                </c:pt>
                <c:pt idx="5">
                  <c:v>26650</c:v>
                </c:pt>
                <c:pt idx="6">
                  <c:v>25060</c:v>
                </c:pt>
                <c:pt idx="7">
                  <c:v>23903</c:v>
                </c:pt>
                <c:pt idx="8">
                  <c:v>23903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1-4770-9006-F3AB01D95875}"/>
            </c:ext>
          </c:extLst>
        </c:ser>
        <c:ser>
          <c:idx val="2"/>
          <c:order val="2"/>
          <c:tx>
            <c:strRef>
              <c:f>'Figure 4'!$D$1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 Dec.*</c:v>
                </c:pt>
                <c:pt idx="8">
                  <c:v>2022/23 Jan.*</c:v>
                </c:pt>
              </c:strCache>
            </c:strRef>
          </c:cat>
          <c:val>
            <c:numRef>
              <c:f>'Figure 4'!$D$2:$D$10</c:f>
              <c:numCache>
                <c:formatCode>#,##0</c:formatCode>
                <c:ptCount val="9"/>
                <c:pt idx="0">
                  <c:v>676</c:v>
                </c:pt>
                <c:pt idx="1">
                  <c:v>1674</c:v>
                </c:pt>
                <c:pt idx="2">
                  <c:v>4703</c:v>
                </c:pt>
                <c:pt idx="3">
                  <c:v>6408</c:v>
                </c:pt>
                <c:pt idx="4">
                  <c:v>4882</c:v>
                </c:pt>
                <c:pt idx="5">
                  <c:v>4816</c:v>
                </c:pt>
                <c:pt idx="6">
                  <c:v>3839</c:v>
                </c:pt>
                <c:pt idx="7">
                  <c:v>4800</c:v>
                </c:pt>
                <c:pt idx="8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1-4770-9006-F3AB01D9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324668551046505"/>
              <c:y val="0.85991152147648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90000"/>
          <c:min val="25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metric tons</a:t>
                </a:r>
              </a:p>
            </c:rich>
          </c:tx>
          <c:layout>
            <c:manualLayout>
              <c:xMode val="edge"/>
              <c:yMode val="edge"/>
              <c:x val="3.9686385355676684E-3"/>
              <c:y val="9.38551951839353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0023129921259855"/>
          <c:y val="1.518117526975795E-2"/>
          <c:w val="0.39976865872535161"/>
          <c:h val="0.21147330542015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0</xdr:row>
      <xdr:rowOff>45720</xdr:rowOff>
    </xdr:from>
    <xdr:to>
      <xdr:col>16</xdr:col>
      <xdr:colOff>314325</xdr:colOff>
      <xdr:row>21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A8E4FC-E293-45CF-B4DA-E910A7AFA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0.8664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27401"/>
          <a:ext cx="5943600" cy="51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Asterisk (*) denotes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World Agricultural Outlook Board,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January 2023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182878</xdr:colOff>
      <xdr:row>0</xdr:row>
      <xdr:rowOff>105409</xdr:rowOff>
    </xdr:from>
    <xdr:to>
      <xdr:col>14</xdr:col>
      <xdr:colOff>30478</xdr:colOff>
      <xdr:row>24</xdr:row>
      <xdr:rowOff>34924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7C2710-1CB6-4567-A56E-518E0F81C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0.93135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04591"/>
          <a:ext cx="5943600" cy="273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International Grains Council, January 2023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152400</xdr:rowOff>
    </xdr:from>
    <xdr:to>
      <xdr:col>6</xdr:col>
      <xdr:colOff>95250</xdr:colOff>
      <xdr:row>27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AD62DF-5BFB-4D46-8A95-9A0DFA88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0.00254</cdr:x>
      <cdr:y>0.86806</cdr:y>
    </cdr:from>
    <cdr:to>
      <cdr:x>0.99393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5581" y="3447869"/>
          <a:ext cx="6081285" cy="524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Other includes Arkansas, Mississippi, New Mexico, and Oklahoma.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 Agricultural Statistics Service, </a:t>
          </a:r>
          <a:r>
            <a:rPr lang="en-US" sz="9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Production—2022</a:t>
          </a:r>
          <a:r>
            <a:rPr lang="en-US" sz="90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Summary</a:t>
          </a:r>
          <a:r>
            <a:rPr lang="en-US" sz="9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January 2023.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200023</xdr:colOff>
      <xdr:row>0</xdr:row>
      <xdr:rowOff>15874</xdr:rowOff>
    </xdr:from>
    <xdr:to>
      <xdr:col>17</xdr:col>
      <xdr:colOff>47623</xdr:colOff>
      <xdr:row>21</xdr:row>
      <xdr:rowOff>132079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0EA3E-745E-46F6-8DDC-D1DCFABB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0.8664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27401"/>
          <a:ext cx="5943600" cy="51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Asterisk (*) denotes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database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January 2023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15"/>
      <c r="C1" s="11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15"/>
    </row>
    <row r="5" spans="1:3">
      <c r="A5" s="10" t="s">
        <v>3</v>
      </c>
      <c r="B5" s="4"/>
      <c r="C5" s="115"/>
    </row>
    <row r="6" spans="1:3">
      <c r="A6" s="10" t="s">
        <v>4</v>
      </c>
      <c r="B6" s="4"/>
      <c r="C6" s="115"/>
    </row>
    <row r="7" spans="1:3">
      <c r="A7" s="10" t="s">
        <v>5</v>
      </c>
      <c r="B7" s="4"/>
      <c r="C7" s="115"/>
    </row>
    <row r="8" spans="1:3">
      <c r="A8" s="10" t="s">
        <v>6</v>
      </c>
      <c r="B8" s="4"/>
      <c r="C8" s="115"/>
    </row>
    <row r="9" spans="1:3">
      <c r="A9" s="10" t="s">
        <v>7</v>
      </c>
      <c r="B9" s="4"/>
      <c r="C9" s="115"/>
    </row>
    <row r="10" spans="1:3">
      <c r="A10" s="10" t="s">
        <v>8</v>
      </c>
      <c r="B10" s="4"/>
      <c r="C10" s="115"/>
    </row>
    <row r="11" spans="1:3">
      <c r="A11" s="10" t="s">
        <v>9</v>
      </c>
      <c r="B11" s="4"/>
      <c r="C11" s="115"/>
    </row>
    <row r="12" spans="1:3">
      <c r="A12" s="10" t="s">
        <v>10</v>
      </c>
      <c r="B12" s="4"/>
      <c r="C12" s="115"/>
    </row>
    <row r="13" spans="1:3">
      <c r="A13" s="11" t="s">
        <v>11</v>
      </c>
      <c r="B13" s="4"/>
      <c r="C13" s="115"/>
    </row>
    <row r="14" spans="1:3" ht="13.2">
      <c r="A14" s="115"/>
      <c r="B14" s="115"/>
      <c r="C14" s="115"/>
    </row>
    <row r="15" spans="1:3">
      <c r="A15" s="7" t="s">
        <v>12</v>
      </c>
      <c r="B15" s="116"/>
      <c r="C15" s="115"/>
    </row>
    <row r="16" spans="1:3">
      <c r="A16" s="9">
        <v>44578</v>
      </c>
      <c r="B16" s="115"/>
      <c r="C16" s="11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3"/>
  <sheetViews>
    <sheetView showGridLines="0" zoomScale="70" zoomScaleNormal="70" workbookViewId="0">
      <selection activeCell="B36" sqref="B36"/>
    </sheetView>
  </sheetViews>
  <sheetFormatPr defaultColWidth="9.109375" defaultRowHeight="13.2"/>
  <cols>
    <col min="1" max="1" width="21.6640625" style="16" customWidth="1"/>
    <col min="2" max="2" width="14.109375" style="16" bestFit="1" customWidth="1"/>
    <col min="3" max="3" width="9.5546875" style="16" customWidth="1"/>
    <col min="4" max="4" width="26.6640625" style="16" customWidth="1"/>
    <col min="5" max="5" width="9.6640625" style="16" customWidth="1"/>
    <col min="6" max="6" width="10.6640625" style="16" customWidth="1"/>
    <col min="7" max="7" width="8.6640625" style="16" bestFit="1" customWidth="1"/>
    <col min="8" max="8" width="9.6640625" style="16" customWidth="1"/>
    <col min="9" max="9" width="1.6640625" style="16" customWidth="1"/>
    <col min="10" max="10" width="9.6640625" style="16" customWidth="1"/>
    <col min="11" max="12" width="10.6640625" style="16" customWidth="1"/>
    <col min="13" max="13" width="10.33203125" style="16" customWidth="1"/>
    <col min="14" max="14" width="9.6640625" style="16" customWidth="1"/>
    <col min="15" max="16" width="9.109375" style="16"/>
    <col min="17" max="17" width="15.44140625" style="16" bestFit="1" customWidth="1"/>
    <col min="18" max="18" width="10.109375" style="16" bestFit="1" customWidth="1"/>
    <col min="19" max="16384" width="9.109375" style="16"/>
  </cols>
  <sheetData>
    <row r="1" spans="1:23" ht="13.8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>
      <c r="A2" s="17"/>
      <c r="B2" s="18" t="s">
        <v>13</v>
      </c>
      <c r="C2" s="131"/>
      <c r="D2" s="19" t="s">
        <v>14</v>
      </c>
      <c r="E2" s="20"/>
      <c r="F2" s="131" t="s">
        <v>15</v>
      </c>
      <c r="G2" s="131"/>
      <c r="H2" s="131"/>
      <c r="I2" s="21"/>
      <c r="J2" s="20"/>
      <c r="K2" s="131"/>
      <c r="L2" s="22" t="s">
        <v>16</v>
      </c>
      <c r="M2" s="131"/>
      <c r="N2" s="17"/>
    </row>
    <row r="3" spans="1:23" ht="13.8">
      <c r="A3" s="17" t="s">
        <v>17</v>
      </c>
      <c r="B3" s="19" t="s">
        <v>18</v>
      </c>
      <c r="C3" s="17" t="s">
        <v>19</v>
      </c>
      <c r="D3" s="19"/>
      <c r="E3" s="23" t="s">
        <v>20</v>
      </c>
      <c r="F3" s="23"/>
      <c r="G3" s="23"/>
      <c r="H3" s="23"/>
      <c r="I3" s="23"/>
      <c r="J3" s="19" t="s">
        <v>21</v>
      </c>
      <c r="K3" s="23" t="s">
        <v>22</v>
      </c>
      <c r="L3" s="23"/>
      <c r="M3" s="23"/>
      <c r="N3" s="23" t="s">
        <v>23</v>
      </c>
    </row>
    <row r="4" spans="1:23" ht="13.8">
      <c r="A4" s="24" t="s">
        <v>24</v>
      </c>
      <c r="B4" s="25"/>
      <c r="C4" s="25"/>
      <c r="D4" s="25"/>
      <c r="E4" s="26" t="s">
        <v>25</v>
      </c>
      <c r="F4" s="26" t="s">
        <v>26</v>
      </c>
      <c r="G4" s="27" t="s">
        <v>27</v>
      </c>
      <c r="H4" s="28" t="s">
        <v>28</v>
      </c>
      <c r="I4" s="27"/>
      <c r="J4" s="27"/>
      <c r="K4" s="27" t="s">
        <v>29</v>
      </c>
      <c r="L4" s="28" t="s">
        <v>30</v>
      </c>
      <c r="M4" s="26" t="s">
        <v>28</v>
      </c>
      <c r="N4" s="27" t="s">
        <v>25</v>
      </c>
      <c r="W4" s="29"/>
    </row>
    <row r="5" spans="1:23" ht="14.4">
      <c r="A5" s="17"/>
      <c r="B5" s="30" t="s">
        <v>31</v>
      </c>
      <c r="C5" s="132"/>
      <c r="D5" s="31" t="s">
        <v>32</v>
      </c>
      <c r="G5" s="30"/>
      <c r="I5" s="30"/>
      <c r="J5" s="30" t="s">
        <v>33</v>
      </c>
      <c r="K5" s="30"/>
      <c r="L5" s="30"/>
      <c r="M5" s="30"/>
      <c r="N5" s="30"/>
      <c r="W5" s="29"/>
    </row>
    <row r="6" spans="1:23" ht="16.5" customHeight="1">
      <c r="A6" s="17" t="s">
        <v>34</v>
      </c>
      <c r="B6" s="32">
        <v>83.353999999999999</v>
      </c>
      <c r="C6" s="32">
        <v>82.602999999999994</v>
      </c>
      <c r="D6" s="32">
        <f>F6/C6</f>
        <v>51.042964541239421</v>
      </c>
      <c r="E6" s="33">
        <v>524.54100000000005</v>
      </c>
      <c r="F6" s="34">
        <v>4216.3019999999997</v>
      </c>
      <c r="G6" s="35">
        <v>19.815142646399998</v>
      </c>
      <c r="H6" s="35">
        <f>SUM(E6:G6)</f>
        <v>4760.6581426463999</v>
      </c>
      <c r="I6" s="17"/>
      <c r="J6" s="34">
        <v>2140.5846999999999</v>
      </c>
      <c r="K6" s="34">
        <f t="shared" ref="K6:K8" si="0">M6-L6-J6</f>
        <v>97.272779870399972</v>
      </c>
      <c r="L6" s="35">
        <v>2265.8216627759998</v>
      </c>
      <c r="M6" s="35">
        <f>H6-N6</f>
        <v>4503.6791426463997</v>
      </c>
      <c r="N6" s="35">
        <v>256.97899999999998</v>
      </c>
    </row>
    <row r="7" spans="1:23" ht="16.5" customHeight="1">
      <c r="A7" s="17" t="s">
        <v>35</v>
      </c>
      <c r="B7" s="32">
        <v>87.194999999999993</v>
      </c>
      <c r="C7" s="32">
        <v>86.311999999999998</v>
      </c>
      <c r="D7" s="32">
        <f>F7/C7</f>
        <v>51.735355454629712</v>
      </c>
      <c r="E7" s="33">
        <f>N6</f>
        <v>256.97899999999998</v>
      </c>
      <c r="F7" s="34">
        <f>F27</f>
        <v>4465.3819999999996</v>
      </c>
      <c r="G7" s="35">
        <f>G27</f>
        <v>15.9101740464</v>
      </c>
      <c r="H7" s="35">
        <f>SUM(E7:G7)</f>
        <v>4738.2711740464001</v>
      </c>
      <c r="I7" s="17"/>
      <c r="J7" s="34">
        <f>J27</f>
        <v>2203.8322700661743</v>
      </c>
      <c r="K7" s="34">
        <f t="shared" si="0"/>
        <v>102.39821654982552</v>
      </c>
      <c r="L7" s="35">
        <f>L27</f>
        <v>2157.6466874304001</v>
      </c>
      <c r="M7" s="35">
        <f>H7-N7</f>
        <v>4463.8771740463999</v>
      </c>
      <c r="N7" s="35">
        <f>N26</f>
        <v>274.39400000000001</v>
      </c>
    </row>
    <row r="8" spans="1:23" ht="16.5" customHeight="1">
      <c r="A8" s="17" t="s">
        <v>36</v>
      </c>
      <c r="B8" s="32">
        <v>87.45</v>
      </c>
      <c r="C8" s="32">
        <v>86.335999999999999</v>
      </c>
      <c r="D8" s="32">
        <f>F8/C8</f>
        <v>49.528852390659743</v>
      </c>
      <c r="E8" s="33">
        <v>274.39400000000001</v>
      </c>
      <c r="F8" s="34">
        <v>4276.1229999999996</v>
      </c>
      <c r="G8" s="35">
        <v>15</v>
      </c>
      <c r="H8" s="35">
        <f>SUM(E8:G8)</f>
        <v>4565.5169999999998</v>
      </c>
      <c r="I8" s="17"/>
      <c r="J8" s="34">
        <v>2245</v>
      </c>
      <c r="K8" s="34">
        <f t="shared" si="0"/>
        <v>120.35269749388863</v>
      </c>
      <c r="L8" s="35">
        <v>1990</v>
      </c>
      <c r="M8" s="35">
        <f>H8-N8</f>
        <v>4355.3526974938886</v>
      </c>
      <c r="N8" s="35">
        <v>210.1643025061112</v>
      </c>
    </row>
    <row r="9" spans="1:23" ht="16.5" customHeight="1">
      <c r="A9" s="21"/>
      <c r="B9" s="21"/>
      <c r="C9" s="21"/>
      <c r="D9" s="21"/>
      <c r="E9" s="36"/>
      <c r="F9" s="36"/>
      <c r="G9" s="37"/>
      <c r="H9" s="36"/>
      <c r="I9" s="36"/>
      <c r="J9" s="37"/>
      <c r="K9" s="37"/>
      <c r="L9" s="37"/>
      <c r="M9" s="37"/>
      <c r="N9" s="37"/>
    </row>
    <row r="10" spans="1:23" ht="16.5" customHeight="1">
      <c r="A10" s="51" t="s">
        <v>53</v>
      </c>
      <c r="B10" s="117"/>
      <c r="C10" s="117"/>
      <c r="D10" s="117"/>
      <c r="E10" s="41"/>
      <c r="F10" s="42"/>
      <c r="G10" s="6"/>
      <c r="H10" s="13"/>
      <c r="I10" s="117"/>
      <c r="J10" s="13"/>
      <c r="K10" s="40"/>
      <c r="L10" s="6"/>
      <c r="M10" s="6"/>
      <c r="N10" s="13"/>
    </row>
    <row r="11" spans="1:23" ht="16.5" customHeight="1">
      <c r="A11" s="21" t="s">
        <v>37</v>
      </c>
      <c r="B11" s="117"/>
      <c r="C11" s="117"/>
      <c r="D11" s="124"/>
      <c r="E11" s="41"/>
      <c r="F11" s="42"/>
      <c r="G11" s="6">
        <f>(24488.6*36.744)/1000000</f>
        <v>0.89980911839999989</v>
      </c>
      <c r="I11" s="117"/>
      <c r="J11" s="13">
        <f>((4924574*0.907185)*36.744)/1000000</f>
        <v>164.15380766099736</v>
      </c>
      <c r="K11" s="40"/>
      <c r="L11" s="6">
        <f>(2098690.6*36.744)/1000000</f>
        <v>77.11428740640001</v>
      </c>
      <c r="M11" s="6"/>
      <c r="N11" s="13"/>
      <c r="Q11" s="124"/>
    </row>
    <row r="12" spans="1:23" ht="16.5" customHeight="1">
      <c r="A12" s="21" t="s">
        <v>38</v>
      </c>
      <c r="B12" s="117"/>
      <c r="C12" s="117"/>
      <c r="D12" s="124"/>
      <c r="E12" s="41"/>
      <c r="F12" s="42"/>
      <c r="G12" s="6">
        <f>(19229.4*36.744)/1000000</f>
        <v>0.70656507359999998</v>
      </c>
      <c r="I12" s="117"/>
      <c r="J12" s="13">
        <f>((5908157*0.907185)*36.744)/1000000</f>
        <v>196.9401754972055</v>
      </c>
      <c r="K12" s="40"/>
      <c r="L12" s="6">
        <f>(10749625.7*36.744)/1000000</f>
        <v>394.9842467208</v>
      </c>
      <c r="M12" s="6"/>
      <c r="N12" s="13"/>
      <c r="Q12" s="124"/>
    </row>
    <row r="13" spans="1:23" ht="16.5" customHeight="1">
      <c r="A13" s="21" t="s">
        <v>39</v>
      </c>
      <c r="B13" s="117"/>
      <c r="C13" s="117"/>
      <c r="D13" s="124"/>
      <c r="E13" s="41"/>
      <c r="F13" s="42"/>
      <c r="G13" s="6">
        <f>(34894.1*36.744)/1000000</f>
        <v>1.2821488103999998</v>
      </c>
      <c r="I13" s="117"/>
      <c r="J13" s="13">
        <f>((5717943*0.907185)*36.744)/1000000</f>
        <v>190.59965703399854</v>
      </c>
      <c r="K13" s="40"/>
      <c r="L13" s="6">
        <f>(10581460.9*36.744)/1000000</f>
        <v>388.80519930959997</v>
      </c>
      <c r="M13" s="6"/>
      <c r="N13" s="13"/>
      <c r="Q13" s="124"/>
    </row>
    <row r="14" spans="1:23" ht="16.5" customHeight="1">
      <c r="A14" s="21" t="s">
        <v>40</v>
      </c>
      <c r="B14" s="117"/>
      <c r="C14" s="117"/>
      <c r="E14" s="41">
        <f>N6</f>
        <v>256.97899999999998</v>
      </c>
      <c r="F14" s="41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17"/>
      <c r="J14" s="13">
        <f>SUM(J11:J13)</f>
        <v>551.69364019220143</v>
      </c>
      <c r="K14" s="40">
        <f>M14-L14-J14</f>
        <v>176.1281493733984</v>
      </c>
      <c r="L14" s="6">
        <f>SUM(L11:L13)</f>
        <v>860.90373343679994</v>
      </c>
      <c r="M14" s="6">
        <f>H14-N14</f>
        <v>1588.7255230023998</v>
      </c>
      <c r="N14" s="13">
        <v>3136.5239999999999</v>
      </c>
    </row>
    <row r="15" spans="1:23" ht="16.5" customHeight="1">
      <c r="A15" s="17" t="s">
        <v>41</v>
      </c>
      <c r="B15" s="117"/>
      <c r="C15" s="117"/>
      <c r="D15" s="124"/>
      <c r="E15" s="41"/>
      <c r="F15" s="41"/>
      <c r="G15" s="6">
        <f>(27884.8*36.744)/1000000</f>
        <v>1.0245990912</v>
      </c>
      <c r="H15" s="13"/>
      <c r="I15" s="117"/>
      <c r="J15" s="13">
        <f>((5947222*0.907185)*36.744)/1000000</f>
        <v>198.24235280153209</v>
      </c>
      <c r="K15" s="40"/>
      <c r="L15" s="6">
        <f>(7940701.7*36.744)/1000000</f>
        <v>291.77314326480001</v>
      </c>
      <c r="M15" s="6"/>
      <c r="N15" s="13"/>
      <c r="Q15" s="124"/>
    </row>
    <row r="16" spans="1:23" ht="16.5" customHeight="1">
      <c r="A16" s="17" t="s">
        <v>42</v>
      </c>
      <c r="B16" s="117"/>
      <c r="C16" s="117"/>
      <c r="D16" s="124"/>
      <c r="E16" s="41"/>
      <c r="F16" s="41"/>
      <c r="G16" s="6">
        <f>(23947.4*36.744)/1000000</f>
        <v>0.8799232656</v>
      </c>
      <c r="H16" s="13"/>
      <c r="I16" s="117"/>
      <c r="J16" s="13">
        <f>((5828974*0.907185)*36.744)/1000000</f>
        <v>194.30072060181334</v>
      </c>
      <c r="K16" s="40"/>
      <c r="L16" s="6">
        <f>(6392108.3*36.744)/1000000</f>
        <v>234.87162737520001</v>
      </c>
      <c r="M16" s="6"/>
      <c r="N16" s="13"/>
      <c r="Q16" s="124"/>
    </row>
    <row r="17" spans="1:17" ht="16.5" customHeight="1">
      <c r="A17" s="17" t="s">
        <v>43</v>
      </c>
      <c r="B17" s="117"/>
      <c r="C17" s="117"/>
      <c r="D17" s="124"/>
      <c r="E17" s="41"/>
      <c r="F17" s="41"/>
      <c r="G17" s="6">
        <f>(47248.7*36.744)/1000000</f>
        <v>1.7361062327999999</v>
      </c>
      <c r="H17" s="13"/>
      <c r="I17" s="117"/>
      <c r="J17" s="13">
        <f>((5232453*0.907185)*36.744)/1000000</f>
        <v>174.41652483183492</v>
      </c>
      <c r="K17" s="40"/>
      <c r="L17" s="6">
        <f>(3791255.7*36.744)/1000000</f>
        <v>139.3058994408</v>
      </c>
      <c r="M17" s="6"/>
      <c r="N17" s="13"/>
      <c r="Q17" s="124"/>
    </row>
    <row r="18" spans="1:17" ht="16.5" customHeight="1">
      <c r="A18" s="17" t="s">
        <v>44</v>
      </c>
      <c r="B18" s="117"/>
      <c r="C18" s="117"/>
      <c r="E18" s="41">
        <f>N14</f>
        <v>3136.5239999999999</v>
      </c>
      <c r="F18" s="41"/>
      <c r="G18" s="6">
        <f>SUM(G15:G17)</f>
        <v>3.6406285895999999</v>
      </c>
      <c r="H18" s="13">
        <f>E18+F18+G18</f>
        <v>3140.1646285895999</v>
      </c>
      <c r="I18" s="117"/>
      <c r="J18" s="13">
        <f>SUM(J15:J17)</f>
        <v>566.95959823518035</v>
      </c>
      <c r="K18" s="40">
        <f>M18-L18-J18</f>
        <v>-24.562639726380439</v>
      </c>
      <c r="L18" s="6">
        <f>SUM(L15:L17)</f>
        <v>665.95067008080002</v>
      </c>
      <c r="M18" s="6">
        <f>H18-N18</f>
        <v>1208.3476285895999</v>
      </c>
      <c r="N18" s="13">
        <v>1931.817</v>
      </c>
    </row>
    <row r="19" spans="1:17" ht="16.5" customHeight="1">
      <c r="A19" s="17" t="s">
        <v>45</v>
      </c>
      <c r="B19" s="117"/>
      <c r="C19" s="117"/>
      <c r="D19" s="124"/>
      <c r="E19" s="41"/>
      <c r="F19" s="41"/>
      <c r="G19" s="6">
        <f>(33665.9*36.744)/1000000</f>
        <v>1.2370198296000001</v>
      </c>
      <c r="H19" s="13"/>
      <c r="I19" s="117"/>
      <c r="J19" s="13">
        <f>((5786159*0.907185)*36.744)/1000000</f>
        <v>192.87354227633676</v>
      </c>
      <c r="K19" s="40"/>
      <c r="L19" s="6">
        <f>(3184420.8*36.744)/1000000</f>
        <v>117.00835787519999</v>
      </c>
      <c r="M19" s="6"/>
      <c r="N19" s="13"/>
      <c r="Q19" s="124"/>
    </row>
    <row r="20" spans="1:17" ht="16.5" customHeight="1">
      <c r="A20" s="17" t="s">
        <v>46</v>
      </c>
      <c r="B20" s="117"/>
      <c r="C20" s="117"/>
      <c r="D20" s="124"/>
      <c r="E20" s="41"/>
      <c r="F20" s="41"/>
      <c r="G20" s="6">
        <f>(49190.6*36.744)/1000000</f>
        <v>1.8074594064</v>
      </c>
      <c r="H20" s="13"/>
      <c r="I20" s="117"/>
      <c r="J20" s="13">
        <f>((5426712*0.907185)*36.744)/1000000</f>
        <v>180.89187772985568</v>
      </c>
      <c r="K20" s="40"/>
      <c r="L20" s="6">
        <f>(3657248.5*36.744)/1000000</f>
        <v>134.38193888399999</v>
      </c>
      <c r="M20" s="6"/>
      <c r="N20" s="13"/>
      <c r="Q20" s="124"/>
    </row>
    <row r="21" spans="1:17" ht="16.5" customHeight="1">
      <c r="A21" s="17" t="s">
        <v>47</v>
      </c>
      <c r="B21" s="117"/>
      <c r="C21" s="117"/>
      <c r="D21" s="124"/>
      <c r="E21" s="41"/>
      <c r="F21" s="41"/>
      <c r="G21" s="6">
        <f>(30553.6*36.744)/1000000</f>
        <v>1.1226614784</v>
      </c>
      <c r="H21" s="13"/>
      <c r="I21" s="117"/>
      <c r="J21" s="13">
        <f>((5427160*0.907185)*36.744)/1000000</f>
        <v>180.90681118518239</v>
      </c>
      <c r="K21" s="40"/>
      <c r="L21" s="6">
        <f>(2413962.6*36.744)/1000000</f>
        <v>88.698641774400002</v>
      </c>
      <c r="M21" s="6"/>
      <c r="N21" s="13"/>
      <c r="Q21" s="124"/>
    </row>
    <row r="22" spans="1:17" ht="16.5" customHeight="1">
      <c r="A22" s="17" t="s">
        <v>48</v>
      </c>
      <c r="B22" s="117"/>
      <c r="C22" s="117"/>
      <c r="E22" s="41">
        <f>N18</f>
        <v>1931.817</v>
      </c>
      <c r="F22" s="41"/>
      <c r="G22" s="6">
        <f>SUM(G19:G21)</f>
        <v>4.1671407144000003</v>
      </c>
      <c r="H22" s="13">
        <f>E22+F22+G22</f>
        <v>1935.9841407143999</v>
      </c>
      <c r="I22" s="117"/>
      <c r="J22" s="13">
        <f>SUM(J19:J21)</f>
        <v>554.67223119137486</v>
      </c>
      <c r="K22" s="40">
        <f>M22-L22-J22</f>
        <v>73.697970989425016</v>
      </c>
      <c r="L22" s="6">
        <f>SUM(L19:L21)</f>
        <v>340.08893853360001</v>
      </c>
      <c r="M22" s="6">
        <f>H22-N22</f>
        <v>968.45914071439995</v>
      </c>
      <c r="N22" s="13">
        <v>967.52499999999998</v>
      </c>
    </row>
    <row r="23" spans="1:17" ht="16.5" customHeight="1">
      <c r="A23" s="17" t="s">
        <v>49</v>
      </c>
      <c r="B23" s="117"/>
      <c r="C23" s="117"/>
      <c r="D23"/>
      <c r="E23" s="41"/>
      <c r="F23" s="41"/>
      <c r="G23" s="6">
        <f>(21134.8*36.744)/1000000</f>
        <v>0.77657709120000007</v>
      </c>
      <c r="H23" s="13"/>
      <c r="I23" s="117"/>
      <c r="J23" s="13">
        <f>((5222412*0.907185)*36.744)/1000000</f>
        <v>174.08182209760369</v>
      </c>
      <c r="K23" s="40"/>
      <c r="L23" s="6">
        <f>(2271040.2*36.744)/1000000</f>
        <v>83.447101108800013</v>
      </c>
      <c r="M23" s="6"/>
      <c r="N23" s="13"/>
      <c r="Q23"/>
    </row>
    <row r="24" spans="1:17" ht="16.5" customHeight="1">
      <c r="A24" s="17" t="s">
        <v>50</v>
      </c>
      <c r="B24" s="117"/>
      <c r="C24" s="117"/>
      <c r="D24"/>
      <c r="E24" s="41"/>
      <c r="F24" s="41"/>
      <c r="G24" s="6">
        <f>(60079*36.744)/1000000</f>
        <v>2.2075427759999999</v>
      </c>
      <c r="H24" s="13"/>
      <c r="I24" s="117"/>
      <c r="J24" s="13">
        <f>((5440043*0.907185)*36.744)/1000000</f>
        <v>181.33624802664252</v>
      </c>
      <c r="K24" s="40"/>
      <c r="L24" s="6">
        <f>(2323087.5*36.744)/1000000</f>
        <v>85.359527099999994</v>
      </c>
      <c r="M24" s="6"/>
      <c r="N24" s="13"/>
      <c r="Q24"/>
    </row>
    <row r="25" spans="1:17" ht="16.5" customHeight="1">
      <c r="A25" s="17" t="s">
        <v>51</v>
      </c>
      <c r="B25" s="117"/>
      <c r="C25" s="117"/>
      <c r="D25"/>
      <c r="E25" s="41"/>
      <c r="F25" s="41"/>
      <c r="G25" s="6">
        <f>(60683.8*36.744)/1000000</f>
        <v>2.2297655472</v>
      </c>
      <c r="H25" s="13"/>
      <c r="I25" s="117"/>
      <c r="J25" s="13">
        <f>((5252619*0.907185)*36.744)/1000000</f>
        <v>175.08873032317118</v>
      </c>
      <c r="K25" s="40"/>
      <c r="L25" s="6">
        <f>(3317459.2*36.744)/1000000</f>
        <v>121.89672084480002</v>
      </c>
      <c r="M25" s="6"/>
      <c r="N25" s="13"/>
      <c r="Q25"/>
    </row>
    <row r="26" spans="1:17" ht="16.5" customHeight="1">
      <c r="A26" s="17" t="s">
        <v>52</v>
      </c>
      <c r="B26" s="117"/>
      <c r="C26" s="117"/>
      <c r="D26"/>
      <c r="E26" s="41">
        <f>N22</f>
        <v>967.52499999999998</v>
      </c>
      <c r="F26" s="41"/>
      <c r="G26" s="6">
        <f>SUM(G23:G25)</f>
        <v>5.2138854144</v>
      </c>
      <c r="H26" s="13">
        <f>E26+F26+G26</f>
        <v>972.73888541439999</v>
      </c>
      <c r="I26" s="117"/>
      <c r="J26" s="13">
        <f>SUM(J23:J25)</f>
        <v>530.50680044741739</v>
      </c>
      <c r="K26" s="40">
        <f>M26-L26-J26</f>
        <v>-122.86526408661746</v>
      </c>
      <c r="L26" s="6">
        <f>SUM(L23:L25)</f>
        <v>290.70334905360005</v>
      </c>
      <c r="M26" s="6">
        <f>H26-N26</f>
        <v>698.34488541439998</v>
      </c>
      <c r="N26" s="13">
        <f>274.394</f>
        <v>274.39400000000001</v>
      </c>
      <c r="Q26"/>
    </row>
    <row r="27" spans="1:17" ht="16.5" customHeight="1">
      <c r="A27" s="21" t="s">
        <v>28</v>
      </c>
      <c r="B27" s="117"/>
      <c r="C27" s="117"/>
      <c r="D27" s="117"/>
      <c r="E27" s="41"/>
      <c r="F27" s="41">
        <f>F14</f>
        <v>4465.3819999999996</v>
      </c>
      <c r="G27" s="6">
        <f>(433000.6*36.744)/1000000</f>
        <v>15.9101740464</v>
      </c>
      <c r="H27" s="13">
        <f>E14+F27+G27</f>
        <v>4738.2711740464001</v>
      </c>
      <c r="I27" s="117"/>
      <c r="J27" s="13">
        <f>SUM(J14,J18,J22,J26)</f>
        <v>2203.8322700661743</v>
      </c>
      <c r="K27" s="40">
        <f>SUM(K14,K18,K22,K26)</f>
        <v>102.39821654982552</v>
      </c>
      <c r="L27" s="6">
        <f>(58721061.6*36.744)/1000000</f>
        <v>2157.6466874304001</v>
      </c>
      <c r="M27" s="6">
        <f>SUM(M14,M18,M22,M26)</f>
        <v>4463.8771777207994</v>
      </c>
      <c r="N27" s="13"/>
    </row>
    <row r="28" spans="1:17" ht="16.5" customHeight="1">
      <c r="A28" s="21"/>
      <c r="B28" s="117"/>
      <c r="C28" s="117"/>
      <c r="D28" s="117"/>
      <c r="E28" s="41"/>
      <c r="F28" s="41"/>
      <c r="G28" s="6"/>
      <c r="H28" s="13"/>
      <c r="I28" s="117"/>
      <c r="J28" s="13"/>
      <c r="K28" s="40"/>
      <c r="L28" s="6"/>
      <c r="M28" s="6"/>
      <c r="N28" s="13"/>
    </row>
    <row r="29" spans="1:17" ht="16.5" customHeight="1">
      <c r="A29" s="51" t="s">
        <v>156</v>
      </c>
      <c r="B29" s="117"/>
      <c r="C29" s="117"/>
      <c r="D29" s="117"/>
      <c r="E29" s="41"/>
      <c r="F29" s="41"/>
      <c r="G29" s="6"/>
      <c r="H29" s="13"/>
      <c r="I29" s="117"/>
      <c r="J29" s="13"/>
      <c r="K29" s="40"/>
      <c r="L29" s="6"/>
      <c r="M29" s="6"/>
      <c r="N29" s="13"/>
    </row>
    <row r="30" spans="1:17" ht="16.5" customHeight="1">
      <c r="A30" s="21" t="s">
        <v>37</v>
      </c>
      <c r="B30" s="117"/>
      <c r="C30" s="117"/>
      <c r="D30" s="117"/>
      <c r="E30" s="41"/>
      <c r="F30" s="41"/>
      <c r="G30" s="6">
        <f>(31760.9*36.744)/1000000</f>
        <v>1.1670225096</v>
      </c>
      <c r="H30" s="13"/>
      <c r="I30" s="117"/>
      <c r="J30" s="13">
        <f>((5028287*0.907185)*36.744)/1000000</f>
        <v>167.6109359027387</v>
      </c>
      <c r="K30" s="40"/>
      <c r="L30" s="6">
        <f>(2122949.2*36.744)/1000000</f>
        <v>78.005645404800006</v>
      </c>
      <c r="M30" s="6"/>
      <c r="N30" s="13"/>
    </row>
    <row r="31" spans="1:17" ht="16.5" customHeight="1">
      <c r="A31" s="21" t="s">
        <v>38</v>
      </c>
      <c r="B31" s="117"/>
      <c r="C31" s="117"/>
      <c r="D31" s="117"/>
      <c r="E31" s="41"/>
      <c r="F31" s="41"/>
      <c r="G31" s="6">
        <f>(33846.3*36.744)/1000000</f>
        <v>1.2436484472</v>
      </c>
      <c r="H31" s="13"/>
      <c r="I31" s="117"/>
      <c r="J31" s="13">
        <f>((5899694*0.907185)*36.744)/1000000</f>
        <v>196.65807319267415</v>
      </c>
      <c r="K31" s="40"/>
      <c r="L31" s="6">
        <f>(9780846.5*36.744)/1000000</f>
        <v>359.38742379600001</v>
      </c>
      <c r="M31" s="6"/>
      <c r="N31" s="13"/>
    </row>
    <row r="32" spans="1:17" ht="16.5" customHeight="1">
      <c r="A32" s="21" t="s">
        <v>39</v>
      </c>
      <c r="B32" s="117"/>
      <c r="C32" s="117"/>
      <c r="D32" s="117"/>
      <c r="E32" s="41"/>
      <c r="F32" s="41"/>
      <c r="G32" s="6">
        <f>(34971.9*36.744)/1000000</f>
        <v>1.2850074936000002</v>
      </c>
      <c r="H32" s="13"/>
      <c r="I32" s="117"/>
      <c r="J32" s="13">
        <f>((5684492*0.907185)*36.744)/1000000</f>
        <v>189.4846145917349</v>
      </c>
      <c r="K32" s="40"/>
      <c r="L32" s="6">
        <f>(9667590.7*36.744)/1000000</f>
        <v>355.22595268079994</v>
      </c>
      <c r="M32" s="6"/>
      <c r="N32" s="13"/>
    </row>
    <row r="33" spans="1:73" ht="16.5" customHeight="1">
      <c r="A33" s="21" t="s">
        <v>40</v>
      </c>
      <c r="B33" s="117"/>
      <c r="C33" s="117"/>
      <c r="D33" s="117"/>
      <c r="E33" s="41">
        <f>N26</f>
        <v>274.39400000000001</v>
      </c>
      <c r="F33" s="153">
        <f>4276.123</f>
        <v>4276.1229999999996</v>
      </c>
      <c r="G33" s="6">
        <f>SUM(G30:G32)</f>
        <v>3.6956784504</v>
      </c>
      <c r="H33" s="13">
        <f>SUM(E33:G33)</f>
        <v>4554.2126784503998</v>
      </c>
      <c r="I33" s="117"/>
      <c r="J33" s="13">
        <f>SUM(J30:J32)</f>
        <v>553.75362368714775</v>
      </c>
      <c r="K33" s="40">
        <f>M33-L33-J33</f>
        <v>185.7960328816522</v>
      </c>
      <c r="L33" s="6">
        <f>SUM(L30:L32)</f>
        <v>792.61902188160002</v>
      </c>
      <c r="M33" s="6">
        <f>H33-N33</f>
        <v>1532.1686784504</v>
      </c>
      <c r="N33" s="13">
        <f>3022.044</f>
        <v>3022.0439999999999</v>
      </c>
    </row>
    <row r="34" spans="1:73" ht="16.5" customHeight="1">
      <c r="A34" s="111" t="s">
        <v>54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112"/>
      <c r="M34" s="90"/>
      <c r="N34" s="90"/>
    </row>
    <row r="35" spans="1:73" ht="16.5" customHeight="1">
      <c r="A35" s="17" t="s">
        <v>55</v>
      </c>
      <c r="B35" s="17"/>
      <c r="C35" s="17"/>
      <c r="D35" s="17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73" ht="16.5" customHeight="1">
      <c r="A36" s="23" t="s">
        <v>56</v>
      </c>
      <c r="B36" s="46">
        <f>Contents!A16</f>
        <v>44578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18"/>
      <c r="P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</row>
    <row r="37" spans="1:73">
      <c r="O37" s="118"/>
      <c r="P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</row>
    <row r="38" spans="1:73">
      <c r="O38" s="118"/>
      <c r="P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</row>
    <row r="39" spans="1:73">
      <c r="O39" s="118"/>
      <c r="P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</row>
    <row r="40" spans="1:73">
      <c r="F40" s="47"/>
      <c r="O40" s="118"/>
      <c r="P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</row>
    <row r="41" spans="1:73">
      <c r="O41" s="118"/>
      <c r="P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</row>
    <row r="42" spans="1:73">
      <c r="O42" s="118"/>
      <c r="P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</row>
    <row r="43" spans="1:73">
      <c r="O43" s="118"/>
      <c r="P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</row>
    <row r="44" spans="1:73">
      <c r="O44" s="118"/>
      <c r="P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</row>
    <row r="45" spans="1:73">
      <c r="O45" s="118"/>
      <c r="P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</row>
    <row r="46" spans="1:73">
      <c r="O46" s="118"/>
      <c r="P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</row>
    <row r="47" spans="1:73">
      <c r="O47" s="118"/>
      <c r="P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</row>
    <row r="48" spans="1:73">
      <c r="O48" s="118"/>
      <c r="P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</row>
    <row r="49" spans="15:73">
      <c r="O49" s="118"/>
      <c r="P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</row>
    <row r="50" spans="15:73">
      <c r="O50" s="118"/>
      <c r="P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</row>
    <row r="51" spans="15:73">
      <c r="O51" s="118"/>
      <c r="P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</row>
    <row r="52" spans="15:73">
      <c r="O52" s="118"/>
      <c r="P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</row>
    <row r="53" spans="15:73">
      <c r="O53" s="118"/>
      <c r="P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</row>
    <row r="54" spans="15:73">
      <c r="O54" s="118"/>
      <c r="P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</row>
    <row r="55" spans="15:73">
      <c r="O55" s="118"/>
      <c r="P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</row>
    <row r="56" spans="15:73">
      <c r="O56" s="118"/>
      <c r="P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</row>
    <row r="57" spans="15:73">
      <c r="O57" s="118"/>
      <c r="P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</row>
    <row r="58" spans="15:73">
      <c r="O58" s="118"/>
      <c r="P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</row>
    <row r="59" spans="15:73">
      <c r="O59" s="118"/>
      <c r="P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</row>
    <row r="60" spans="15:73">
      <c r="O60" s="118"/>
      <c r="P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</row>
    <row r="61" spans="15:73">
      <c r="O61" s="118"/>
      <c r="P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</row>
    <row r="62" spans="15:73">
      <c r="O62" s="118"/>
      <c r="P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</row>
    <row r="63" spans="15:73">
      <c r="O63" s="118"/>
      <c r="P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</row>
    <row r="64" spans="15:73"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</row>
    <row r="65" spans="15:73"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</row>
    <row r="66" spans="15:73"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</row>
    <row r="67" spans="15:73"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</row>
    <row r="68" spans="15:73"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</row>
    <row r="69" spans="15:73"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</row>
    <row r="70" spans="15:73"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</row>
    <row r="71" spans="15:73"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</row>
    <row r="72" spans="15:73"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</row>
    <row r="73" spans="15:73"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</row>
    <row r="74" spans="15:73"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</row>
    <row r="75" spans="15:73"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</row>
    <row r="76" spans="15:73"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</row>
    <row r="77" spans="15:73"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</row>
    <row r="78" spans="15:73"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</row>
    <row r="79" spans="15:73"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</row>
    <row r="80" spans="15:73"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</row>
    <row r="81" spans="15:73"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</row>
    <row r="82" spans="15:73"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</row>
    <row r="83" spans="15:73"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</row>
    <row r="84" spans="15:73"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</row>
    <row r="85" spans="15:73"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</row>
    <row r="86" spans="15:73"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</row>
    <row r="87" spans="15:73"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</row>
    <row r="88" spans="15:73"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</row>
    <row r="89" spans="15:73"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</row>
    <row r="90" spans="15:73"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</row>
    <row r="91" spans="15:73"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</row>
    <row r="92" spans="15:73"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</row>
    <row r="93" spans="15:73"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</row>
    <row r="94" spans="15:73"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</row>
    <row r="95" spans="15:73"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</row>
    <row r="96" spans="15:73"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</row>
    <row r="97" spans="15:73"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</row>
    <row r="98" spans="15:73"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</row>
    <row r="99" spans="15:73"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</row>
    <row r="100" spans="15:73"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</row>
    <row r="101" spans="15:73"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</row>
    <row r="102" spans="15:73"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</row>
    <row r="103" spans="15:73"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</row>
    <row r="104" spans="15:73"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</row>
    <row r="105" spans="15:73"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</row>
    <row r="106" spans="15:73"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</row>
    <row r="107" spans="15:73"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</row>
    <row r="108" spans="15:73"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</row>
    <row r="109" spans="15:73"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</row>
    <row r="110" spans="15:73"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</row>
    <row r="111" spans="15:73"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</row>
    <row r="112" spans="15:73"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</row>
    <row r="113" spans="15:73"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</row>
    <row r="114" spans="15:73"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</row>
    <row r="115" spans="15:73"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</row>
    <row r="116" spans="15:73"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</row>
    <row r="117" spans="15:73"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</row>
    <row r="118" spans="15:73"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</row>
    <row r="119" spans="15:73"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</row>
    <row r="120" spans="15:73"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</row>
    <row r="121" spans="15:73"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</row>
    <row r="122" spans="15:73"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</row>
    <row r="123" spans="15:73"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</row>
    <row r="124" spans="15:73"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</row>
    <row r="125" spans="15:73"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</row>
    <row r="126" spans="15:73"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</row>
    <row r="127" spans="15:73"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</row>
    <row r="128" spans="15:73"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</row>
    <row r="129" spans="15:73"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</row>
    <row r="130" spans="15:73"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</row>
    <row r="131" spans="15:73"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</row>
    <row r="132" spans="15:73"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</row>
    <row r="133" spans="15:73"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</row>
    <row r="134" spans="15:73"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</row>
    <row r="135" spans="15:73"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</row>
    <row r="136" spans="15:73"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</row>
    <row r="137" spans="15:73"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</row>
    <row r="138" spans="15:73"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118"/>
    </row>
    <row r="139" spans="15:73"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</row>
    <row r="140" spans="15:73"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</row>
    <row r="141" spans="15:73"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</row>
    <row r="142" spans="15:73"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18"/>
      <c r="BT142" s="118"/>
      <c r="BU142" s="118"/>
    </row>
    <row r="143" spans="15:73"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</row>
    <row r="144" spans="15:73"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</row>
    <row r="145" spans="15:73"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</row>
    <row r="146" spans="15:73"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</row>
    <row r="147" spans="15:73"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</row>
    <row r="148" spans="15:73"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18"/>
      <c r="BT148" s="118"/>
      <c r="BU148" s="118"/>
    </row>
    <row r="149" spans="15:73"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</row>
    <row r="150" spans="15:73"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</row>
    <row r="151" spans="15:73"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</row>
    <row r="152" spans="15:73"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</row>
    <row r="153" spans="15:73"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</row>
    <row r="154" spans="15:73"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</row>
    <row r="155" spans="15:73"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18"/>
    </row>
    <row r="156" spans="15:73"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</row>
    <row r="157" spans="15:73"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</row>
    <row r="158" spans="15:73"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</row>
    <row r="159" spans="15:73"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18"/>
    </row>
    <row r="160" spans="15:73"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18"/>
    </row>
    <row r="161" spans="15:73"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</row>
    <row r="162" spans="15:73"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</row>
    <row r="163" spans="15:73"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18"/>
    </row>
    <row r="164" spans="15:73"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18"/>
    </row>
    <row r="165" spans="15:73"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18"/>
    </row>
    <row r="166" spans="15:73"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18"/>
    </row>
    <row r="167" spans="15:73"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</row>
    <row r="168" spans="15:73"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18"/>
    </row>
    <row r="169" spans="15:73"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18"/>
      <c r="BU169" s="118"/>
    </row>
    <row r="170" spans="15:73"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</row>
    <row r="171" spans="15:73"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</row>
    <row r="172" spans="15:73"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</row>
    <row r="173" spans="15:73"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</row>
    <row r="174" spans="15:73"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</row>
    <row r="175" spans="15:73"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</row>
    <row r="176" spans="15:73"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</row>
    <row r="177" spans="15:73"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</row>
    <row r="178" spans="15:73"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</row>
    <row r="179" spans="15:73"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</row>
    <row r="180" spans="15:73"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18"/>
      <c r="BT180" s="118"/>
      <c r="BU180" s="118"/>
    </row>
    <row r="181" spans="15:73"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118"/>
      <c r="BN181" s="118"/>
      <c r="BO181" s="118"/>
      <c r="BP181" s="118"/>
      <c r="BQ181" s="118"/>
      <c r="BR181" s="118"/>
      <c r="BS181" s="118"/>
      <c r="BT181" s="118"/>
      <c r="BU181" s="118"/>
    </row>
    <row r="182" spans="15:73"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118"/>
      <c r="BS182" s="118"/>
      <c r="BT182" s="118"/>
      <c r="BU182" s="118"/>
    </row>
    <row r="183" spans="15:73"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  <c r="BM183" s="118"/>
      <c r="BN183" s="118"/>
      <c r="BO183" s="118"/>
      <c r="BP183" s="118"/>
      <c r="BQ183" s="118"/>
      <c r="BR183" s="118"/>
      <c r="BS183" s="118"/>
      <c r="BT183" s="118"/>
      <c r="BU183" s="118"/>
    </row>
    <row r="184" spans="15:73"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118"/>
      <c r="BS184" s="118"/>
      <c r="BT184" s="118"/>
      <c r="BU184" s="118"/>
    </row>
    <row r="185" spans="15:73"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  <c r="BS185" s="118"/>
      <c r="BT185" s="118"/>
      <c r="BU185" s="118"/>
    </row>
    <row r="186" spans="15:73"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  <c r="BM186" s="118"/>
      <c r="BN186" s="118"/>
      <c r="BO186" s="118"/>
      <c r="BP186" s="118"/>
      <c r="BQ186" s="118"/>
      <c r="BR186" s="118"/>
      <c r="BS186" s="118"/>
      <c r="BT186" s="118"/>
      <c r="BU186" s="118"/>
    </row>
    <row r="187" spans="15:73"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8"/>
      <c r="BM187" s="118"/>
      <c r="BN187" s="118"/>
      <c r="BO187" s="118"/>
      <c r="BP187" s="118"/>
      <c r="BQ187" s="118"/>
      <c r="BR187" s="118"/>
      <c r="BS187" s="118"/>
      <c r="BT187" s="118"/>
      <c r="BU187" s="118"/>
    </row>
    <row r="188" spans="15:73"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18"/>
    </row>
    <row r="189" spans="15:73"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  <c r="BS189" s="118"/>
      <c r="BT189" s="118"/>
      <c r="BU189" s="118"/>
    </row>
    <row r="190" spans="15:73"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118"/>
      <c r="BS190" s="118"/>
      <c r="BT190" s="118"/>
      <c r="BU190" s="118"/>
    </row>
    <row r="191" spans="15:73"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118"/>
      <c r="BS191" s="118"/>
      <c r="BT191" s="118"/>
      <c r="BU191" s="118"/>
    </row>
    <row r="192" spans="15:73"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18"/>
      <c r="BT192" s="118"/>
      <c r="BU192" s="118"/>
    </row>
    <row r="193" spans="15:73"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  <c r="BS193" s="118"/>
      <c r="BT193" s="118"/>
      <c r="BU193" s="118"/>
    </row>
    <row r="194" spans="15:73"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</row>
    <row r="195" spans="15:73"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</row>
    <row r="196" spans="15:73"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BS196" s="118"/>
      <c r="BT196" s="118"/>
      <c r="BU196" s="118"/>
    </row>
    <row r="197" spans="15:73"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18"/>
      <c r="BT197" s="118"/>
      <c r="BU197" s="118"/>
    </row>
    <row r="198" spans="15:73"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18"/>
    </row>
    <row r="199" spans="15:73"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118"/>
      <c r="BS199" s="118"/>
      <c r="BT199" s="118"/>
      <c r="BU199" s="118"/>
    </row>
    <row r="200" spans="15:73"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118"/>
      <c r="BS200" s="118"/>
      <c r="BT200" s="118"/>
      <c r="BU200" s="118"/>
    </row>
    <row r="201" spans="15:73"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118"/>
      <c r="BS201" s="118"/>
      <c r="BT201" s="118"/>
      <c r="BU201" s="118"/>
    </row>
    <row r="202" spans="15:73"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  <c r="BS202" s="118"/>
      <c r="BT202" s="118"/>
      <c r="BU202" s="118"/>
    </row>
    <row r="203" spans="15:73"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118"/>
      <c r="BS203" s="118"/>
      <c r="BT203" s="118"/>
      <c r="BU203" s="118"/>
    </row>
    <row r="204" spans="15:73"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  <c r="BS204" s="118"/>
      <c r="BT204" s="118"/>
      <c r="BU204" s="118"/>
    </row>
    <row r="205" spans="15:73"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118"/>
      <c r="BS205" s="118"/>
      <c r="BT205" s="118"/>
      <c r="BU205" s="118"/>
    </row>
    <row r="206" spans="15:73"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  <c r="BS206" s="118"/>
      <c r="BT206" s="118"/>
      <c r="BU206" s="118"/>
    </row>
    <row r="207" spans="15:73"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  <c r="BS207" s="118"/>
      <c r="BT207" s="118"/>
      <c r="BU207" s="118"/>
    </row>
    <row r="208" spans="15:73"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118"/>
      <c r="BS208" s="118"/>
      <c r="BT208" s="118"/>
      <c r="BU208" s="118"/>
    </row>
    <row r="209" spans="15:73"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118"/>
      <c r="BS209" s="118"/>
      <c r="BT209" s="118"/>
      <c r="BU209" s="118"/>
    </row>
    <row r="210" spans="15:73"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18"/>
      <c r="BR210" s="118"/>
      <c r="BS210" s="118"/>
      <c r="BT210" s="118"/>
      <c r="BU210" s="118"/>
    </row>
    <row r="211" spans="15:73"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118"/>
      <c r="BS211" s="118"/>
      <c r="BT211" s="118"/>
      <c r="BU211" s="118"/>
    </row>
    <row r="212" spans="15:73"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  <c r="BS212" s="118"/>
      <c r="BT212" s="118"/>
      <c r="BU212" s="118"/>
    </row>
    <row r="213" spans="15:73"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18"/>
      <c r="BT213" s="118"/>
      <c r="BU213" s="118"/>
    </row>
    <row r="214" spans="15:73"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18"/>
      <c r="BT214" s="118"/>
      <c r="BU214" s="118"/>
    </row>
    <row r="215" spans="15:73"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  <c r="BS215" s="118"/>
      <c r="BT215" s="118"/>
      <c r="BU215" s="118"/>
    </row>
    <row r="216" spans="15:73"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  <c r="BS216" s="118"/>
      <c r="BT216" s="118"/>
      <c r="BU216" s="118"/>
    </row>
    <row r="217" spans="15:73"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118"/>
      <c r="BS217" s="118"/>
      <c r="BT217" s="118"/>
      <c r="BU217" s="118"/>
    </row>
    <row r="218" spans="15:73"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118"/>
      <c r="BS218" s="118"/>
      <c r="BT218" s="118"/>
      <c r="BU218" s="118"/>
    </row>
    <row r="219" spans="15:73"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  <c r="BS219" s="118"/>
      <c r="BT219" s="118"/>
      <c r="BU219" s="118"/>
    </row>
    <row r="220" spans="15:73"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  <c r="BS220" s="118"/>
      <c r="BT220" s="118"/>
      <c r="BU220" s="118"/>
    </row>
    <row r="221" spans="15:73"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118"/>
      <c r="BS221" s="118"/>
      <c r="BT221" s="118"/>
      <c r="BU221" s="118"/>
    </row>
    <row r="222" spans="15:73"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  <c r="BS222" s="118"/>
      <c r="BT222" s="118"/>
      <c r="BU222" s="118"/>
    </row>
    <row r="223" spans="15:73"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118"/>
      <c r="BS223" s="118"/>
      <c r="BT223" s="118"/>
      <c r="BU223" s="118"/>
    </row>
    <row r="224" spans="15:73"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18"/>
      <c r="BR224" s="118"/>
      <c r="BS224" s="118"/>
      <c r="BT224" s="118"/>
      <c r="BU224" s="118"/>
    </row>
    <row r="225" spans="15:73"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  <c r="BS225" s="118"/>
      <c r="BT225" s="118"/>
      <c r="BU225" s="118"/>
    </row>
    <row r="226" spans="15:73"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  <c r="BM226" s="118"/>
      <c r="BN226" s="118"/>
      <c r="BO226" s="118"/>
      <c r="BP226" s="118"/>
      <c r="BQ226" s="118"/>
      <c r="BR226" s="118"/>
      <c r="BS226" s="118"/>
      <c r="BT226" s="118"/>
      <c r="BU226" s="118"/>
    </row>
    <row r="227" spans="15:73"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  <c r="BM227" s="118"/>
      <c r="BN227" s="118"/>
      <c r="BO227" s="118"/>
      <c r="BP227" s="118"/>
      <c r="BQ227" s="118"/>
      <c r="BR227" s="118"/>
      <c r="BS227" s="118"/>
      <c r="BT227" s="118"/>
      <c r="BU227" s="118"/>
    </row>
    <row r="228" spans="15:73"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118"/>
      <c r="BN228" s="118"/>
      <c r="BO228" s="118"/>
      <c r="BP228" s="118"/>
      <c r="BQ228" s="118"/>
      <c r="BR228" s="118"/>
      <c r="BS228" s="118"/>
      <c r="BT228" s="118"/>
      <c r="BU228" s="118"/>
    </row>
    <row r="229" spans="15:73"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  <c r="BM229" s="118"/>
      <c r="BN229" s="118"/>
      <c r="BO229" s="118"/>
      <c r="BP229" s="118"/>
      <c r="BQ229" s="118"/>
      <c r="BR229" s="118"/>
      <c r="BS229" s="118"/>
      <c r="BT229" s="118"/>
      <c r="BU229" s="118"/>
    </row>
    <row r="230" spans="15:73"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118"/>
      <c r="BS230" s="118"/>
      <c r="BT230" s="118"/>
      <c r="BU230" s="118"/>
    </row>
    <row r="231" spans="15:73"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  <c r="BM231" s="118"/>
      <c r="BN231" s="118"/>
      <c r="BO231" s="118"/>
      <c r="BP231" s="118"/>
      <c r="BQ231" s="118"/>
      <c r="BR231" s="118"/>
      <c r="BS231" s="118"/>
      <c r="BT231" s="118"/>
      <c r="BU231" s="118"/>
    </row>
    <row r="232" spans="15:73"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118"/>
      <c r="BS232" s="118"/>
      <c r="BT232" s="118"/>
      <c r="BU232" s="118"/>
    </row>
    <row r="233" spans="15:73"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8"/>
      <c r="BM233" s="118"/>
      <c r="BN233" s="118"/>
      <c r="BO233" s="118"/>
      <c r="BP233" s="118"/>
      <c r="BQ233" s="118"/>
      <c r="BR233" s="118"/>
      <c r="BS233" s="118"/>
      <c r="BT233" s="118"/>
      <c r="BU233" s="118"/>
    </row>
    <row r="234" spans="15:73"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BM234" s="118"/>
      <c r="BN234" s="118"/>
      <c r="BO234" s="118"/>
      <c r="BP234" s="118"/>
      <c r="BQ234" s="118"/>
      <c r="BR234" s="118"/>
      <c r="BS234" s="118"/>
      <c r="BT234" s="118"/>
      <c r="BU234" s="118"/>
    </row>
    <row r="235" spans="15:73"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118"/>
      <c r="BS235" s="118"/>
      <c r="BT235" s="118"/>
      <c r="BU235" s="118"/>
    </row>
    <row r="236" spans="15:73"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  <c r="BM236" s="118"/>
      <c r="BN236" s="118"/>
      <c r="BO236" s="118"/>
      <c r="BP236" s="118"/>
      <c r="BQ236" s="118"/>
      <c r="BR236" s="118"/>
      <c r="BS236" s="118"/>
      <c r="BT236" s="118"/>
      <c r="BU236" s="118"/>
    </row>
    <row r="237" spans="15:73"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18"/>
      <c r="BT237" s="118"/>
      <c r="BU237" s="118"/>
    </row>
    <row r="238" spans="15:73"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18"/>
      <c r="BT238" s="118"/>
      <c r="BU238" s="118"/>
    </row>
    <row r="239" spans="15:73"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118"/>
      <c r="BS239" s="118"/>
      <c r="BT239" s="118"/>
      <c r="BU239" s="118"/>
    </row>
    <row r="240" spans="15:73"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118"/>
      <c r="BS240" s="118"/>
      <c r="BT240" s="118"/>
      <c r="BU240" s="118"/>
    </row>
    <row r="241" spans="15:73"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118"/>
      <c r="BS241" s="118"/>
      <c r="BT241" s="118"/>
      <c r="BU241" s="118"/>
    </row>
    <row r="242" spans="15:73"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  <c r="BS242" s="118"/>
      <c r="BT242" s="118"/>
      <c r="BU242" s="118"/>
    </row>
    <row r="243" spans="15:73"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  <c r="BS243" s="118"/>
      <c r="BT243" s="118"/>
      <c r="BU243" s="118"/>
    </row>
    <row r="244" spans="15:73"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  <c r="BS244" s="118"/>
      <c r="BT244" s="118"/>
      <c r="BU244" s="118"/>
    </row>
    <row r="245" spans="15:73"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8"/>
      <c r="BM245" s="118"/>
      <c r="BN245" s="118"/>
      <c r="BO245" s="118"/>
      <c r="BP245" s="118"/>
      <c r="BQ245" s="118"/>
      <c r="BR245" s="118"/>
      <c r="BS245" s="118"/>
      <c r="BT245" s="118"/>
      <c r="BU245" s="118"/>
    </row>
    <row r="246" spans="15:73"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  <c r="BM246" s="118"/>
      <c r="BN246" s="118"/>
      <c r="BO246" s="118"/>
      <c r="BP246" s="118"/>
      <c r="BQ246" s="118"/>
      <c r="BR246" s="118"/>
      <c r="BS246" s="118"/>
      <c r="BT246" s="118"/>
      <c r="BU246" s="118"/>
    </row>
    <row r="247" spans="15:73"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118"/>
      <c r="BS247" s="118"/>
      <c r="BT247" s="118"/>
      <c r="BU247" s="118"/>
    </row>
    <row r="248" spans="15:73"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  <c r="BS248" s="118"/>
      <c r="BT248" s="118"/>
      <c r="BU248" s="118"/>
    </row>
    <row r="249" spans="15:73"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  <c r="BM249" s="118"/>
      <c r="BN249" s="118"/>
      <c r="BO249" s="118"/>
      <c r="BP249" s="118"/>
      <c r="BQ249" s="118"/>
      <c r="BR249" s="118"/>
      <c r="BS249" s="118"/>
      <c r="BT249" s="118"/>
      <c r="BU249" s="118"/>
    </row>
    <row r="250" spans="15:73"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BM250" s="118"/>
      <c r="BN250" s="118"/>
      <c r="BO250" s="118"/>
      <c r="BP250" s="118"/>
      <c r="BQ250" s="118"/>
      <c r="BR250" s="118"/>
      <c r="BS250" s="118"/>
      <c r="BT250" s="118"/>
      <c r="BU250" s="118"/>
    </row>
    <row r="251" spans="15:73"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  <c r="BM251" s="118"/>
      <c r="BN251" s="118"/>
      <c r="BO251" s="118"/>
      <c r="BP251" s="118"/>
      <c r="BQ251" s="118"/>
      <c r="BR251" s="118"/>
      <c r="BS251" s="118"/>
      <c r="BT251" s="118"/>
      <c r="BU251" s="118"/>
    </row>
    <row r="252" spans="15:73"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118"/>
      <c r="BS252" s="118"/>
      <c r="BT252" s="118"/>
      <c r="BU252" s="118"/>
    </row>
    <row r="253" spans="15:73"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118"/>
      <c r="BS253" s="118"/>
      <c r="BT253" s="118"/>
      <c r="BU253" s="118"/>
    </row>
    <row r="254" spans="15:73"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118"/>
      <c r="BS254" s="118"/>
      <c r="BT254" s="118"/>
      <c r="BU254" s="118"/>
    </row>
    <row r="255" spans="15:73"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8"/>
      <c r="BM255" s="118"/>
      <c r="BN255" s="118"/>
      <c r="BO255" s="118"/>
      <c r="BP255" s="118"/>
      <c r="BQ255" s="118"/>
      <c r="BR255" s="118"/>
      <c r="BS255" s="118"/>
      <c r="BT255" s="118"/>
      <c r="BU255" s="118"/>
    </row>
    <row r="256" spans="15:73"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M256" s="118"/>
      <c r="BN256" s="118"/>
      <c r="BO256" s="118"/>
      <c r="BP256" s="118"/>
      <c r="BQ256" s="118"/>
      <c r="BR256" s="118"/>
      <c r="BS256" s="118"/>
      <c r="BT256" s="118"/>
      <c r="BU256" s="118"/>
    </row>
    <row r="257" spans="15:73"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  <c r="BS257" s="118"/>
      <c r="BT257" s="118"/>
      <c r="BU257" s="118"/>
    </row>
    <row r="258" spans="15:73"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118"/>
      <c r="BS258" s="118"/>
      <c r="BT258" s="118"/>
      <c r="BU258" s="118"/>
    </row>
    <row r="259" spans="15:73"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  <c r="BM259" s="118"/>
      <c r="BN259" s="118"/>
      <c r="BO259" s="118"/>
      <c r="BP259" s="118"/>
      <c r="BQ259" s="118"/>
      <c r="BR259" s="118"/>
      <c r="BS259" s="118"/>
      <c r="BT259" s="118"/>
      <c r="BU259" s="118"/>
    </row>
    <row r="260" spans="15:73"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118"/>
      <c r="BS260" s="118"/>
      <c r="BT260" s="118"/>
      <c r="BU260" s="118"/>
    </row>
    <row r="261" spans="15:73"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18"/>
      <c r="BR261" s="118"/>
      <c r="BS261" s="118"/>
      <c r="BT261" s="118"/>
      <c r="BU261" s="118"/>
    </row>
    <row r="262" spans="15:73"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  <c r="BM262" s="118"/>
      <c r="BN262" s="118"/>
      <c r="BO262" s="118"/>
      <c r="BP262" s="118"/>
      <c r="BQ262" s="118"/>
      <c r="BR262" s="118"/>
      <c r="BS262" s="118"/>
      <c r="BT262" s="118"/>
      <c r="BU262" s="118"/>
    </row>
    <row r="263" spans="15:73"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  <c r="BM263" s="118"/>
      <c r="BN263" s="118"/>
      <c r="BO263" s="118"/>
      <c r="BP263" s="118"/>
      <c r="BQ263" s="118"/>
      <c r="BR263" s="118"/>
      <c r="BS263" s="118"/>
      <c r="BT263" s="118"/>
      <c r="BU263" s="118"/>
    </row>
    <row r="264" spans="15:73"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</row>
    <row r="265" spans="15:73"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118"/>
      <c r="BS265" s="118"/>
      <c r="BT265" s="118"/>
      <c r="BU265" s="118"/>
    </row>
    <row r="266" spans="15:73"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118"/>
      <c r="BS266" s="118"/>
      <c r="BT266" s="118"/>
      <c r="BU266" s="118"/>
    </row>
    <row r="267" spans="15:73"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118"/>
      <c r="BS267" s="118"/>
      <c r="BT267" s="118"/>
      <c r="BU267" s="118"/>
    </row>
    <row r="268" spans="15:73"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  <c r="BS268" s="118"/>
      <c r="BT268" s="118"/>
      <c r="BU268" s="118"/>
    </row>
    <row r="269" spans="15:73"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118"/>
      <c r="BS269" s="118"/>
      <c r="BT269" s="118"/>
      <c r="BU269" s="118"/>
    </row>
    <row r="270" spans="15:73"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118"/>
      <c r="BS270" s="118"/>
      <c r="BT270" s="118"/>
      <c r="BU270" s="118"/>
    </row>
    <row r="271" spans="15:73"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118"/>
      <c r="BS271" s="118"/>
      <c r="BT271" s="118"/>
      <c r="BU271" s="118"/>
    </row>
    <row r="272" spans="15:73"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118"/>
      <c r="BS272" s="118"/>
      <c r="BT272" s="118"/>
      <c r="BU272" s="118"/>
    </row>
    <row r="273" spans="15:73"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118"/>
      <c r="BS273" s="118"/>
      <c r="BT273" s="118"/>
      <c r="BU273" s="118"/>
    </row>
    <row r="274" spans="15:73"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118"/>
      <c r="BS274" s="118"/>
      <c r="BT274" s="118"/>
      <c r="BU274" s="118"/>
    </row>
    <row r="275" spans="15:73"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</row>
    <row r="276" spans="15:73"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118"/>
      <c r="BS276" s="118"/>
      <c r="BT276" s="118"/>
      <c r="BU276" s="118"/>
    </row>
    <row r="277" spans="15:73"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118"/>
      <c r="BS277" s="118"/>
      <c r="BT277" s="118"/>
      <c r="BU277" s="118"/>
    </row>
    <row r="278" spans="15:73"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  <c r="BS278" s="118"/>
      <c r="BT278" s="118"/>
      <c r="BU278" s="118"/>
    </row>
    <row r="279" spans="15:73"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</row>
    <row r="280" spans="15:73"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  <c r="BS280" s="118"/>
      <c r="BT280" s="118"/>
      <c r="BU280" s="118"/>
    </row>
    <row r="281" spans="15:73"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  <c r="BS281" s="118"/>
      <c r="BT281" s="118"/>
      <c r="BU281" s="118"/>
    </row>
    <row r="282" spans="15:73"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  <c r="BI282" s="118"/>
      <c r="BJ282" s="118"/>
      <c r="BK282" s="118"/>
      <c r="BL282" s="118"/>
      <c r="BM282" s="118"/>
      <c r="BN282" s="118"/>
      <c r="BO282" s="118"/>
      <c r="BP282" s="118"/>
      <c r="BQ282" s="118"/>
      <c r="BR282" s="118"/>
      <c r="BS282" s="118"/>
      <c r="BT282" s="118"/>
      <c r="BU282" s="118"/>
    </row>
    <row r="283" spans="15:73"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/>
      <c r="BJ283" s="118"/>
      <c r="BK283" s="118"/>
      <c r="BL283" s="118"/>
      <c r="BM283" s="118"/>
      <c r="BN283" s="118"/>
      <c r="BO283" s="118"/>
      <c r="BP283" s="118"/>
      <c r="BQ283" s="118"/>
      <c r="BR283" s="118"/>
      <c r="BS283" s="118"/>
      <c r="BT283" s="118"/>
      <c r="BU283" s="118"/>
    </row>
    <row r="284" spans="15:73"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118"/>
      <c r="BS284" s="118"/>
      <c r="BT284" s="118"/>
      <c r="BU284" s="118"/>
    </row>
    <row r="285" spans="15:73"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  <c r="BI285" s="118"/>
      <c r="BJ285" s="118"/>
      <c r="BK285" s="118"/>
      <c r="BL285" s="118"/>
      <c r="BM285" s="118"/>
      <c r="BN285" s="118"/>
      <c r="BO285" s="118"/>
      <c r="BP285" s="118"/>
      <c r="BQ285" s="118"/>
      <c r="BR285" s="118"/>
      <c r="BS285" s="118"/>
      <c r="BT285" s="118"/>
      <c r="BU285" s="118"/>
    </row>
    <row r="286" spans="15:73"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/>
      <c r="BJ286" s="118"/>
      <c r="BK286" s="118"/>
      <c r="BL286" s="118"/>
      <c r="BM286" s="118"/>
      <c r="BN286" s="118"/>
      <c r="BO286" s="118"/>
      <c r="BP286" s="118"/>
      <c r="BQ286" s="118"/>
      <c r="BR286" s="118"/>
      <c r="BS286" s="118"/>
      <c r="BT286" s="118"/>
      <c r="BU286" s="118"/>
    </row>
    <row r="287" spans="15:73"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  <c r="BM287" s="118"/>
      <c r="BN287" s="118"/>
      <c r="BO287" s="118"/>
      <c r="BP287" s="118"/>
      <c r="BQ287" s="118"/>
      <c r="BR287" s="118"/>
      <c r="BS287" s="118"/>
      <c r="BT287" s="118"/>
      <c r="BU287" s="118"/>
    </row>
    <row r="288" spans="15:73"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  <c r="BK288" s="118"/>
      <c r="BL288" s="118"/>
      <c r="BM288" s="118"/>
      <c r="BN288" s="118"/>
      <c r="BO288" s="118"/>
      <c r="BP288" s="118"/>
      <c r="BQ288" s="118"/>
      <c r="BR288" s="118"/>
      <c r="BS288" s="118"/>
      <c r="BT288" s="118"/>
      <c r="BU288" s="118"/>
    </row>
    <row r="289" spans="15:73"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  <c r="BM289" s="118"/>
      <c r="BN289" s="118"/>
      <c r="BO289" s="118"/>
      <c r="BP289" s="118"/>
      <c r="BQ289" s="118"/>
      <c r="BR289" s="118"/>
      <c r="BS289" s="118"/>
      <c r="BT289" s="118"/>
      <c r="BU289" s="118"/>
    </row>
    <row r="290" spans="15:73"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  <c r="BM290" s="118"/>
      <c r="BN290" s="118"/>
      <c r="BO290" s="118"/>
      <c r="BP290" s="118"/>
      <c r="BQ290" s="118"/>
      <c r="BR290" s="118"/>
      <c r="BS290" s="118"/>
      <c r="BT290" s="118"/>
      <c r="BU290" s="118"/>
    </row>
    <row r="291" spans="15:73"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  <c r="BM291" s="118"/>
      <c r="BN291" s="118"/>
      <c r="BO291" s="118"/>
      <c r="BP291" s="118"/>
      <c r="BQ291" s="118"/>
      <c r="BR291" s="118"/>
      <c r="BS291" s="118"/>
      <c r="BT291" s="118"/>
      <c r="BU291" s="118"/>
    </row>
    <row r="292" spans="15:73"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8"/>
      <c r="BK292" s="118"/>
      <c r="BL292" s="118"/>
      <c r="BM292" s="118"/>
      <c r="BN292" s="118"/>
      <c r="BO292" s="118"/>
      <c r="BP292" s="118"/>
      <c r="BQ292" s="118"/>
      <c r="BR292" s="118"/>
      <c r="BS292" s="118"/>
      <c r="BT292" s="118"/>
      <c r="BU292" s="118"/>
    </row>
    <row r="293" spans="15:73"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/>
      <c r="BJ293" s="118"/>
      <c r="BK293" s="118"/>
      <c r="BL293" s="118"/>
      <c r="BM293" s="118"/>
      <c r="BN293" s="118"/>
      <c r="BO293" s="118"/>
      <c r="BP293" s="118"/>
      <c r="BQ293" s="118"/>
      <c r="BR293" s="118"/>
      <c r="BS293" s="118"/>
      <c r="BT293" s="118"/>
      <c r="BU293" s="118"/>
    </row>
    <row r="294" spans="15:73"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  <c r="BM294" s="118"/>
      <c r="BN294" s="118"/>
      <c r="BO294" s="118"/>
      <c r="BP294" s="118"/>
      <c r="BQ294" s="118"/>
      <c r="BR294" s="118"/>
      <c r="BS294" s="118"/>
      <c r="BT294" s="118"/>
      <c r="BU294" s="118"/>
    </row>
    <row r="295" spans="15:73"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  <c r="BM295" s="118"/>
      <c r="BN295" s="118"/>
      <c r="BO295" s="118"/>
      <c r="BP295" s="118"/>
      <c r="BQ295" s="118"/>
      <c r="BR295" s="118"/>
      <c r="BS295" s="118"/>
      <c r="BT295" s="118"/>
      <c r="BU295" s="118"/>
    </row>
    <row r="296" spans="15:73"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  <c r="BM296" s="118"/>
      <c r="BN296" s="118"/>
      <c r="BO296" s="118"/>
      <c r="BP296" s="118"/>
      <c r="BQ296" s="118"/>
      <c r="BR296" s="118"/>
      <c r="BS296" s="118"/>
      <c r="BT296" s="118"/>
      <c r="BU296" s="118"/>
    </row>
    <row r="297" spans="15:73"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  <c r="BM297" s="118"/>
      <c r="BN297" s="118"/>
      <c r="BO297" s="118"/>
      <c r="BP297" s="118"/>
      <c r="BQ297" s="118"/>
      <c r="BR297" s="118"/>
      <c r="BS297" s="118"/>
      <c r="BT297" s="118"/>
      <c r="BU297" s="118"/>
    </row>
    <row r="298" spans="15:73"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18"/>
      <c r="BN298" s="118"/>
      <c r="BO298" s="118"/>
      <c r="BP298" s="118"/>
      <c r="BQ298" s="118"/>
      <c r="BR298" s="118"/>
      <c r="BS298" s="118"/>
      <c r="BT298" s="118"/>
      <c r="BU298" s="118"/>
    </row>
    <row r="299" spans="15:73"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  <c r="BM299" s="118"/>
      <c r="BN299" s="118"/>
      <c r="BO299" s="118"/>
      <c r="BP299" s="118"/>
      <c r="BQ299" s="118"/>
      <c r="BR299" s="118"/>
      <c r="BS299" s="118"/>
      <c r="BT299" s="118"/>
      <c r="BU299" s="118"/>
    </row>
    <row r="300" spans="15:73"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  <c r="BI300" s="118"/>
      <c r="BJ300" s="118"/>
      <c r="BK300" s="118"/>
      <c r="BL300" s="118"/>
      <c r="BM300" s="118"/>
      <c r="BN300" s="118"/>
      <c r="BO300" s="118"/>
      <c r="BP300" s="118"/>
      <c r="BQ300" s="118"/>
      <c r="BR300" s="118"/>
      <c r="BS300" s="118"/>
      <c r="BT300" s="118"/>
      <c r="BU300" s="118"/>
    </row>
    <row r="301" spans="15:73"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BM301" s="118"/>
      <c r="BN301" s="118"/>
      <c r="BO301" s="118"/>
      <c r="BP301" s="118"/>
      <c r="BQ301" s="118"/>
      <c r="BR301" s="118"/>
      <c r="BS301" s="118"/>
      <c r="BT301" s="118"/>
      <c r="BU301" s="118"/>
    </row>
    <row r="302" spans="15:73"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8"/>
      <c r="BK302" s="118"/>
      <c r="BL302" s="118"/>
      <c r="BM302" s="118"/>
      <c r="BN302" s="118"/>
      <c r="BO302" s="118"/>
      <c r="BP302" s="118"/>
      <c r="BQ302" s="118"/>
      <c r="BR302" s="118"/>
      <c r="BS302" s="118"/>
      <c r="BT302" s="118"/>
      <c r="BU302" s="118"/>
    </row>
    <row r="303" spans="15:73"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/>
      <c r="BJ303" s="118"/>
      <c r="BK303" s="118"/>
      <c r="BL303" s="118"/>
      <c r="BM303" s="118"/>
      <c r="BN303" s="118"/>
      <c r="BO303" s="118"/>
      <c r="BP303" s="118"/>
      <c r="BQ303" s="118"/>
      <c r="BR303" s="118"/>
      <c r="BS303" s="118"/>
      <c r="BT303" s="118"/>
      <c r="BU303" s="118"/>
    </row>
    <row r="304" spans="15:73"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  <c r="BI304" s="118"/>
      <c r="BJ304" s="118"/>
      <c r="BK304" s="118"/>
      <c r="BL304" s="118"/>
      <c r="BM304" s="118"/>
      <c r="BN304" s="118"/>
      <c r="BO304" s="118"/>
      <c r="BP304" s="118"/>
      <c r="BQ304" s="118"/>
      <c r="BR304" s="118"/>
      <c r="BS304" s="118"/>
      <c r="BT304" s="118"/>
      <c r="BU304" s="118"/>
    </row>
    <row r="305" spans="15:73"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8"/>
      <c r="BJ305" s="118"/>
      <c r="BK305" s="118"/>
      <c r="BL305" s="118"/>
      <c r="BM305" s="118"/>
      <c r="BN305" s="118"/>
      <c r="BO305" s="118"/>
      <c r="BP305" s="118"/>
      <c r="BQ305" s="118"/>
      <c r="BR305" s="118"/>
      <c r="BS305" s="118"/>
      <c r="BT305" s="118"/>
      <c r="BU305" s="118"/>
    </row>
    <row r="306" spans="15:73"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18"/>
      <c r="BN306" s="118"/>
      <c r="BO306" s="118"/>
      <c r="BP306" s="118"/>
      <c r="BQ306" s="118"/>
      <c r="BR306" s="118"/>
      <c r="BS306" s="118"/>
      <c r="BT306" s="118"/>
      <c r="BU306" s="118"/>
    </row>
    <row r="307" spans="15:73"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  <c r="BI307" s="118"/>
      <c r="BJ307" s="118"/>
      <c r="BK307" s="118"/>
      <c r="BL307" s="118"/>
      <c r="BM307" s="118"/>
      <c r="BN307" s="118"/>
      <c r="BO307" s="118"/>
      <c r="BP307" s="118"/>
      <c r="BQ307" s="118"/>
      <c r="BR307" s="118"/>
      <c r="BS307" s="118"/>
      <c r="BT307" s="118"/>
      <c r="BU307" s="118"/>
    </row>
    <row r="308" spans="15:73"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  <c r="BI308" s="118"/>
      <c r="BJ308" s="118"/>
      <c r="BK308" s="118"/>
      <c r="BL308" s="118"/>
      <c r="BM308" s="118"/>
      <c r="BN308" s="118"/>
      <c r="BO308" s="118"/>
      <c r="BP308" s="118"/>
      <c r="BQ308" s="118"/>
      <c r="BR308" s="118"/>
      <c r="BS308" s="118"/>
      <c r="BT308" s="118"/>
      <c r="BU308" s="118"/>
    </row>
    <row r="309" spans="15:73"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  <c r="BM309" s="118"/>
      <c r="BN309" s="118"/>
      <c r="BO309" s="118"/>
      <c r="BP309" s="118"/>
      <c r="BQ309" s="118"/>
      <c r="BR309" s="118"/>
      <c r="BS309" s="118"/>
      <c r="BT309" s="118"/>
      <c r="BU309" s="118"/>
    </row>
    <row r="310" spans="15:73"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18"/>
      <c r="BL310" s="118"/>
      <c r="BM310" s="118"/>
      <c r="BN310" s="118"/>
      <c r="BO310" s="118"/>
      <c r="BP310" s="118"/>
      <c r="BQ310" s="118"/>
      <c r="BR310" s="118"/>
      <c r="BS310" s="118"/>
      <c r="BT310" s="118"/>
      <c r="BU310" s="118"/>
    </row>
    <row r="311" spans="15:73"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  <c r="BM311" s="118"/>
      <c r="BN311" s="118"/>
      <c r="BO311" s="118"/>
      <c r="BP311" s="118"/>
      <c r="BQ311" s="118"/>
      <c r="BR311" s="118"/>
      <c r="BS311" s="118"/>
      <c r="BT311" s="118"/>
      <c r="BU311" s="118"/>
    </row>
    <row r="312" spans="15:73"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  <c r="BM312" s="118"/>
      <c r="BN312" s="118"/>
      <c r="BO312" s="118"/>
      <c r="BP312" s="118"/>
      <c r="BQ312" s="118"/>
      <c r="BR312" s="118"/>
      <c r="BS312" s="118"/>
      <c r="BT312" s="118"/>
      <c r="BU312" s="118"/>
    </row>
    <row r="313" spans="15:73"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  <c r="BI313" s="118"/>
      <c r="BJ313" s="118"/>
      <c r="BK313" s="118"/>
      <c r="BL313" s="118"/>
      <c r="BM313" s="118"/>
      <c r="BN313" s="118"/>
      <c r="BO313" s="118"/>
      <c r="BP313" s="118"/>
      <c r="BQ313" s="118"/>
      <c r="BR313" s="118"/>
      <c r="BS313" s="118"/>
      <c r="BT313" s="118"/>
      <c r="BU313" s="118"/>
    </row>
    <row r="314" spans="15:73"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8"/>
      <c r="BJ314" s="118"/>
      <c r="BK314" s="118"/>
      <c r="BL314" s="118"/>
      <c r="BM314" s="118"/>
      <c r="BN314" s="118"/>
      <c r="BO314" s="118"/>
      <c r="BP314" s="118"/>
      <c r="BQ314" s="118"/>
      <c r="BR314" s="118"/>
      <c r="BS314" s="118"/>
      <c r="BT314" s="118"/>
      <c r="BU314" s="118"/>
    </row>
    <row r="315" spans="15:73"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  <c r="BM315" s="118"/>
      <c r="BN315" s="118"/>
      <c r="BO315" s="118"/>
      <c r="BP315" s="118"/>
      <c r="BQ315" s="118"/>
      <c r="BR315" s="118"/>
      <c r="BS315" s="118"/>
      <c r="BT315" s="118"/>
      <c r="BU315" s="118"/>
    </row>
    <row r="316" spans="15:73"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  <c r="BI316" s="118"/>
      <c r="BJ316" s="118"/>
      <c r="BK316" s="118"/>
      <c r="BL316" s="118"/>
      <c r="BM316" s="118"/>
      <c r="BN316" s="118"/>
      <c r="BO316" s="118"/>
      <c r="BP316" s="118"/>
      <c r="BQ316" s="118"/>
      <c r="BR316" s="118"/>
      <c r="BS316" s="118"/>
      <c r="BT316" s="118"/>
      <c r="BU316" s="118"/>
    </row>
    <row r="317" spans="15:73"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  <c r="BM317" s="118"/>
      <c r="BN317" s="118"/>
      <c r="BO317" s="118"/>
      <c r="BP317" s="118"/>
      <c r="BQ317" s="118"/>
      <c r="BR317" s="118"/>
      <c r="BS317" s="118"/>
      <c r="BT317" s="118"/>
      <c r="BU317" s="118"/>
    </row>
    <row r="318" spans="15:73"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  <c r="BM318" s="118"/>
      <c r="BN318" s="118"/>
      <c r="BO318" s="118"/>
      <c r="BP318" s="118"/>
      <c r="BQ318" s="118"/>
      <c r="BR318" s="118"/>
      <c r="BS318" s="118"/>
      <c r="BT318" s="118"/>
      <c r="BU318" s="118"/>
    </row>
    <row r="319" spans="15:73"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  <c r="BI319" s="118"/>
      <c r="BJ319" s="118"/>
      <c r="BK319" s="118"/>
      <c r="BL319" s="118"/>
      <c r="BM319" s="118"/>
      <c r="BN319" s="118"/>
      <c r="BO319" s="118"/>
      <c r="BP319" s="118"/>
      <c r="BQ319" s="118"/>
      <c r="BR319" s="118"/>
      <c r="BS319" s="118"/>
      <c r="BT319" s="118"/>
      <c r="BU319" s="118"/>
    </row>
    <row r="320" spans="15:73"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8"/>
      <c r="BK320" s="118"/>
      <c r="BL320" s="118"/>
      <c r="BM320" s="118"/>
      <c r="BN320" s="118"/>
      <c r="BO320" s="118"/>
      <c r="BP320" s="118"/>
      <c r="BQ320" s="118"/>
      <c r="BR320" s="118"/>
      <c r="BS320" s="118"/>
      <c r="BT320" s="118"/>
      <c r="BU320" s="118"/>
    </row>
    <row r="321" spans="15:73"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8"/>
      <c r="BJ321" s="118"/>
      <c r="BK321" s="118"/>
      <c r="BL321" s="118"/>
      <c r="BM321" s="118"/>
      <c r="BN321" s="118"/>
      <c r="BO321" s="118"/>
      <c r="BP321" s="118"/>
      <c r="BQ321" s="118"/>
      <c r="BR321" s="118"/>
      <c r="BS321" s="118"/>
      <c r="BT321" s="118"/>
      <c r="BU321" s="118"/>
    </row>
    <row r="322" spans="15:73"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8"/>
      <c r="BK322" s="118"/>
      <c r="BL322" s="118"/>
      <c r="BM322" s="118"/>
      <c r="BN322" s="118"/>
      <c r="BO322" s="118"/>
      <c r="BP322" s="118"/>
      <c r="BQ322" s="118"/>
      <c r="BR322" s="118"/>
      <c r="BS322" s="118"/>
      <c r="BT322" s="118"/>
      <c r="BU322" s="118"/>
    </row>
    <row r="323" spans="15:73"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  <c r="BM323" s="118"/>
      <c r="BN323" s="118"/>
      <c r="BO323" s="118"/>
      <c r="BP323" s="118"/>
      <c r="BQ323" s="118"/>
      <c r="BR323" s="118"/>
      <c r="BS323" s="118"/>
      <c r="BT323" s="118"/>
      <c r="BU323" s="118"/>
    </row>
    <row r="324" spans="15:73"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  <c r="BI324" s="118"/>
      <c r="BJ324" s="118"/>
      <c r="BK324" s="118"/>
      <c r="BL324" s="118"/>
      <c r="BM324" s="118"/>
      <c r="BN324" s="118"/>
      <c r="BO324" s="118"/>
      <c r="BP324" s="118"/>
      <c r="BQ324" s="118"/>
      <c r="BR324" s="118"/>
      <c r="BS324" s="118"/>
      <c r="BT324" s="118"/>
      <c r="BU324" s="118"/>
    </row>
    <row r="325" spans="15:73"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8"/>
      <c r="BJ325" s="118"/>
      <c r="BK325" s="118"/>
      <c r="BL325" s="118"/>
      <c r="BM325" s="118"/>
      <c r="BN325" s="118"/>
      <c r="BO325" s="118"/>
      <c r="BP325" s="118"/>
      <c r="BQ325" s="118"/>
      <c r="BR325" s="118"/>
      <c r="BS325" s="118"/>
      <c r="BT325" s="118"/>
      <c r="BU325" s="118"/>
    </row>
    <row r="326" spans="15:73"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18"/>
      <c r="BN326" s="118"/>
      <c r="BO326" s="118"/>
      <c r="BP326" s="118"/>
      <c r="BQ326" s="118"/>
      <c r="BR326" s="118"/>
      <c r="BS326" s="118"/>
      <c r="BT326" s="118"/>
      <c r="BU326" s="118"/>
    </row>
    <row r="327" spans="15:73"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  <c r="BI327" s="118"/>
      <c r="BJ327" s="118"/>
      <c r="BK327" s="118"/>
      <c r="BL327" s="118"/>
      <c r="BM327" s="118"/>
      <c r="BN327" s="118"/>
      <c r="BO327" s="118"/>
      <c r="BP327" s="118"/>
      <c r="BQ327" s="118"/>
      <c r="BR327" s="118"/>
      <c r="BS327" s="118"/>
      <c r="BT327" s="118"/>
      <c r="BU327" s="118"/>
    </row>
    <row r="328" spans="15:73"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18"/>
      <c r="BK328" s="118"/>
      <c r="BL328" s="118"/>
      <c r="BM328" s="118"/>
      <c r="BN328" s="118"/>
      <c r="BO328" s="118"/>
      <c r="BP328" s="118"/>
      <c r="BQ328" s="118"/>
      <c r="BR328" s="118"/>
      <c r="BS328" s="118"/>
      <c r="BT328" s="118"/>
      <c r="BU328" s="118"/>
    </row>
    <row r="329" spans="15:73"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  <c r="BM329" s="118"/>
      <c r="BN329" s="118"/>
      <c r="BO329" s="118"/>
      <c r="BP329" s="118"/>
      <c r="BQ329" s="118"/>
      <c r="BR329" s="118"/>
      <c r="BS329" s="118"/>
      <c r="BT329" s="118"/>
      <c r="BU329" s="118"/>
    </row>
    <row r="330" spans="15:73"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8"/>
      <c r="BK330" s="118"/>
      <c r="BL330" s="118"/>
      <c r="BM330" s="118"/>
      <c r="BN330" s="118"/>
      <c r="BO330" s="118"/>
      <c r="BP330" s="118"/>
      <c r="BQ330" s="118"/>
      <c r="BR330" s="118"/>
      <c r="BS330" s="118"/>
      <c r="BT330" s="118"/>
      <c r="BU330" s="118"/>
    </row>
    <row r="331" spans="15:73"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  <c r="BI331" s="118"/>
      <c r="BJ331" s="118"/>
      <c r="BK331" s="118"/>
      <c r="BL331" s="118"/>
      <c r="BM331" s="118"/>
      <c r="BN331" s="118"/>
      <c r="BO331" s="118"/>
      <c r="BP331" s="118"/>
      <c r="BQ331" s="118"/>
      <c r="BR331" s="118"/>
      <c r="BS331" s="118"/>
      <c r="BT331" s="118"/>
      <c r="BU331" s="118"/>
    </row>
    <row r="332" spans="15:73"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  <c r="BM332" s="118"/>
      <c r="BN332" s="118"/>
      <c r="BO332" s="118"/>
      <c r="BP332" s="118"/>
      <c r="BQ332" s="118"/>
      <c r="BR332" s="118"/>
      <c r="BS332" s="118"/>
      <c r="BT332" s="118"/>
      <c r="BU332" s="118"/>
    </row>
    <row r="333" spans="15:73"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  <c r="BI333" s="118"/>
      <c r="BJ333" s="118"/>
      <c r="BK333" s="118"/>
      <c r="BL333" s="118"/>
      <c r="BM333" s="118"/>
      <c r="BN333" s="118"/>
      <c r="BO333" s="118"/>
      <c r="BP333" s="118"/>
      <c r="BQ333" s="118"/>
      <c r="BR333" s="118"/>
      <c r="BS333" s="118"/>
      <c r="BT333" s="118"/>
      <c r="BU333" s="118"/>
    </row>
    <row r="334" spans="15:73"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/>
      <c r="BJ334" s="118"/>
      <c r="BK334" s="118"/>
      <c r="BL334" s="118"/>
      <c r="BM334" s="118"/>
      <c r="BN334" s="118"/>
      <c r="BO334" s="118"/>
      <c r="BP334" s="118"/>
      <c r="BQ334" s="118"/>
      <c r="BR334" s="118"/>
      <c r="BS334" s="118"/>
      <c r="BT334" s="118"/>
      <c r="BU334" s="118"/>
    </row>
    <row r="335" spans="15:73"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  <c r="BM335" s="118"/>
      <c r="BN335" s="118"/>
      <c r="BO335" s="118"/>
      <c r="BP335" s="118"/>
      <c r="BQ335" s="118"/>
      <c r="BR335" s="118"/>
      <c r="BS335" s="118"/>
      <c r="BT335" s="118"/>
      <c r="BU335" s="118"/>
    </row>
    <row r="336" spans="15:73"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  <c r="BI336" s="118"/>
      <c r="BJ336" s="118"/>
      <c r="BK336" s="118"/>
      <c r="BL336" s="118"/>
      <c r="BM336" s="118"/>
      <c r="BN336" s="118"/>
      <c r="BO336" s="118"/>
      <c r="BP336" s="118"/>
      <c r="BQ336" s="118"/>
      <c r="BR336" s="118"/>
      <c r="BS336" s="118"/>
      <c r="BT336" s="118"/>
      <c r="BU336" s="118"/>
    </row>
    <row r="337" spans="15:73"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8"/>
      <c r="BJ337" s="118"/>
      <c r="BK337" s="118"/>
      <c r="BL337" s="118"/>
      <c r="BM337" s="118"/>
      <c r="BN337" s="118"/>
      <c r="BO337" s="118"/>
      <c r="BP337" s="118"/>
      <c r="BQ337" s="118"/>
      <c r="BR337" s="118"/>
      <c r="BS337" s="118"/>
      <c r="BT337" s="118"/>
      <c r="BU337" s="118"/>
    </row>
    <row r="338" spans="15:73"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  <c r="BM338" s="118"/>
      <c r="BN338" s="118"/>
      <c r="BO338" s="118"/>
      <c r="BP338" s="118"/>
      <c r="BQ338" s="118"/>
      <c r="BR338" s="118"/>
      <c r="BS338" s="118"/>
      <c r="BT338" s="118"/>
      <c r="BU338" s="118"/>
    </row>
    <row r="339" spans="15:73"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  <c r="BI339" s="118"/>
      <c r="BJ339" s="118"/>
      <c r="BK339" s="118"/>
      <c r="BL339" s="118"/>
      <c r="BM339" s="118"/>
      <c r="BN339" s="118"/>
      <c r="BO339" s="118"/>
      <c r="BP339" s="118"/>
      <c r="BQ339" s="118"/>
      <c r="BR339" s="118"/>
      <c r="BS339" s="118"/>
      <c r="BT339" s="118"/>
      <c r="BU339" s="118"/>
    </row>
    <row r="340" spans="15:73"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  <c r="BI340" s="118"/>
      <c r="BJ340" s="118"/>
      <c r="BK340" s="118"/>
      <c r="BL340" s="118"/>
      <c r="BM340" s="118"/>
      <c r="BN340" s="118"/>
      <c r="BO340" s="118"/>
      <c r="BP340" s="118"/>
      <c r="BQ340" s="118"/>
      <c r="BR340" s="118"/>
      <c r="BS340" s="118"/>
      <c r="BT340" s="118"/>
      <c r="BU340" s="118"/>
    </row>
    <row r="341" spans="15:73"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  <c r="BM341" s="118"/>
      <c r="BN341" s="118"/>
      <c r="BO341" s="118"/>
      <c r="BP341" s="118"/>
      <c r="BQ341" s="118"/>
      <c r="BR341" s="118"/>
      <c r="BS341" s="118"/>
      <c r="BT341" s="118"/>
      <c r="BU341" s="118"/>
    </row>
    <row r="342" spans="15:73"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  <c r="BI342" s="118"/>
      <c r="BJ342" s="118"/>
      <c r="BK342" s="118"/>
      <c r="BL342" s="118"/>
      <c r="BM342" s="118"/>
      <c r="BN342" s="118"/>
      <c r="BO342" s="118"/>
      <c r="BP342" s="118"/>
      <c r="BQ342" s="118"/>
      <c r="BR342" s="118"/>
      <c r="BS342" s="118"/>
      <c r="BT342" s="118"/>
      <c r="BU342" s="118"/>
    </row>
    <row r="343" spans="15:73"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  <c r="BI343" s="118"/>
      <c r="BJ343" s="118"/>
      <c r="BK343" s="118"/>
      <c r="BL343" s="118"/>
      <c r="BM343" s="118"/>
      <c r="BN343" s="118"/>
      <c r="BO343" s="118"/>
      <c r="BP343" s="118"/>
      <c r="BQ343" s="118"/>
      <c r="BR343" s="118"/>
      <c r="BS343" s="118"/>
      <c r="BT343" s="118"/>
      <c r="BU343" s="118"/>
    </row>
    <row r="344" spans="15:73"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  <c r="BI344" s="118"/>
      <c r="BJ344" s="118"/>
      <c r="BK344" s="118"/>
      <c r="BL344" s="118"/>
      <c r="BM344" s="118"/>
      <c r="BN344" s="118"/>
      <c r="BO344" s="118"/>
      <c r="BP344" s="118"/>
      <c r="BQ344" s="118"/>
      <c r="BR344" s="118"/>
      <c r="BS344" s="118"/>
      <c r="BT344" s="118"/>
      <c r="BU344" s="118"/>
    </row>
    <row r="345" spans="15:73"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  <c r="BI345" s="118"/>
      <c r="BJ345" s="118"/>
      <c r="BK345" s="118"/>
      <c r="BL345" s="118"/>
      <c r="BM345" s="118"/>
      <c r="BN345" s="118"/>
      <c r="BO345" s="118"/>
      <c r="BP345" s="118"/>
      <c r="BQ345" s="118"/>
      <c r="BR345" s="118"/>
      <c r="BS345" s="118"/>
      <c r="BT345" s="118"/>
      <c r="BU345" s="118"/>
    </row>
    <row r="346" spans="15:73"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  <c r="BM346" s="118"/>
      <c r="BN346" s="118"/>
      <c r="BO346" s="118"/>
      <c r="BP346" s="118"/>
      <c r="BQ346" s="118"/>
      <c r="BR346" s="118"/>
      <c r="BS346" s="118"/>
      <c r="BT346" s="118"/>
      <c r="BU346" s="118"/>
    </row>
    <row r="347" spans="15:73"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  <c r="BI347" s="118"/>
      <c r="BJ347" s="118"/>
      <c r="BK347" s="118"/>
      <c r="BL347" s="118"/>
      <c r="BM347" s="118"/>
      <c r="BN347" s="118"/>
      <c r="BO347" s="118"/>
      <c r="BP347" s="118"/>
      <c r="BQ347" s="118"/>
      <c r="BR347" s="118"/>
      <c r="BS347" s="118"/>
      <c r="BT347" s="118"/>
      <c r="BU347" s="118"/>
    </row>
    <row r="348" spans="15:73"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  <c r="BI348" s="118"/>
      <c r="BJ348" s="118"/>
      <c r="BK348" s="118"/>
      <c r="BL348" s="118"/>
      <c r="BM348" s="118"/>
      <c r="BN348" s="118"/>
      <c r="BO348" s="118"/>
      <c r="BP348" s="118"/>
      <c r="BQ348" s="118"/>
      <c r="BR348" s="118"/>
      <c r="BS348" s="118"/>
      <c r="BT348" s="118"/>
      <c r="BU348" s="118"/>
    </row>
    <row r="349" spans="15:73"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  <c r="BM349" s="118"/>
      <c r="BN349" s="118"/>
      <c r="BO349" s="118"/>
      <c r="BP349" s="118"/>
      <c r="BQ349" s="118"/>
      <c r="BR349" s="118"/>
      <c r="BS349" s="118"/>
      <c r="BT349" s="118"/>
      <c r="BU349" s="118"/>
    </row>
    <row r="350" spans="15:73"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8"/>
      <c r="BJ350" s="118"/>
      <c r="BK350" s="118"/>
      <c r="BL350" s="118"/>
      <c r="BM350" s="118"/>
      <c r="BN350" s="118"/>
      <c r="BO350" s="118"/>
      <c r="BP350" s="118"/>
      <c r="BQ350" s="118"/>
      <c r="BR350" s="118"/>
      <c r="BS350" s="118"/>
      <c r="BT350" s="118"/>
      <c r="BU350" s="118"/>
    </row>
    <row r="351" spans="15:73"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  <c r="BI351" s="118"/>
      <c r="BJ351" s="118"/>
      <c r="BK351" s="118"/>
      <c r="BL351" s="118"/>
      <c r="BM351" s="118"/>
      <c r="BN351" s="118"/>
      <c r="BO351" s="118"/>
      <c r="BP351" s="118"/>
      <c r="BQ351" s="118"/>
      <c r="BR351" s="118"/>
      <c r="BS351" s="118"/>
      <c r="BT351" s="118"/>
      <c r="BU351" s="118"/>
    </row>
    <row r="352" spans="15:73"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  <c r="BM352" s="118"/>
      <c r="BN352" s="118"/>
      <c r="BO352" s="118"/>
      <c r="BP352" s="118"/>
      <c r="BQ352" s="118"/>
      <c r="BR352" s="118"/>
      <c r="BS352" s="118"/>
      <c r="BT352" s="118"/>
      <c r="BU352" s="118"/>
    </row>
    <row r="353" spans="15:73"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8"/>
      <c r="BJ353" s="118"/>
      <c r="BK353" s="118"/>
      <c r="BL353" s="118"/>
      <c r="BM353" s="118"/>
      <c r="BN353" s="118"/>
      <c r="BO353" s="118"/>
      <c r="BP353" s="118"/>
      <c r="BQ353" s="118"/>
      <c r="BR353" s="118"/>
      <c r="BS353" s="118"/>
      <c r="BT353" s="118"/>
      <c r="BU353" s="118"/>
    </row>
    <row r="354" spans="15:73"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8"/>
      <c r="BJ354" s="118"/>
      <c r="BK354" s="118"/>
      <c r="BL354" s="118"/>
      <c r="BM354" s="118"/>
      <c r="BN354" s="118"/>
      <c r="BO354" s="118"/>
      <c r="BP354" s="118"/>
      <c r="BQ354" s="118"/>
      <c r="BR354" s="118"/>
      <c r="BS354" s="118"/>
      <c r="BT354" s="118"/>
      <c r="BU354" s="118"/>
    </row>
    <row r="355" spans="15:73"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  <c r="BM355" s="118"/>
      <c r="BN355" s="118"/>
      <c r="BO355" s="118"/>
      <c r="BP355" s="118"/>
      <c r="BQ355" s="118"/>
      <c r="BR355" s="118"/>
      <c r="BS355" s="118"/>
      <c r="BT355" s="118"/>
      <c r="BU355" s="118"/>
    </row>
    <row r="356" spans="15:73"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  <c r="BM356" s="118"/>
      <c r="BN356" s="118"/>
      <c r="BO356" s="118"/>
      <c r="BP356" s="118"/>
      <c r="BQ356" s="118"/>
      <c r="BR356" s="118"/>
      <c r="BS356" s="118"/>
      <c r="BT356" s="118"/>
      <c r="BU356" s="118"/>
    </row>
    <row r="357" spans="15:73"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  <c r="BM357" s="118"/>
      <c r="BN357" s="118"/>
      <c r="BO357" s="118"/>
      <c r="BP357" s="118"/>
      <c r="BQ357" s="118"/>
      <c r="BR357" s="118"/>
      <c r="BS357" s="118"/>
      <c r="BT357" s="118"/>
      <c r="BU357" s="118"/>
    </row>
    <row r="358" spans="15:73"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  <c r="BM358" s="118"/>
      <c r="BN358" s="118"/>
      <c r="BO358" s="118"/>
      <c r="BP358" s="118"/>
      <c r="BQ358" s="118"/>
      <c r="BR358" s="118"/>
      <c r="BS358" s="118"/>
      <c r="BT358" s="118"/>
      <c r="BU358" s="118"/>
    </row>
    <row r="359" spans="15:73"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18"/>
      <c r="BL359" s="118"/>
      <c r="BM359" s="118"/>
      <c r="BN359" s="118"/>
      <c r="BO359" s="118"/>
      <c r="BP359" s="118"/>
      <c r="BQ359" s="118"/>
      <c r="BR359" s="118"/>
      <c r="BS359" s="118"/>
      <c r="BT359" s="118"/>
      <c r="BU359" s="118"/>
    </row>
    <row r="360" spans="15:73"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  <c r="BI360" s="118"/>
      <c r="BJ360" s="118"/>
      <c r="BK360" s="118"/>
      <c r="BL360" s="118"/>
      <c r="BM360" s="118"/>
      <c r="BN360" s="118"/>
      <c r="BO360" s="118"/>
      <c r="BP360" s="118"/>
      <c r="BQ360" s="118"/>
      <c r="BR360" s="118"/>
      <c r="BS360" s="118"/>
      <c r="BT360" s="118"/>
      <c r="BU360" s="118"/>
    </row>
    <row r="361" spans="15:73"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  <c r="BM361" s="118"/>
      <c r="BN361" s="118"/>
      <c r="BO361" s="118"/>
      <c r="BP361" s="118"/>
      <c r="BQ361" s="118"/>
      <c r="BR361" s="118"/>
      <c r="BS361" s="118"/>
      <c r="BT361" s="118"/>
      <c r="BU361" s="118"/>
    </row>
    <row r="362" spans="15:73"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8"/>
      <c r="BJ362" s="118"/>
      <c r="BK362" s="118"/>
      <c r="BL362" s="118"/>
      <c r="BM362" s="118"/>
      <c r="BN362" s="118"/>
      <c r="BO362" s="118"/>
      <c r="BP362" s="118"/>
      <c r="BQ362" s="118"/>
      <c r="BR362" s="118"/>
      <c r="BS362" s="118"/>
      <c r="BT362" s="118"/>
      <c r="BU362" s="118"/>
    </row>
    <row r="363" spans="15:73"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  <c r="BI363" s="118"/>
      <c r="BJ363" s="118"/>
      <c r="BK363" s="118"/>
      <c r="BL363" s="118"/>
      <c r="BM363" s="118"/>
      <c r="BN363" s="118"/>
      <c r="BO363" s="118"/>
      <c r="BP363" s="118"/>
      <c r="BQ363" s="118"/>
      <c r="BR363" s="118"/>
      <c r="BS363" s="118"/>
      <c r="BT363" s="118"/>
      <c r="BU363" s="118"/>
    </row>
    <row r="364" spans="15:73"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  <c r="BM364" s="118"/>
      <c r="BN364" s="118"/>
      <c r="BO364" s="118"/>
      <c r="BP364" s="118"/>
      <c r="BQ364" s="118"/>
      <c r="BR364" s="118"/>
      <c r="BS364" s="118"/>
      <c r="BT364" s="118"/>
      <c r="BU364" s="118"/>
    </row>
    <row r="365" spans="15:73"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8"/>
      <c r="BJ365" s="118"/>
      <c r="BK365" s="118"/>
      <c r="BL365" s="118"/>
      <c r="BM365" s="118"/>
      <c r="BN365" s="118"/>
      <c r="BO365" s="118"/>
      <c r="BP365" s="118"/>
      <c r="BQ365" s="118"/>
      <c r="BR365" s="118"/>
      <c r="BS365" s="118"/>
      <c r="BT365" s="118"/>
      <c r="BU365" s="118"/>
    </row>
    <row r="366" spans="15:73"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8"/>
      <c r="BJ366" s="118"/>
      <c r="BK366" s="118"/>
      <c r="BL366" s="118"/>
      <c r="BM366" s="118"/>
      <c r="BN366" s="118"/>
      <c r="BO366" s="118"/>
      <c r="BP366" s="118"/>
      <c r="BQ366" s="118"/>
      <c r="BR366" s="118"/>
      <c r="BS366" s="118"/>
      <c r="BT366" s="118"/>
      <c r="BU366" s="118"/>
    </row>
    <row r="367" spans="15:73"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  <c r="BM367" s="118"/>
      <c r="BN367" s="118"/>
      <c r="BO367" s="118"/>
      <c r="BP367" s="118"/>
      <c r="BQ367" s="118"/>
      <c r="BR367" s="118"/>
      <c r="BS367" s="118"/>
      <c r="BT367" s="118"/>
      <c r="BU367" s="118"/>
    </row>
    <row r="368" spans="15:73"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  <c r="BM368" s="118"/>
      <c r="BN368" s="118"/>
      <c r="BO368" s="118"/>
      <c r="BP368" s="118"/>
      <c r="BQ368" s="118"/>
      <c r="BR368" s="118"/>
      <c r="BS368" s="118"/>
      <c r="BT368" s="118"/>
      <c r="BU368" s="118"/>
    </row>
    <row r="369" spans="15:73"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8"/>
      <c r="BJ369" s="118"/>
      <c r="BK369" s="118"/>
      <c r="BL369" s="118"/>
      <c r="BM369" s="118"/>
      <c r="BN369" s="118"/>
      <c r="BO369" s="118"/>
      <c r="BP369" s="118"/>
      <c r="BQ369" s="118"/>
      <c r="BR369" s="118"/>
      <c r="BS369" s="118"/>
      <c r="BT369" s="118"/>
      <c r="BU369" s="118"/>
    </row>
    <row r="370" spans="15:73"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18"/>
      <c r="BN370" s="118"/>
      <c r="BO370" s="118"/>
      <c r="BP370" s="118"/>
      <c r="BQ370" s="118"/>
      <c r="BR370" s="118"/>
      <c r="BS370" s="118"/>
      <c r="BT370" s="118"/>
      <c r="BU370" s="118"/>
    </row>
    <row r="371" spans="15:73"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  <c r="BM371" s="118"/>
      <c r="BN371" s="118"/>
      <c r="BO371" s="118"/>
      <c r="BP371" s="118"/>
      <c r="BQ371" s="118"/>
      <c r="BR371" s="118"/>
      <c r="BS371" s="118"/>
      <c r="BT371" s="118"/>
      <c r="BU371" s="118"/>
    </row>
    <row r="372" spans="15:73"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  <c r="BM372" s="118"/>
      <c r="BN372" s="118"/>
      <c r="BO372" s="118"/>
      <c r="BP372" s="118"/>
      <c r="BQ372" s="118"/>
      <c r="BR372" s="118"/>
      <c r="BS372" s="118"/>
      <c r="BT372" s="118"/>
      <c r="BU372" s="118"/>
    </row>
    <row r="373" spans="15:73"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  <c r="BM373" s="118"/>
      <c r="BN373" s="118"/>
      <c r="BO373" s="118"/>
      <c r="BP373" s="118"/>
      <c r="BQ373" s="118"/>
      <c r="BR373" s="118"/>
      <c r="BS373" s="118"/>
      <c r="BT373" s="118"/>
      <c r="BU373" s="118"/>
    </row>
    <row r="374" spans="15:73"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/>
      <c r="BL374" s="118"/>
      <c r="BM374" s="118"/>
      <c r="BN374" s="118"/>
      <c r="BO374" s="118"/>
      <c r="BP374" s="118"/>
      <c r="BQ374" s="118"/>
      <c r="BR374" s="118"/>
      <c r="BS374" s="118"/>
      <c r="BT374" s="118"/>
      <c r="BU374" s="118"/>
    </row>
    <row r="375" spans="15:73"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8"/>
      <c r="BK375" s="118"/>
      <c r="BL375" s="118"/>
      <c r="BM375" s="118"/>
      <c r="BN375" s="118"/>
      <c r="BO375" s="118"/>
      <c r="BP375" s="118"/>
      <c r="BQ375" s="118"/>
      <c r="BR375" s="118"/>
      <c r="BS375" s="118"/>
      <c r="BT375" s="118"/>
      <c r="BU375" s="118"/>
    </row>
    <row r="376" spans="15:73"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18"/>
      <c r="BN376" s="118"/>
      <c r="BO376" s="118"/>
      <c r="BP376" s="118"/>
      <c r="BQ376" s="118"/>
      <c r="BR376" s="118"/>
      <c r="BS376" s="118"/>
      <c r="BT376" s="118"/>
      <c r="BU376" s="118"/>
    </row>
    <row r="377" spans="15:73"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  <c r="BM377" s="118"/>
      <c r="BN377" s="118"/>
      <c r="BO377" s="118"/>
      <c r="BP377" s="118"/>
      <c r="BQ377" s="118"/>
      <c r="BR377" s="118"/>
      <c r="BS377" s="118"/>
      <c r="BT377" s="118"/>
      <c r="BU377" s="118"/>
    </row>
    <row r="378" spans="15:73"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  <c r="BM378" s="118"/>
      <c r="BN378" s="118"/>
      <c r="BO378" s="118"/>
      <c r="BP378" s="118"/>
      <c r="BQ378" s="118"/>
      <c r="BR378" s="118"/>
      <c r="BS378" s="118"/>
      <c r="BT378" s="118"/>
      <c r="BU378" s="118"/>
    </row>
    <row r="379" spans="15:73"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18"/>
      <c r="BN379" s="118"/>
      <c r="BO379" s="118"/>
      <c r="BP379" s="118"/>
      <c r="BQ379" s="118"/>
      <c r="BR379" s="118"/>
      <c r="BS379" s="118"/>
      <c r="BT379" s="118"/>
      <c r="BU379" s="118"/>
    </row>
    <row r="380" spans="15:73"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  <c r="BM380" s="118"/>
      <c r="BN380" s="118"/>
      <c r="BO380" s="118"/>
      <c r="BP380" s="118"/>
      <c r="BQ380" s="118"/>
      <c r="BR380" s="118"/>
      <c r="BS380" s="118"/>
      <c r="BT380" s="118"/>
      <c r="BU380" s="118"/>
    </row>
    <row r="381" spans="15:73"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  <c r="BM381" s="118"/>
      <c r="BN381" s="118"/>
      <c r="BO381" s="118"/>
      <c r="BP381" s="118"/>
      <c r="BQ381" s="118"/>
      <c r="BR381" s="118"/>
      <c r="BS381" s="118"/>
      <c r="BT381" s="118"/>
      <c r="BU381" s="118"/>
    </row>
    <row r="382" spans="15:73"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18"/>
      <c r="BN382" s="118"/>
      <c r="BO382" s="118"/>
      <c r="BP382" s="118"/>
      <c r="BQ382" s="118"/>
      <c r="BR382" s="118"/>
      <c r="BS382" s="118"/>
      <c r="BT382" s="118"/>
      <c r="BU382" s="118"/>
    </row>
    <row r="383" spans="15:73"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  <c r="BM383" s="118"/>
      <c r="BN383" s="118"/>
      <c r="BO383" s="118"/>
      <c r="BP383" s="118"/>
      <c r="BQ383" s="118"/>
      <c r="BR383" s="118"/>
      <c r="BS383" s="118"/>
      <c r="BT383" s="118"/>
      <c r="BU383" s="118"/>
    </row>
    <row r="384" spans="15:73"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  <c r="BM384" s="118"/>
      <c r="BN384" s="118"/>
      <c r="BO384" s="118"/>
      <c r="BP384" s="118"/>
      <c r="BQ384" s="118"/>
      <c r="BR384" s="118"/>
      <c r="BS384" s="118"/>
      <c r="BT384" s="118"/>
      <c r="BU384" s="118"/>
    </row>
    <row r="385" spans="15:73"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  <c r="BM385" s="118"/>
      <c r="BN385" s="118"/>
      <c r="BO385" s="118"/>
      <c r="BP385" s="118"/>
      <c r="BQ385" s="118"/>
      <c r="BR385" s="118"/>
      <c r="BS385" s="118"/>
      <c r="BT385" s="118"/>
      <c r="BU385" s="118"/>
    </row>
    <row r="386" spans="15:73"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  <c r="BM386" s="118"/>
      <c r="BN386" s="118"/>
      <c r="BO386" s="118"/>
      <c r="BP386" s="118"/>
      <c r="BQ386" s="118"/>
      <c r="BR386" s="118"/>
      <c r="BS386" s="118"/>
      <c r="BT386" s="118"/>
      <c r="BU386" s="118"/>
    </row>
    <row r="387" spans="15:73"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  <c r="BM387" s="118"/>
      <c r="BN387" s="118"/>
      <c r="BO387" s="118"/>
      <c r="BP387" s="118"/>
      <c r="BQ387" s="118"/>
      <c r="BR387" s="118"/>
      <c r="BS387" s="118"/>
      <c r="BT387" s="118"/>
      <c r="BU387" s="118"/>
    </row>
    <row r="388" spans="15:73"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18"/>
      <c r="BN388" s="118"/>
      <c r="BO388" s="118"/>
      <c r="BP388" s="118"/>
      <c r="BQ388" s="118"/>
      <c r="BR388" s="118"/>
      <c r="BS388" s="118"/>
      <c r="BT388" s="118"/>
      <c r="BU388" s="118"/>
    </row>
    <row r="389" spans="15:73"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  <c r="BM389" s="118"/>
      <c r="BN389" s="118"/>
      <c r="BO389" s="118"/>
      <c r="BP389" s="118"/>
      <c r="BQ389" s="118"/>
      <c r="BR389" s="118"/>
      <c r="BS389" s="118"/>
      <c r="BT389" s="118"/>
      <c r="BU389" s="118"/>
    </row>
    <row r="390" spans="15:73"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  <c r="BM390" s="118"/>
      <c r="BN390" s="118"/>
      <c r="BO390" s="118"/>
      <c r="BP390" s="118"/>
      <c r="BQ390" s="118"/>
      <c r="BR390" s="118"/>
      <c r="BS390" s="118"/>
      <c r="BT390" s="118"/>
      <c r="BU390" s="118"/>
    </row>
    <row r="391" spans="15:73"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18"/>
      <c r="BN391" s="118"/>
      <c r="BO391" s="118"/>
      <c r="BP391" s="118"/>
      <c r="BQ391" s="118"/>
      <c r="BR391" s="118"/>
      <c r="BS391" s="118"/>
      <c r="BT391" s="118"/>
      <c r="BU391" s="118"/>
    </row>
    <row r="392" spans="15:73"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8"/>
      <c r="BJ392" s="118"/>
      <c r="BK392" s="118"/>
      <c r="BL392" s="118"/>
      <c r="BM392" s="118"/>
      <c r="BN392" s="118"/>
      <c r="BO392" s="118"/>
      <c r="BP392" s="118"/>
      <c r="BQ392" s="118"/>
      <c r="BR392" s="118"/>
      <c r="BS392" s="118"/>
      <c r="BT392" s="118"/>
      <c r="BU392" s="118"/>
    </row>
    <row r="393" spans="15:73"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  <c r="BM393" s="118"/>
      <c r="BN393" s="118"/>
      <c r="BO393" s="118"/>
      <c r="BP393" s="118"/>
      <c r="BQ393" s="118"/>
      <c r="BR393" s="118"/>
      <c r="BS393" s="118"/>
      <c r="BT393" s="118"/>
      <c r="BU393" s="118"/>
    </row>
    <row r="394" spans="15:73"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18"/>
      <c r="BN394" s="118"/>
      <c r="BO394" s="118"/>
      <c r="BP394" s="118"/>
      <c r="BQ394" s="118"/>
      <c r="BR394" s="118"/>
      <c r="BS394" s="118"/>
      <c r="BT394" s="118"/>
      <c r="BU394" s="118"/>
    </row>
    <row r="395" spans="15:73"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  <c r="BM395" s="118"/>
      <c r="BN395" s="118"/>
      <c r="BO395" s="118"/>
      <c r="BP395" s="118"/>
      <c r="BQ395" s="118"/>
      <c r="BR395" s="118"/>
      <c r="BS395" s="118"/>
      <c r="BT395" s="118"/>
      <c r="BU395" s="118"/>
    </row>
    <row r="396" spans="15:73"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  <c r="BM396" s="118"/>
      <c r="BN396" s="118"/>
      <c r="BO396" s="118"/>
      <c r="BP396" s="118"/>
      <c r="BQ396" s="118"/>
      <c r="BR396" s="118"/>
      <c r="BS396" s="118"/>
      <c r="BT396" s="118"/>
      <c r="BU396" s="118"/>
    </row>
    <row r="397" spans="15:73"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18"/>
      <c r="BN397" s="118"/>
      <c r="BO397" s="118"/>
      <c r="BP397" s="118"/>
      <c r="BQ397" s="118"/>
      <c r="BR397" s="118"/>
      <c r="BS397" s="118"/>
      <c r="BT397" s="118"/>
      <c r="BU397" s="118"/>
    </row>
    <row r="398" spans="15:73"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  <c r="BM398" s="118"/>
      <c r="BN398" s="118"/>
      <c r="BO398" s="118"/>
      <c r="BP398" s="118"/>
      <c r="BQ398" s="118"/>
      <c r="BR398" s="118"/>
      <c r="BS398" s="118"/>
      <c r="BT398" s="118"/>
      <c r="BU398" s="118"/>
    </row>
    <row r="399" spans="15:73"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  <c r="BM399" s="118"/>
      <c r="BN399" s="118"/>
      <c r="BO399" s="118"/>
      <c r="BP399" s="118"/>
      <c r="BQ399" s="118"/>
      <c r="BR399" s="118"/>
      <c r="BS399" s="118"/>
      <c r="BT399" s="118"/>
      <c r="BU399" s="118"/>
    </row>
    <row r="400" spans="15:73"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18"/>
      <c r="BN400" s="118"/>
      <c r="BO400" s="118"/>
      <c r="BP400" s="118"/>
      <c r="BQ400" s="118"/>
      <c r="BR400" s="118"/>
      <c r="BS400" s="118"/>
      <c r="BT400" s="118"/>
      <c r="BU400" s="118"/>
    </row>
    <row r="401" spans="15:73"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  <c r="BM401" s="118"/>
      <c r="BN401" s="118"/>
      <c r="BO401" s="118"/>
      <c r="BP401" s="118"/>
      <c r="BQ401" s="118"/>
      <c r="BR401" s="118"/>
      <c r="BS401" s="118"/>
      <c r="BT401" s="118"/>
      <c r="BU401" s="118"/>
    </row>
    <row r="402" spans="15:73"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  <c r="BM402" s="118"/>
      <c r="BN402" s="118"/>
      <c r="BO402" s="118"/>
      <c r="BP402" s="118"/>
      <c r="BQ402" s="118"/>
      <c r="BR402" s="118"/>
      <c r="BS402" s="118"/>
      <c r="BT402" s="118"/>
      <c r="BU402" s="118"/>
    </row>
    <row r="403" spans="15:73"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18"/>
      <c r="BN403" s="118"/>
      <c r="BO403" s="118"/>
      <c r="BP403" s="118"/>
      <c r="BQ403" s="118"/>
      <c r="BR403" s="118"/>
      <c r="BS403" s="118"/>
      <c r="BT403" s="118"/>
      <c r="BU403" s="118"/>
    </row>
    <row r="404" spans="15:73"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  <c r="BS404" s="118"/>
      <c r="BT404" s="118"/>
      <c r="BU404" s="118"/>
    </row>
    <row r="405" spans="15:73"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  <c r="BM405" s="118"/>
      <c r="BN405" s="118"/>
      <c r="BO405" s="118"/>
      <c r="BP405" s="118"/>
      <c r="BQ405" s="118"/>
      <c r="BR405" s="118"/>
      <c r="BS405" s="118"/>
      <c r="BT405" s="118"/>
      <c r="BU405" s="118"/>
    </row>
    <row r="406" spans="15:73"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18"/>
      <c r="BN406" s="118"/>
      <c r="BO406" s="118"/>
      <c r="BP406" s="118"/>
      <c r="BQ406" s="118"/>
      <c r="BR406" s="118"/>
      <c r="BS406" s="118"/>
      <c r="BT406" s="118"/>
      <c r="BU406" s="118"/>
    </row>
    <row r="407" spans="15:73"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  <c r="BM407" s="118"/>
      <c r="BN407" s="118"/>
      <c r="BO407" s="118"/>
      <c r="BP407" s="118"/>
      <c r="BQ407" s="118"/>
      <c r="BR407" s="118"/>
      <c r="BS407" s="118"/>
      <c r="BT407" s="118"/>
      <c r="BU407" s="118"/>
    </row>
    <row r="408" spans="15:73"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  <c r="BM408" s="118"/>
      <c r="BN408" s="118"/>
      <c r="BO408" s="118"/>
      <c r="BP408" s="118"/>
      <c r="BQ408" s="118"/>
      <c r="BR408" s="118"/>
      <c r="BS408" s="118"/>
      <c r="BT408" s="118"/>
      <c r="BU408" s="118"/>
    </row>
    <row r="409" spans="15:73"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18"/>
      <c r="BN409" s="118"/>
      <c r="BO409" s="118"/>
      <c r="BP409" s="118"/>
      <c r="BQ409" s="118"/>
      <c r="BR409" s="118"/>
      <c r="BS409" s="118"/>
      <c r="BT409" s="118"/>
      <c r="BU409" s="118"/>
    </row>
    <row r="410" spans="15:73"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  <c r="BM410" s="118"/>
      <c r="BN410" s="118"/>
      <c r="BO410" s="118"/>
      <c r="BP410" s="118"/>
      <c r="BQ410" s="118"/>
      <c r="BR410" s="118"/>
      <c r="BS410" s="118"/>
      <c r="BT410" s="118"/>
      <c r="BU410" s="118"/>
    </row>
    <row r="411" spans="15:73"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8"/>
      <c r="BJ411" s="118"/>
      <c r="BK411" s="118"/>
      <c r="BL411" s="118"/>
      <c r="BM411" s="118"/>
      <c r="BN411" s="118"/>
      <c r="BO411" s="118"/>
      <c r="BP411" s="118"/>
      <c r="BQ411" s="118"/>
      <c r="BR411" s="118"/>
      <c r="BS411" s="118"/>
      <c r="BT411" s="118"/>
      <c r="BU411" s="118"/>
    </row>
    <row r="412" spans="15:73"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  <c r="BM412" s="118"/>
      <c r="BN412" s="118"/>
      <c r="BO412" s="118"/>
      <c r="BP412" s="118"/>
      <c r="BQ412" s="118"/>
      <c r="BR412" s="118"/>
      <c r="BS412" s="118"/>
      <c r="BT412" s="118"/>
      <c r="BU412" s="118"/>
    </row>
    <row r="413" spans="15:73"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  <c r="BM413" s="118"/>
      <c r="BN413" s="118"/>
      <c r="BO413" s="118"/>
      <c r="BP413" s="118"/>
      <c r="BQ413" s="118"/>
      <c r="BR413" s="118"/>
      <c r="BS413" s="118"/>
      <c r="BT413" s="118"/>
      <c r="BU413" s="118"/>
    </row>
    <row r="414" spans="15:73"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  <c r="BM414" s="118"/>
      <c r="BN414" s="118"/>
      <c r="BO414" s="118"/>
      <c r="BP414" s="118"/>
      <c r="BQ414" s="118"/>
      <c r="BR414" s="118"/>
      <c r="BS414" s="118"/>
      <c r="BT414" s="118"/>
      <c r="BU414" s="118"/>
    </row>
    <row r="415" spans="15:73"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  <c r="BM415" s="118"/>
      <c r="BN415" s="118"/>
      <c r="BO415" s="118"/>
      <c r="BP415" s="118"/>
      <c r="BQ415" s="118"/>
      <c r="BR415" s="118"/>
      <c r="BS415" s="118"/>
      <c r="BT415" s="118"/>
      <c r="BU415" s="118"/>
    </row>
    <row r="416" spans="15:73"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  <c r="BM416" s="118"/>
      <c r="BN416" s="118"/>
      <c r="BO416" s="118"/>
      <c r="BP416" s="118"/>
      <c r="BQ416" s="118"/>
      <c r="BR416" s="118"/>
      <c r="BS416" s="118"/>
      <c r="BT416" s="118"/>
      <c r="BU416" s="118"/>
    </row>
    <row r="417" spans="15:73"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8"/>
      <c r="BK417" s="118"/>
      <c r="BL417" s="118"/>
      <c r="BM417" s="118"/>
      <c r="BN417" s="118"/>
      <c r="BO417" s="118"/>
      <c r="BP417" s="118"/>
      <c r="BQ417" s="118"/>
      <c r="BR417" s="118"/>
      <c r="BS417" s="118"/>
      <c r="BT417" s="118"/>
      <c r="BU417" s="118"/>
    </row>
    <row r="418" spans="15:73"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118"/>
      <c r="BN418" s="118"/>
      <c r="BO418" s="118"/>
      <c r="BP418" s="118"/>
      <c r="BQ418" s="118"/>
      <c r="BR418" s="118"/>
      <c r="BS418" s="118"/>
      <c r="BT418" s="118"/>
      <c r="BU418" s="118"/>
    </row>
    <row r="419" spans="15:73"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  <c r="BM419" s="118"/>
      <c r="BN419" s="118"/>
      <c r="BO419" s="118"/>
      <c r="BP419" s="118"/>
      <c r="BQ419" s="118"/>
      <c r="BR419" s="118"/>
      <c r="BS419" s="118"/>
      <c r="BT419" s="118"/>
      <c r="BU419" s="118"/>
    </row>
    <row r="420" spans="15:73"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118"/>
      <c r="BN420" s="118"/>
      <c r="BO420" s="118"/>
      <c r="BP420" s="118"/>
      <c r="BQ420" s="118"/>
      <c r="BR420" s="118"/>
      <c r="BS420" s="118"/>
      <c r="BT420" s="118"/>
      <c r="BU420" s="118"/>
    </row>
    <row r="421" spans="15:73"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  <c r="BM421" s="118"/>
      <c r="BN421" s="118"/>
      <c r="BO421" s="118"/>
      <c r="BP421" s="118"/>
      <c r="BQ421" s="118"/>
      <c r="BR421" s="118"/>
      <c r="BS421" s="118"/>
      <c r="BT421" s="118"/>
      <c r="BU421" s="118"/>
    </row>
    <row r="422" spans="15:73"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/>
      <c r="BM422" s="118"/>
      <c r="BN422" s="118"/>
      <c r="BO422" s="118"/>
      <c r="BP422" s="118"/>
      <c r="BQ422" s="118"/>
      <c r="BR422" s="118"/>
      <c r="BS422" s="118"/>
      <c r="BT422" s="118"/>
      <c r="BU422" s="118"/>
    </row>
    <row r="423" spans="15:73"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8"/>
      <c r="BJ423" s="118"/>
      <c r="BK423" s="118"/>
      <c r="BL423" s="118"/>
      <c r="BM423" s="118"/>
      <c r="BN423" s="118"/>
      <c r="BO423" s="118"/>
      <c r="BP423" s="118"/>
      <c r="BQ423" s="118"/>
      <c r="BR423" s="118"/>
      <c r="BS423" s="118"/>
      <c r="BT423" s="118"/>
      <c r="BU423" s="118"/>
    </row>
    <row r="424" spans="15:73"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/>
      <c r="BM424" s="118"/>
      <c r="BN424" s="118"/>
      <c r="BO424" s="118"/>
      <c r="BP424" s="118"/>
      <c r="BQ424" s="118"/>
      <c r="BR424" s="118"/>
      <c r="BS424" s="118"/>
      <c r="BT424" s="118"/>
      <c r="BU424" s="118"/>
    </row>
    <row r="425" spans="15:73"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  <c r="BI425" s="118"/>
      <c r="BJ425" s="118"/>
      <c r="BK425" s="118"/>
      <c r="BL425" s="118"/>
      <c r="BM425" s="118"/>
      <c r="BN425" s="118"/>
      <c r="BO425" s="118"/>
      <c r="BP425" s="118"/>
      <c r="BQ425" s="118"/>
      <c r="BR425" s="118"/>
      <c r="BS425" s="118"/>
      <c r="BT425" s="118"/>
      <c r="BU425" s="118"/>
    </row>
    <row r="426" spans="15:73"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  <c r="BM426" s="118"/>
      <c r="BN426" s="118"/>
      <c r="BO426" s="118"/>
      <c r="BP426" s="118"/>
      <c r="BQ426" s="118"/>
      <c r="BR426" s="118"/>
      <c r="BS426" s="118"/>
      <c r="BT426" s="118"/>
      <c r="BU426" s="118"/>
    </row>
    <row r="427" spans="15:73"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8"/>
      <c r="BJ427" s="118"/>
      <c r="BK427" s="118"/>
      <c r="BL427" s="118"/>
      <c r="BM427" s="118"/>
      <c r="BN427" s="118"/>
      <c r="BO427" s="118"/>
      <c r="BP427" s="118"/>
      <c r="BQ427" s="118"/>
      <c r="BR427" s="118"/>
      <c r="BS427" s="118"/>
      <c r="BT427" s="118"/>
      <c r="BU427" s="118"/>
    </row>
    <row r="428" spans="15:73"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  <c r="BM428" s="118"/>
      <c r="BN428" s="118"/>
      <c r="BO428" s="118"/>
      <c r="BP428" s="118"/>
      <c r="BQ428" s="118"/>
      <c r="BR428" s="118"/>
      <c r="BS428" s="118"/>
      <c r="BT428" s="118"/>
      <c r="BU428" s="118"/>
    </row>
    <row r="429" spans="15:73"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  <c r="BI429" s="118"/>
      <c r="BJ429" s="118"/>
      <c r="BK429" s="118"/>
      <c r="BL429" s="118"/>
      <c r="BM429" s="118"/>
      <c r="BN429" s="118"/>
      <c r="BO429" s="118"/>
      <c r="BP429" s="118"/>
      <c r="BQ429" s="118"/>
      <c r="BR429" s="118"/>
      <c r="BS429" s="118"/>
      <c r="BT429" s="118"/>
      <c r="BU429" s="118"/>
    </row>
    <row r="430" spans="15:73"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  <c r="BI430" s="118"/>
      <c r="BJ430" s="118"/>
      <c r="BK430" s="118"/>
      <c r="BL430" s="118"/>
      <c r="BM430" s="118"/>
      <c r="BN430" s="118"/>
      <c r="BO430" s="118"/>
      <c r="BP430" s="118"/>
      <c r="BQ430" s="118"/>
      <c r="BR430" s="118"/>
      <c r="BS430" s="118"/>
      <c r="BT430" s="118"/>
      <c r="BU430" s="118"/>
    </row>
    <row r="431" spans="15:73"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8"/>
      <c r="BJ431" s="118"/>
      <c r="BK431" s="118"/>
      <c r="BL431" s="118"/>
      <c r="BM431" s="118"/>
      <c r="BN431" s="118"/>
      <c r="BO431" s="118"/>
      <c r="BP431" s="118"/>
      <c r="BQ431" s="118"/>
      <c r="BR431" s="118"/>
      <c r="BS431" s="118"/>
      <c r="BT431" s="118"/>
      <c r="BU431" s="118"/>
    </row>
    <row r="432" spans="15:73"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/>
      <c r="BM432" s="118"/>
      <c r="BN432" s="118"/>
      <c r="BO432" s="118"/>
      <c r="BP432" s="118"/>
      <c r="BQ432" s="118"/>
      <c r="BR432" s="118"/>
      <c r="BS432" s="118"/>
      <c r="BT432" s="118"/>
      <c r="BU432" s="118"/>
    </row>
    <row r="433" spans="15:73"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  <c r="BI433" s="118"/>
      <c r="BJ433" s="118"/>
      <c r="BK433" s="118"/>
      <c r="BL433" s="118"/>
      <c r="BM433" s="118"/>
      <c r="BN433" s="118"/>
      <c r="BO433" s="118"/>
      <c r="BP433" s="118"/>
      <c r="BQ433" s="118"/>
      <c r="BR433" s="118"/>
      <c r="BS433" s="118"/>
      <c r="BT433" s="118"/>
      <c r="BU433" s="118"/>
    </row>
    <row r="434" spans="15:73"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  <c r="BI434" s="118"/>
      <c r="BJ434" s="118"/>
      <c r="BK434" s="118"/>
      <c r="BL434" s="118"/>
      <c r="BM434" s="118"/>
      <c r="BN434" s="118"/>
      <c r="BO434" s="118"/>
      <c r="BP434" s="118"/>
      <c r="BQ434" s="118"/>
      <c r="BR434" s="118"/>
      <c r="BS434" s="118"/>
      <c r="BT434" s="118"/>
      <c r="BU434" s="118"/>
    </row>
    <row r="435" spans="15:73"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8"/>
      <c r="BJ435" s="118"/>
      <c r="BK435" s="118"/>
      <c r="BL435" s="118"/>
      <c r="BM435" s="118"/>
      <c r="BN435" s="118"/>
      <c r="BO435" s="118"/>
      <c r="BP435" s="118"/>
      <c r="BQ435" s="118"/>
      <c r="BR435" s="118"/>
      <c r="BS435" s="118"/>
      <c r="BT435" s="118"/>
      <c r="BU435" s="118"/>
    </row>
    <row r="436" spans="15:73"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8"/>
      <c r="BJ436" s="118"/>
      <c r="BK436" s="118"/>
      <c r="BL436" s="118"/>
      <c r="BM436" s="118"/>
      <c r="BN436" s="118"/>
      <c r="BO436" s="118"/>
      <c r="BP436" s="118"/>
      <c r="BQ436" s="118"/>
      <c r="BR436" s="118"/>
      <c r="BS436" s="118"/>
      <c r="BT436" s="118"/>
      <c r="BU436" s="118"/>
    </row>
    <row r="437" spans="15:73"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  <c r="BI437" s="118"/>
      <c r="BJ437" s="118"/>
      <c r="BK437" s="118"/>
      <c r="BL437" s="118"/>
      <c r="BM437" s="118"/>
      <c r="BN437" s="118"/>
      <c r="BO437" s="118"/>
      <c r="BP437" s="118"/>
      <c r="BQ437" s="118"/>
      <c r="BR437" s="118"/>
      <c r="BS437" s="118"/>
      <c r="BT437" s="118"/>
      <c r="BU437" s="118"/>
    </row>
    <row r="438" spans="15:73"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  <c r="BI438" s="118"/>
      <c r="BJ438" s="118"/>
      <c r="BK438" s="118"/>
      <c r="BL438" s="118"/>
      <c r="BM438" s="118"/>
      <c r="BN438" s="118"/>
      <c r="BO438" s="118"/>
      <c r="BP438" s="118"/>
      <c r="BQ438" s="118"/>
      <c r="BR438" s="118"/>
      <c r="BS438" s="118"/>
      <c r="BT438" s="118"/>
      <c r="BU438" s="118"/>
    </row>
    <row r="439" spans="15:73"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8"/>
      <c r="BJ439" s="118"/>
      <c r="BK439" s="118"/>
      <c r="BL439" s="118"/>
      <c r="BM439" s="118"/>
      <c r="BN439" s="118"/>
      <c r="BO439" s="118"/>
      <c r="BP439" s="118"/>
      <c r="BQ439" s="118"/>
      <c r="BR439" s="118"/>
      <c r="BS439" s="118"/>
      <c r="BT439" s="118"/>
      <c r="BU439" s="118"/>
    </row>
    <row r="440" spans="15:73"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8"/>
      <c r="BJ440" s="118"/>
      <c r="BK440" s="118"/>
      <c r="BL440" s="118"/>
      <c r="BM440" s="118"/>
      <c r="BN440" s="118"/>
      <c r="BO440" s="118"/>
      <c r="BP440" s="118"/>
      <c r="BQ440" s="118"/>
      <c r="BR440" s="118"/>
      <c r="BS440" s="118"/>
      <c r="BT440" s="118"/>
      <c r="BU440" s="118"/>
    </row>
    <row r="441" spans="15:73"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  <c r="BI441" s="118"/>
      <c r="BJ441" s="118"/>
      <c r="BK441" s="118"/>
      <c r="BL441" s="118"/>
      <c r="BM441" s="118"/>
      <c r="BN441" s="118"/>
      <c r="BO441" s="118"/>
      <c r="BP441" s="118"/>
      <c r="BQ441" s="118"/>
      <c r="BR441" s="118"/>
      <c r="BS441" s="118"/>
      <c r="BT441" s="118"/>
      <c r="BU441" s="118"/>
    </row>
    <row r="442" spans="15:73"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  <c r="BI442" s="118"/>
      <c r="BJ442" s="118"/>
      <c r="BK442" s="118"/>
      <c r="BL442" s="118"/>
      <c r="BM442" s="118"/>
      <c r="BN442" s="118"/>
      <c r="BO442" s="118"/>
      <c r="BP442" s="118"/>
      <c r="BQ442" s="118"/>
      <c r="BR442" s="118"/>
      <c r="BS442" s="118"/>
      <c r="BT442" s="118"/>
      <c r="BU442" s="118"/>
    </row>
    <row r="443" spans="15:73"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8"/>
      <c r="BJ443" s="118"/>
      <c r="BK443" s="118"/>
      <c r="BL443" s="118"/>
      <c r="BM443" s="118"/>
      <c r="BN443" s="118"/>
      <c r="BO443" s="118"/>
      <c r="BP443" s="118"/>
      <c r="BQ443" s="118"/>
      <c r="BR443" s="118"/>
      <c r="BS443" s="118"/>
      <c r="BT443" s="118"/>
      <c r="BU443" s="118"/>
    </row>
    <row r="444" spans="15:73"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8"/>
      <c r="BJ444" s="118"/>
      <c r="BK444" s="118"/>
      <c r="BL444" s="118"/>
      <c r="BM444" s="118"/>
      <c r="BN444" s="118"/>
      <c r="BO444" s="118"/>
      <c r="BP444" s="118"/>
      <c r="BQ444" s="118"/>
      <c r="BR444" s="118"/>
      <c r="BS444" s="118"/>
      <c r="BT444" s="118"/>
      <c r="BU444" s="118"/>
    </row>
    <row r="445" spans="15:73"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  <c r="BI445" s="118"/>
      <c r="BJ445" s="118"/>
      <c r="BK445" s="118"/>
      <c r="BL445" s="118"/>
      <c r="BM445" s="118"/>
      <c r="BN445" s="118"/>
      <c r="BO445" s="118"/>
      <c r="BP445" s="118"/>
      <c r="BQ445" s="118"/>
      <c r="BR445" s="118"/>
      <c r="BS445" s="118"/>
      <c r="BT445" s="118"/>
      <c r="BU445" s="118"/>
    </row>
    <row r="446" spans="15:73"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18"/>
      <c r="BL446" s="118"/>
      <c r="BM446" s="118"/>
      <c r="BN446" s="118"/>
      <c r="BO446" s="118"/>
      <c r="BP446" s="118"/>
      <c r="BQ446" s="118"/>
      <c r="BR446" s="118"/>
      <c r="BS446" s="118"/>
      <c r="BT446" s="118"/>
      <c r="BU446" s="118"/>
    </row>
    <row r="447" spans="15:73"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8"/>
      <c r="BJ447" s="118"/>
      <c r="BK447" s="118"/>
      <c r="BL447" s="118"/>
      <c r="BM447" s="118"/>
      <c r="BN447" s="118"/>
      <c r="BO447" s="118"/>
      <c r="BP447" s="118"/>
      <c r="BQ447" s="118"/>
      <c r="BR447" s="118"/>
      <c r="BS447" s="118"/>
      <c r="BT447" s="118"/>
      <c r="BU447" s="118"/>
    </row>
    <row r="448" spans="15:73"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18"/>
      <c r="BL448" s="118"/>
      <c r="BM448" s="118"/>
      <c r="BN448" s="118"/>
      <c r="BO448" s="118"/>
      <c r="BP448" s="118"/>
      <c r="BQ448" s="118"/>
      <c r="BR448" s="118"/>
      <c r="BS448" s="118"/>
      <c r="BT448" s="118"/>
      <c r="BU448" s="118"/>
    </row>
    <row r="449" spans="15:73"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  <c r="BM449" s="118"/>
      <c r="BN449" s="118"/>
      <c r="BO449" s="118"/>
      <c r="BP449" s="118"/>
      <c r="BQ449" s="118"/>
      <c r="BR449" s="118"/>
      <c r="BS449" s="118"/>
      <c r="BT449" s="118"/>
      <c r="BU449" s="118"/>
    </row>
    <row r="450" spans="15:73"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  <c r="BI450" s="118"/>
      <c r="BJ450" s="118"/>
      <c r="BK450" s="118"/>
      <c r="BL450" s="118"/>
      <c r="BM450" s="118"/>
      <c r="BN450" s="118"/>
      <c r="BO450" s="118"/>
      <c r="BP450" s="118"/>
      <c r="BQ450" s="118"/>
      <c r="BR450" s="118"/>
      <c r="BS450" s="118"/>
      <c r="BT450" s="118"/>
      <c r="BU450" s="118"/>
    </row>
    <row r="451" spans="15:73"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8"/>
      <c r="BJ451" s="118"/>
      <c r="BK451" s="118"/>
      <c r="BL451" s="118"/>
      <c r="BM451" s="118"/>
      <c r="BN451" s="118"/>
      <c r="BO451" s="118"/>
      <c r="BP451" s="118"/>
      <c r="BQ451" s="118"/>
      <c r="BR451" s="118"/>
      <c r="BS451" s="118"/>
      <c r="BT451" s="118"/>
      <c r="BU451" s="118"/>
    </row>
    <row r="452" spans="15:73"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8"/>
      <c r="BJ452" s="118"/>
      <c r="BK452" s="118"/>
      <c r="BL452" s="118"/>
      <c r="BM452" s="118"/>
      <c r="BN452" s="118"/>
      <c r="BO452" s="118"/>
      <c r="BP452" s="118"/>
      <c r="BQ452" s="118"/>
      <c r="BR452" s="118"/>
      <c r="BS452" s="118"/>
      <c r="BT452" s="118"/>
      <c r="BU452" s="118"/>
    </row>
    <row r="453" spans="15:73"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  <c r="BI453" s="118"/>
      <c r="BJ453" s="118"/>
      <c r="BK453" s="118"/>
      <c r="BL453" s="118"/>
      <c r="BM453" s="118"/>
      <c r="BN453" s="118"/>
      <c r="BO453" s="118"/>
      <c r="BP453" s="118"/>
      <c r="BQ453" s="118"/>
      <c r="BR453" s="118"/>
      <c r="BS453" s="118"/>
      <c r="BT453" s="118"/>
      <c r="BU453" s="118"/>
    </row>
    <row r="454" spans="15:73"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  <c r="BI454" s="118"/>
      <c r="BJ454" s="118"/>
      <c r="BK454" s="118"/>
      <c r="BL454" s="118"/>
      <c r="BM454" s="118"/>
      <c r="BN454" s="118"/>
      <c r="BO454" s="118"/>
      <c r="BP454" s="118"/>
      <c r="BQ454" s="118"/>
      <c r="BR454" s="118"/>
      <c r="BS454" s="118"/>
      <c r="BT454" s="118"/>
      <c r="BU454" s="118"/>
    </row>
    <row r="455" spans="15:73"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8"/>
      <c r="BJ455" s="118"/>
      <c r="BK455" s="118"/>
      <c r="BL455" s="118"/>
      <c r="BM455" s="118"/>
      <c r="BN455" s="118"/>
      <c r="BO455" s="118"/>
      <c r="BP455" s="118"/>
      <c r="BQ455" s="118"/>
      <c r="BR455" s="118"/>
      <c r="BS455" s="118"/>
      <c r="BT455" s="118"/>
      <c r="BU455" s="118"/>
    </row>
    <row r="456" spans="15:73"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8"/>
      <c r="BJ456" s="118"/>
      <c r="BK456" s="118"/>
      <c r="BL456" s="118"/>
      <c r="BM456" s="118"/>
      <c r="BN456" s="118"/>
      <c r="BO456" s="118"/>
      <c r="BP456" s="118"/>
      <c r="BQ456" s="118"/>
      <c r="BR456" s="118"/>
      <c r="BS456" s="118"/>
      <c r="BT456" s="118"/>
      <c r="BU456" s="118"/>
    </row>
    <row r="457" spans="15:73"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  <c r="BI457" s="118"/>
      <c r="BJ457" s="118"/>
      <c r="BK457" s="118"/>
      <c r="BL457" s="118"/>
      <c r="BM457" s="118"/>
      <c r="BN457" s="118"/>
      <c r="BO457" s="118"/>
      <c r="BP457" s="118"/>
      <c r="BQ457" s="118"/>
      <c r="BR457" s="118"/>
      <c r="BS457" s="118"/>
      <c r="BT457" s="118"/>
      <c r="BU457" s="118"/>
    </row>
    <row r="458" spans="15:73"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  <c r="BI458" s="118"/>
      <c r="BJ458" s="118"/>
      <c r="BK458" s="118"/>
      <c r="BL458" s="118"/>
      <c r="BM458" s="118"/>
      <c r="BN458" s="118"/>
      <c r="BO458" s="118"/>
      <c r="BP458" s="118"/>
      <c r="BQ458" s="118"/>
      <c r="BR458" s="118"/>
      <c r="BS458" s="118"/>
      <c r="BT458" s="118"/>
      <c r="BU458" s="118"/>
    </row>
    <row r="459" spans="15:73"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  <c r="BM459" s="118"/>
      <c r="BN459" s="118"/>
      <c r="BO459" s="118"/>
      <c r="BP459" s="118"/>
      <c r="BQ459" s="118"/>
      <c r="BR459" s="118"/>
      <c r="BS459" s="118"/>
      <c r="BT459" s="118"/>
      <c r="BU459" s="118"/>
    </row>
    <row r="460" spans="15:73"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8"/>
      <c r="BK460" s="118"/>
      <c r="BL460" s="118"/>
      <c r="BM460" s="118"/>
      <c r="BN460" s="118"/>
      <c r="BO460" s="118"/>
      <c r="BP460" s="118"/>
      <c r="BQ460" s="118"/>
      <c r="BR460" s="118"/>
      <c r="BS460" s="118"/>
      <c r="BT460" s="118"/>
      <c r="BU460" s="118"/>
    </row>
    <row r="461" spans="15:73"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  <c r="BI461" s="118"/>
      <c r="BJ461" s="118"/>
      <c r="BK461" s="118"/>
      <c r="BL461" s="118"/>
      <c r="BM461" s="118"/>
      <c r="BN461" s="118"/>
      <c r="BO461" s="118"/>
      <c r="BP461" s="118"/>
      <c r="BQ461" s="118"/>
      <c r="BR461" s="118"/>
      <c r="BS461" s="118"/>
      <c r="BT461" s="118"/>
      <c r="BU461" s="118"/>
    </row>
    <row r="462" spans="15:73"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8"/>
      <c r="BK462" s="118"/>
      <c r="BL462" s="118"/>
      <c r="BM462" s="118"/>
      <c r="BN462" s="118"/>
      <c r="BO462" s="118"/>
      <c r="BP462" s="118"/>
      <c r="BQ462" s="118"/>
      <c r="BR462" s="118"/>
      <c r="BS462" s="118"/>
      <c r="BT462" s="118"/>
      <c r="BU462" s="118"/>
    </row>
    <row r="463" spans="15:73"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  <c r="BM463" s="118"/>
      <c r="BN463" s="118"/>
      <c r="BO463" s="118"/>
      <c r="BP463" s="118"/>
      <c r="BQ463" s="118"/>
      <c r="BR463" s="118"/>
      <c r="BS463" s="118"/>
      <c r="BT463" s="118"/>
      <c r="BU463" s="118"/>
    </row>
    <row r="464" spans="15:73"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  <c r="BI464" s="118"/>
      <c r="BJ464" s="118"/>
      <c r="BK464" s="118"/>
      <c r="BL464" s="118"/>
      <c r="BM464" s="118"/>
      <c r="BN464" s="118"/>
      <c r="BO464" s="118"/>
      <c r="BP464" s="118"/>
      <c r="BQ464" s="118"/>
      <c r="BR464" s="118"/>
      <c r="BS464" s="118"/>
      <c r="BT464" s="118"/>
      <c r="BU464" s="118"/>
    </row>
    <row r="465" spans="15:73"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  <c r="BI465" s="118"/>
      <c r="BJ465" s="118"/>
      <c r="BK465" s="118"/>
      <c r="BL465" s="118"/>
      <c r="BM465" s="118"/>
      <c r="BN465" s="118"/>
      <c r="BO465" s="118"/>
      <c r="BP465" s="118"/>
      <c r="BQ465" s="118"/>
      <c r="BR465" s="118"/>
      <c r="BS465" s="118"/>
      <c r="BT465" s="118"/>
      <c r="BU465" s="118"/>
    </row>
    <row r="466" spans="15:73"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  <c r="BI466" s="118"/>
      <c r="BJ466" s="118"/>
      <c r="BK466" s="118"/>
      <c r="BL466" s="118"/>
      <c r="BM466" s="118"/>
      <c r="BN466" s="118"/>
      <c r="BO466" s="118"/>
      <c r="BP466" s="118"/>
      <c r="BQ466" s="118"/>
      <c r="BR466" s="118"/>
      <c r="BS466" s="118"/>
      <c r="BT466" s="118"/>
      <c r="BU466" s="118"/>
    </row>
    <row r="467" spans="15:73"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18"/>
      <c r="BC467" s="118"/>
      <c r="BD467" s="118"/>
      <c r="BE467" s="118"/>
      <c r="BF467" s="118"/>
      <c r="BG467" s="118"/>
      <c r="BH467" s="118"/>
      <c r="BI467" s="118"/>
      <c r="BJ467" s="118"/>
      <c r="BK467" s="118"/>
      <c r="BL467" s="118"/>
      <c r="BM467" s="118"/>
      <c r="BN467" s="118"/>
      <c r="BO467" s="118"/>
      <c r="BP467" s="118"/>
      <c r="BQ467" s="118"/>
      <c r="BR467" s="118"/>
      <c r="BS467" s="118"/>
      <c r="BT467" s="118"/>
      <c r="BU467" s="118"/>
    </row>
    <row r="468" spans="15:73"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  <c r="BI468" s="118"/>
      <c r="BJ468" s="118"/>
      <c r="BK468" s="118"/>
      <c r="BL468" s="118"/>
      <c r="BM468" s="118"/>
      <c r="BN468" s="118"/>
      <c r="BO468" s="118"/>
      <c r="BP468" s="118"/>
      <c r="BQ468" s="118"/>
      <c r="BR468" s="118"/>
      <c r="BS468" s="118"/>
      <c r="BT468" s="118"/>
      <c r="BU468" s="118"/>
    </row>
    <row r="469" spans="15:73"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  <c r="AV469" s="118"/>
      <c r="AW469" s="118"/>
      <c r="AX469" s="118"/>
      <c r="AY469" s="118"/>
      <c r="AZ469" s="118"/>
      <c r="BA469" s="118"/>
      <c r="BB469" s="118"/>
      <c r="BC469" s="118"/>
      <c r="BD469" s="118"/>
      <c r="BE469" s="118"/>
      <c r="BF469" s="118"/>
      <c r="BG469" s="118"/>
      <c r="BH469" s="118"/>
      <c r="BI469" s="118"/>
      <c r="BJ469" s="118"/>
      <c r="BK469" s="118"/>
      <c r="BL469" s="118"/>
      <c r="BM469" s="118"/>
      <c r="BN469" s="118"/>
      <c r="BO469" s="118"/>
      <c r="BP469" s="118"/>
      <c r="BQ469" s="118"/>
      <c r="BR469" s="118"/>
      <c r="BS469" s="118"/>
      <c r="BT469" s="118"/>
      <c r="BU469" s="118"/>
    </row>
    <row r="470" spans="15:73"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8"/>
      <c r="BK470" s="118"/>
      <c r="BL470" s="118"/>
      <c r="BM470" s="118"/>
      <c r="BN470" s="118"/>
      <c r="BO470" s="118"/>
      <c r="BP470" s="118"/>
      <c r="BQ470" s="118"/>
      <c r="BR470" s="118"/>
      <c r="BS470" s="118"/>
      <c r="BT470" s="118"/>
      <c r="BU470" s="118"/>
    </row>
    <row r="471" spans="15:73"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  <c r="BM471" s="118"/>
      <c r="BN471" s="118"/>
      <c r="BO471" s="118"/>
      <c r="BP471" s="118"/>
      <c r="BQ471" s="118"/>
      <c r="BR471" s="118"/>
      <c r="BS471" s="118"/>
      <c r="BT471" s="118"/>
      <c r="BU471" s="118"/>
    </row>
    <row r="472" spans="15:73"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8"/>
      <c r="BK472" s="118"/>
      <c r="BL472" s="118"/>
      <c r="BM472" s="118"/>
      <c r="BN472" s="118"/>
      <c r="BO472" s="118"/>
      <c r="BP472" s="118"/>
      <c r="BQ472" s="118"/>
      <c r="BR472" s="118"/>
      <c r="BS472" s="118"/>
      <c r="BT472" s="118"/>
      <c r="BU472" s="118"/>
    </row>
    <row r="473" spans="15:73"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  <c r="BM473" s="118"/>
      <c r="BN473" s="118"/>
      <c r="BO473" s="118"/>
      <c r="BP473" s="118"/>
      <c r="BQ473" s="118"/>
      <c r="BR473" s="118"/>
      <c r="BS473" s="118"/>
      <c r="BT473" s="118"/>
      <c r="BU473" s="118"/>
    </row>
    <row r="474" spans="15:73"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  <c r="BI474" s="118"/>
      <c r="BJ474" s="118"/>
      <c r="BK474" s="118"/>
      <c r="BL474" s="118"/>
      <c r="BM474" s="118"/>
      <c r="BN474" s="118"/>
      <c r="BO474" s="118"/>
      <c r="BP474" s="118"/>
      <c r="BQ474" s="118"/>
      <c r="BR474" s="118"/>
      <c r="BS474" s="118"/>
      <c r="BT474" s="118"/>
      <c r="BU474" s="118"/>
    </row>
    <row r="475" spans="15:73"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  <c r="BI475" s="118"/>
      <c r="BJ475" s="118"/>
      <c r="BK475" s="118"/>
      <c r="BL475" s="118"/>
      <c r="BM475" s="118"/>
      <c r="BN475" s="118"/>
      <c r="BO475" s="118"/>
      <c r="BP475" s="118"/>
      <c r="BQ475" s="118"/>
      <c r="BR475" s="118"/>
      <c r="BS475" s="118"/>
      <c r="BT475" s="118"/>
      <c r="BU475" s="118"/>
    </row>
    <row r="476" spans="15:73"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  <c r="BI476" s="118"/>
      <c r="BJ476" s="118"/>
      <c r="BK476" s="118"/>
      <c r="BL476" s="118"/>
      <c r="BM476" s="118"/>
      <c r="BN476" s="118"/>
      <c r="BO476" s="118"/>
      <c r="BP476" s="118"/>
      <c r="BQ476" s="118"/>
      <c r="BR476" s="118"/>
      <c r="BS476" s="118"/>
      <c r="BT476" s="118"/>
      <c r="BU476" s="118"/>
    </row>
    <row r="477" spans="15:73"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  <c r="BI477" s="118"/>
      <c r="BJ477" s="118"/>
      <c r="BK477" s="118"/>
      <c r="BL477" s="118"/>
      <c r="BM477" s="118"/>
      <c r="BN477" s="118"/>
      <c r="BO477" s="118"/>
      <c r="BP477" s="118"/>
      <c r="BQ477" s="118"/>
      <c r="BR477" s="118"/>
      <c r="BS477" s="118"/>
      <c r="BT477" s="118"/>
      <c r="BU477" s="118"/>
    </row>
    <row r="478" spans="15:73"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  <c r="BI478" s="118"/>
      <c r="BJ478" s="118"/>
      <c r="BK478" s="118"/>
      <c r="BL478" s="118"/>
      <c r="BM478" s="118"/>
      <c r="BN478" s="118"/>
      <c r="BO478" s="118"/>
      <c r="BP478" s="118"/>
      <c r="BQ478" s="118"/>
      <c r="BR478" s="118"/>
      <c r="BS478" s="118"/>
      <c r="BT478" s="118"/>
      <c r="BU478" s="118"/>
    </row>
    <row r="479" spans="15:73"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18"/>
      <c r="BB479" s="118"/>
      <c r="BC479" s="118"/>
      <c r="BD479" s="118"/>
      <c r="BE479" s="118"/>
      <c r="BF479" s="118"/>
      <c r="BG479" s="118"/>
      <c r="BH479" s="118"/>
      <c r="BI479" s="118"/>
      <c r="BJ479" s="118"/>
      <c r="BK479" s="118"/>
      <c r="BL479" s="118"/>
      <c r="BM479" s="118"/>
      <c r="BN479" s="118"/>
      <c r="BO479" s="118"/>
      <c r="BP479" s="118"/>
      <c r="BQ479" s="118"/>
      <c r="BR479" s="118"/>
      <c r="BS479" s="118"/>
      <c r="BT479" s="118"/>
      <c r="BU479" s="118"/>
    </row>
    <row r="480" spans="15:73"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18"/>
      <c r="BL480" s="118"/>
      <c r="BM480" s="118"/>
      <c r="BN480" s="118"/>
      <c r="BO480" s="118"/>
      <c r="BP480" s="118"/>
      <c r="BQ480" s="118"/>
      <c r="BR480" s="118"/>
      <c r="BS480" s="118"/>
      <c r="BT480" s="118"/>
      <c r="BU480" s="118"/>
    </row>
    <row r="481" spans="15:73"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8"/>
      <c r="BJ481" s="118"/>
      <c r="BK481" s="118"/>
      <c r="BL481" s="118"/>
      <c r="BM481" s="118"/>
      <c r="BN481" s="118"/>
      <c r="BO481" s="118"/>
      <c r="BP481" s="118"/>
      <c r="BQ481" s="118"/>
      <c r="BR481" s="118"/>
      <c r="BS481" s="118"/>
      <c r="BT481" s="118"/>
      <c r="BU481" s="118"/>
    </row>
    <row r="482" spans="15:73"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  <c r="BM482" s="118"/>
      <c r="BN482" s="118"/>
      <c r="BO482" s="118"/>
      <c r="BP482" s="118"/>
      <c r="BQ482" s="118"/>
      <c r="BR482" s="118"/>
      <c r="BS482" s="118"/>
      <c r="BT482" s="118"/>
      <c r="BU482" s="118"/>
    </row>
    <row r="483" spans="15:73"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  <c r="BM483" s="118"/>
      <c r="BN483" s="118"/>
      <c r="BO483" s="118"/>
      <c r="BP483" s="118"/>
      <c r="BQ483" s="118"/>
      <c r="BR483" s="118"/>
      <c r="BS483" s="118"/>
      <c r="BT483" s="118"/>
      <c r="BU483" s="118"/>
    </row>
    <row r="484" spans="15:73"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  <c r="BI484" s="118"/>
      <c r="BJ484" s="118"/>
      <c r="BK484" s="118"/>
      <c r="BL484" s="118"/>
      <c r="BM484" s="118"/>
      <c r="BN484" s="118"/>
      <c r="BO484" s="118"/>
      <c r="BP484" s="118"/>
      <c r="BQ484" s="118"/>
      <c r="BR484" s="118"/>
      <c r="BS484" s="118"/>
      <c r="BT484" s="118"/>
      <c r="BU484" s="118"/>
    </row>
    <row r="485" spans="15:73"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  <c r="BM485" s="118"/>
      <c r="BN485" s="118"/>
      <c r="BO485" s="118"/>
      <c r="BP485" s="118"/>
      <c r="BQ485" s="118"/>
      <c r="BR485" s="118"/>
      <c r="BS485" s="118"/>
      <c r="BT485" s="118"/>
      <c r="BU485" s="118"/>
    </row>
    <row r="486" spans="15:73"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18"/>
      <c r="BL486" s="118"/>
      <c r="BM486" s="118"/>
      <c r="BN486" s="118"/>
      <c r="BO486" s="118"/>
      <c r="BP486" s="118"/>
      <c r="BQ486" s="118"/>
      <c r="BR486" s="118"/>
      <c r="BS486" s="118"/>
      <c r="BT486" s="118"/>
      <c r="BU486" s="118"/>
    </row>
    <row r="487" spans="15:73"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18"/>
      <c r="BL487" s="118"/>
      <c r="BM487" s="118"/>
      <c r="BN487" s="118"/>
      <c r="BO487" s="118"/>
      <c r="BP487" s="118"/>
      <c r="BQ487" s="118"/>
      <c r="BR487" s="118"/>
      <c r="BS487" s="118"/>
      <c r="BT487" s="118"/>
      <c r="BU487" s="118"/>
    </row>
    <row r="488" spans="15:73"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  <c r="BI488" s="118"/>
      <c r="BJ488" s="118"/>
      <c r="BK488" s="118"/>
      <c r="BL488" s="118"/>
      <c r="BM488" s="118"/>
      <c r="BN488" s="118"/>
      <c r="BO488" s="118"/>
      <c r="BP488" s="118"/>
      <c r="BQ488" s="118"/>
      <c r="BR488" s="118"/>
      <c r="BS488" s="118"/>
      <c r="BT488" s="118"/>
      <c r="BU488" s="118"/>
    </row>
    <row r="489" spans="15:73"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  <c r="BI489" s="118"/>
      <c r="BJ489" s="118"/>
      <c r="BK489" s="118"/>
      <c r="BL489" s="118"/>
      <c r="BM489" s="118"/>
      <c r="BN489" s="118"/>
      <c r="BO489" s="118"/>
      <c r="BP489" s="118"/>
      <c r="BQ489" s="118"/>
      <c r="BR489" s="118"/>
      <c r="BS489" s="118"/>
      <c r="BT489" s="118"/>
      <c r="BU489" s="118"/>
    </row>
    <row r="490" spans="15:73"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8"/>
      <c r="BK490" s="118"/>
      <c r="BL490" s="118"/>
      <c r="BM490" s="118"/>
      <c r="BN490" s="118"/>
      <c r="BO490" s="118"/>
      <c r="BP490" s="118"/>
      <c r="BQ490" s="118"/>
      <c r="BR490" s="118"/>
      <c r="BS490" s="118"/>
      <c r="BT490" s="118"/>
      <c r="BU490" s="118"/>
    </row>
    <row r="491" spans="15:73"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  <c r="BI491" s="118"/>
      <c r="BJ491" s="118"/>
      <c r="BK491" s="118"/>
      <c r="BL491" s="118"/>
      <c r="BM491" s="118"/>
      <c r="BN491" s="118"/>
      <c r="BO491" s="118"/>
      <c r="BP491" s="118"/>
      <c r="BQ491" s="118"/>
      <c r="BR491" s="118"/>
      <c r="BS491" s="118"/>
      <c r="BT491" s="118"/>
      <c r="BU491" s="118"/>
    </row>
    <row r="492" spans="15:73"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  <c r="BM492" s="118"/>
      <c r="BN492" s="118"/>
      <c r="BO492" s="118"/>
      <c r="BP492" s="118"/>
      <c r="BQ492" s="118"/>
      <c r="BR492" s="118"/>
      <c r="BS492" s="118"/>
      <c r="BT492" s="118"/>
      <c r="BU492" s="118"/>
    </row>
    <row r="493" spans="15:73"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</row>
    <row r="494" spans="15:73"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</row>
    <row r="495" spans="15:73"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</row>
    <row r="496" spans="15:73"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  <c r="BS496" s="118"/>
      <c r="BT496" s="118"/>
      <c r="BU496" s="118"/>
    </row>
    <row r="497" spans="15:73"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  <c r="AV497" s="118"/>
      <c r="AW497" s="118"/>
      <c r="AX497" s="118"/>
      <c r="AY497" s="118"/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8"/>
      <c r="BJ497" s="118"/>
      <c r="BK497" s="118"/>
      <c r="BL497" s="118"/>
      <c r="BM497" s="118"/>
      <c r="BN497" s="118"/>
      <c r="BO497" s="118"/>
      <c r="BP497" s="118"/>
      <c r="BQ497" s="118"/>
      <c r="BR497" s="118"/>
      <c r="BS497" s="118"/>
      <c r="BT497" s="118"/>
      <c r="BU497" s="118"/>
    </row>
    <row r="498" spans="15:73"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8"/>
      <c r="BJ498" s="118"/>
      <c r="BK498" s="118"/>
      <c r="BL498" s="118"/>
      <c r="BM498" s="118"/>
      <c r="BN498" s="118"/>
      <c r="BO498" s="118"/>
      <c r="BP498" s="118"/>
      <c r="BQ498" s="118"/>
      <c r="BR498" s="118"/>
      <c r="BS498" s="118"/>
      <c r="BT498" s="118"/>
      <c r="BU498" s="118"/>
    </row>
    <row r="499" spans="15:73"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  <c r="BI499" s="118"/>
      <c r="BJ499" s="118"/>
      <c r="BK499" s="118"/>
      <c r="BL499" s="118"/>
      <c r="BM499" s="118"/>
      <c r="BN499" s="118"/>
      <c r="BO499" s="118"/>
      <c r="BP499" s="118"/>
      <c r="BQ499" s="118"/>
      <c r="BR499" s="118"/>
      <c r="BS499" s="118"/>
      <c r="BT499" s="118"/>
      <c r="BU499" s="118"/>
    </row>
    <row r="500" spans="15:73"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</row>
    <row r="501" spans="15:73"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</row>
    <row r="502" spans="15:73"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  <c r="BS502" s="118"/>
      <c r="BT502" s="118"/>
      <c r="BU502" s="118"/>
    </row>
    <row r="503" spans="15:73"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  <c r="BI503" s="118"/>
      <c r="BJ503" s="118"/>
      <c r="BK503" s="118"/>
      <c r="BL503" s="118"/>
      <c r="BM503" s="118"/>
      <c r="BN503" s="118"/>
      <c r="BO503" s="118"/>
      <c r="BP503" s="118"/>
      <c r="BQ503" s="118"/>
      <c r="BR503" s="118"/>
      <c r="BS503" s="118"/>
      <c r="BT503" s="118"/>
      <c r="BU503" s="118"/>
    </row>
    <row r="504" spans="15:73"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</row>
    <row r="505" spans="15:73"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  <c r="BS505" s="118"/>
      <c r="BT505" s="118"/>
      <c r="BU505" s="118"/>
    </row>
    <row r="506" spans="15:73"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8"/>
      <c r="BJ506" s="118"/>
      <c r="BK506" s="118"/>
      <c r="BL506" s="118"/>
      <c r="BM506" s="118"/>
      <c r="BN506" s="118"/>
      <c r="BO506" s="118"/>
      <c r="BP506" s="118"/>
      <c r="BQ506" s="118"/>
      <c r="BR506" s="118"/>
      <c r="BS506" s="118"/>
      <c r="BT506" s="118"/>
      <c r="BU506" s="118"/>
    </row>
    <row r="507" spans="15:73"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</row>
    <row r="508" spans="15:73"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</row>
    <row r="509" spans="15:73"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</row>
    <row r="510" spans="15:73"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118"/>
      <c r="BN510" s="118"/>
      <c r="BO510" s="118"/>
      <c r="BP510" s="118"/>
      <c r="BQ510" s="118"/>
      <c r="BR510" s="118"/>
      <c r="BS510" s="118"/>
      <c r="BT510" s="118"/>
      <c r="BU510" s="118"/>
    </row>
    <row r="511" spans="15:73"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  <c r="BM511" s="118"/>
      <c r="BN511" s="118"/>
      <c r="BO511" s="118"/>
      <c r="BP511" s="118"/>
      <c r="BQ511" s="118"/>
      <c r="BR511" s="118"/>
      <c r="BS511" s="118"/>
      <c r="BT511" s="118"/>
      <c r="BU511" s="118"/>
    </row>
    <row r="512" spans="15:73"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</row>
    <row r="513" spans="15:73"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</row>
    <row r="514" spans="15:73"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</row>
    <row r="515" spans="15:73"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  <c r="BM515" s="118"/>
      <c r="BN515" s="118"/>
      <c r="BO515" s="118"/>
      <c r="BP515" s="118"/>
      <c r="BQ515" s="118"/>
      <c r="BR515" s="118"/>
      <c r="BS515" s="118"/>
      <c r="BT515" s="118"/>
      <c r="BU515" s="118"/>
    </row>
    <row r="516" spans="15:73"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  <c r="BI516" s="118"/>
      <c r="BJ516" s="118"/>
      <c r="BK516" s="118"/>
      <c r="BL516" s="118"/>
      <c r="BM516" s="118"/>
      <c r="BN516" s="118"/>
      <c r="BO516" s="118"/>
      <c r="BP516" s="118"/>
      <c r="BQ516" s="118"/>
      <c r="BR516" s="118"/>
      <c r="BS516" s="118"/>
      <c r="BT516" s="118"/>
      <c r="BU516" s="118"/>
    </row>
    <row r="517" spans="15:73"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</row>
    <row r="518" spans="15:73"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  <c r="BM518" s="118"/>
      <c r="BN518" s="118"/>
      <c r="BO518" s="118"/>
      <c r="BP518" s="118"/>
      <c r="BQ518" s="118"/>
      <c r="BR518" s="118"/>
      <c r="BS518" s="118"/>
      <c r="BT518" s="118"/>
      <c r="BU518" s="118"/>
    </row>
    <row r="519" spans="15:73"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  <c r="BM519" s="118"/>
      <c r="BN519" s="118"/>
      <c r="BO519" s="118"/>
      <c r="BP519" s="118"/>
      <c r="BQ519" s="118"/>
      <c r="BR519" s="118"/>
      <c r="BS519" s="118"/>
      <c r="BT519" s="118"/>
      <c r="BU519" s="118"/>
    </row>
    <row r="520" spans="15:73"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  <c r="AV520" s="118"/>
      <c r="AW520" s="118"/>
      <c r="AX520" s="118"/>
      <c r="AY520" s="118"/>
      <c r="AZ520" s="118"/>
      <c r="BA520" s="118"/>
      <c r="BB520" s="118"/>
      <c r="BC520" s="118"/>
      <c r="BD520" s="118"/>
      <c r="BE520" s="118"/>
      <c r="BF520" s="118"/>
      <c r="BG520" s="118"/>
      <c r="BH520" s="118"/>
      <c r="BI520" s="118"/>
      <c r="BJ520" s="118"/>
      <c r="BK520" s="118"/>
      <c r="BL520" s="118"/>
      <c r="BM520" s="118"/>
      <c r="BN520" s="118"/>
      <c r="BO520" s="118"/>
      <c r="BP520" s="118"/>
      <c r="BQ520" s="118"/>
      <c r="BR520" s="118"/>
      <c r="BS520" s="118"/>
      <c r="BT520" s="118"/>
      <c r="BU520" s="118"/>
    </row>
    <row r="521" spans="15:73"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8"/>
      <c r="BJ521" s="118"/>
      <c r="BK521" s="118"/>
      <c r="BL521" s="118"/>
      <c r="BM521" s="118"/>
      <c r="BN521" s="118"/>
      <c r="BO521" s="118"/>
      <c r="BP521" s="118"/>
      <c r="BQ521" s="118"/>
      <c r="BR521" s="118"/>
      <c r="BS521" s="118"/>
      <c r="BT521" s="118"/>
      <c r="BU521" s="118"/>
    </row>
    <row r="522" spans="15:73"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8"/>
      <c r="BJ522" s="118"/>
      <c r="BK522" s="118"/>
      <c r="BL522" s="118"/>
      <c r="BM522" s="118"/>
      <c r="BN522" s="118"/>
      <c r="BO522" s="118"/>
      <c r="BP522" s="118"/>
      <c r="BQ522" s="118"/>
      <c r="BR522" s="118"/>
      <c r="BS522" s="118"/>
      <c r="BT522" s="118"/>
      <c r="BU522" s="118"/>
    </row>
    <row r="523" spans="15:73"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  <c r="BC523" s="118"/>
      <c r="BD523" s="118"/>
      <c r="BE523" s="118"/>
      <c r="BF523" s="118"/>
      <c r="BG523" s="118"/>
      <c r="BH523" s="118"/>
      <c r="BI523" s="118"/>
      <c r="BJ523" s="118"/>
      <c r="BK523" s="118"/>
      <c r="BL523" s="118"/>
      <c r="BM523" s="118"/>
      <c r="BN523" s="118"/>
      <c r="BO523" s="118"/>
      <c r="BP523" s="118"/>
      <c r="BQ523" s="118"/>
      <c r="BR523" s="118"/>
      <c r="BS523" s="118"/>
      <c r="BT523" s="118"/>
      <c r="BU523" s="118"/>
    </row>
    <row r="524" spans="15:73"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  <c r="BC524" s="118"/>
      <c r="BD524" s="118"/>
      <c r="BE524" s="118"/>
      <c r="BF524" s="118"/>
      <c r="BG524" s="118"/>
      <c r="BH524" s="118"/>
      <c r="BI524" s="118"/>
      <c r="BJ524" s="118"/>
      <c r="BK524" s="118"/>
      <c r="BL524" s="118"/>
      <c r="BM524" s="118"/>
      <c r="BN524" s="118"/>
      <c r="BO524" s="118"/>
      <c r="BP524" s="118"/>
      <c r="BQ524" s="118"/>
      <c r="BR524" s="118"/>
      <c r="BS524" s="118"/>
      <c r="BT524" s="118"/>
      <c r="BU524" s="118"/>
    </row>
    <row r="525" spans="15:73"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8"/>
      <c r="BJ525" s="118"/>
      <c r="BK525" s="118"/>
      <c r="BL525" s="118"/>
      <c r="BM525" s="118"/>
      <c r="BN525" s="118"/>
      <c r="BO525" s="118"/>
      <c r="BP525" s="118"/>
      <c r="BQ525" s="118"/>
      <c r="BR525" s="118"/>
      <c r="BS525" s="118"/>
      <c r="BT525" s="118"/>
      <c r="BU525" s="118"/>
    </row>
    <row r="526" spans="15:73"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8"/>
      <c r="BJ526" s="118"/>
      <c r="BK526" s="118"/>
      <c r="BL526" s="118"/>
      <c r="BM526" s="118"/>
      <c r="BN526" s="118"/>
      <c r="BO526" s="118"/>
      <c r="BP526" s="118"/>
      <c r="BQ526" s="118"/>
      <c r="BR526" s="118"/>
      <c r="BS526" s="118"/>
      <c r="BT526" s="118"/>
      <c r="BU526" s="118"/>
    </row>
    <row r="527" spans="15:73"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  <c r="BM527" s="118"/>
      <c r="BN527" s="118"/>
      <c r="BO527" s="118"/>
      <c r="BP527" s="118"/>
      <c r="BQ527" s="118"/>
      <c r="BR527" s="118"/>
      <c r="BS527" s="118"/>
      <c r="BT527" s="118"/>
      <c r="BU527" s="118"/>
    </row>
    <row r="528" spans="15:73"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  <c r="AV528" s="118"/>
      <c r="AW528" s="118"/>
      <c r="AX528" s="118"/>
      <c r="AY528" s="118"/>
      <c r="AZ528" s="118"/>
      <c r="BA528" s="118"/>
      <c r="BB528" s="118"/>
      <c r="BC528" s="118"/>
      <c r="BD528" s="118"/>
      <c r="BE528" s="118"/>
      <c r="BF528" s="118"/>
      <c r="BG528" s="118"/>
      <c r="BH528" s="118"/>
      <c r="BI528" s="118"/>
      <c r="BJ528" s="118"/>
      <c r="BK528" s="118"/>
      <c r="BL528" s="118"/>
      <c r="BM528" s="118"/>
      <c r="BN528" s="118"/>
      <c r="BO528" s="118"/>
      <c r="BP528" s="118"/>
      <c r="BQ528" s="118"/>
      <c r="BR528" s="118"/>
      <c r="BS528" s="118"/>
      <c r="BT528" s="118"/>
      <c r="BU528" s="118"/>
    </row>
    <row r="529" spans="15:73"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8"/>
      <c r="BJ529" s="118"/>
      <c r="BK529" s="118"/>
      <c r="BL529" s="118"/>
      <c r="BM529" s="118"/>
      <c r="BN529" s="118"/>
      <c r="BO529" s="118"/>
      <c r="BP529" s="118"/>
      <c r="BQ529" s="118"/>
      <c r="BR529" s="118"/>
      <c r="BS529" s="118"/>
      <c r="BT529" s="118"/>
      <c r="BU529" s="118"/>
    </row>
    <row r="530" spans="15:73"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8"/>
      <c r="BJ530" s="118"/>
      <c r="BK530" s="118"/>
      <c r="BL530" s="118"/>
      <c r="BM530" s="118"/>
      <c r="BN530" s="118"/>
      <c r="BO530" s="118"/>
      <c r="BP530" s="118"/>
      <c r="BQ530" s="118"/>
      <c r="BR530" s="118"/>
      <c r="BS530" s="118"/>
      <c r="BT530" s="118"/>
      <c r="BU530" s="118"/>
    </row>
    <row r="531" spans="15:73"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  <c r="BC531" s="118"/>
      <c r="BD531" s="118"/>
      <c r="BE531" s="118"/>
      <c r="BF531" s="118"/>
      <c r="BG531" s="118"/>
      <c r="BH531" s="118"/>
      <c r="BI531" s="118"/>
      <c r="BJ531" s="118"/>
      <c r="BK531" s="118"/>
      <c r="BL531" s="118"/>
      <c r="BM531" s="118"/>
      <c r="BN531" s="118"/>
      <c r="BO531" s="118"/>
      <c r="BP531" s="118"/>
      <c r="BQ531" s="118"/>
      <c r="BR531" s="118"/>
      <c r="BS531" s="118"/>
      <c r="BT531" s="118"/>
      <c r="BU531" s="118"/>
    </row>
    <row r="532" spans="15:73"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  <c r="AV532" s="118"/>
      <c r="AW532" s="118"/>
      <c r="AX532" s="118"/>
      <c r="AY532" s="118"/>
      <c r="AZ532" s="118"/>
      <c r="BA532" s="118"/>
      <c r="BB532" s="118"/>
      <c r="BC532" s="118"/>
      <c r="BD532" s="118"/>
      <c r="BE532" s="118"/>
      <c r="BF532" s="118"/>
      <c r="BG532" s="118"/>
      <c r="BH532" s="118"/>
      <c r="BI532" s="118"/>
      <c r="BJ532" s="118"/>
      <c r="BK532" s="118"/>
      <c r="BL532" s="118"/>
      <c r="BM532" s="118"/>
      <c r="BN532" s="118"/>
      <c r="BO532" s="118"/>
      <c r="BP532" s="118"/>
      <c r="BQ532" s="118"/>
      <c r="BR532" s="118"/>
      <c r="BS532" s="118"/>
      <c r="BT532" s="118"/>
      <c r="BU532" s="118"/>
    </row>
    <row r="533" spans="15:73"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  <c r="AV533" s="118"/>
      <c r="AW533" s="118"/>
      <c r="AX533" s="118"/>
      <c r="AY533" s="118"/>
      <c r="AZ533" s="118"/>
      <c r="BA533" s="118"/>
      <c r="BB533" s="118"/>
      <c r="BC533" s="118"/>
      <c r="BD533" s="118"/>
      <c r="BE533" s="118"/>
      <c r="BF533" s="118"/>
      <c r="BG533" s="118"/>
      <c r="BH533" s="118"/>
      <c r="BI533" s="118"/>
      <c r="BJ533" s="118"/>
      <c r="BK533" s="118"/>
      <c r="BL533" s="118"/>
      <c r="BM533" s="118"/>
      <c r="BN533" s="118"/>
      <c r="BO533" s="118"/>
      <c r="BP533" s="118"/>
      <c r="BQ533" s="118"/>
      <c r="BR533" s="118"/>
      <c r="BS533" s="118"/>
      <c r="BT533" s="118"/>
      <c r="BU533" s="118"/>
    </row>
  </sheetData>
  <dataConsolidate link="1"/>
  <phoneticPr fontId="23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4"/>
  <sheetViews>
    <sheetView showGridLines="0" zoomScale="70" zoomScaleNormal="70" workbookViewId="0"/>
  </sheetViews>
  <sheetFormatPr defaultColWidth="9.109375" defaultRowHeight="13.2"/>
  <cols>
    <col min="1" max="1" width="16" style="16" customWidth="1"/>
    <col min="2" max="2" width="12.33203125" style="16" bestFit="1" customWidth="1"/>
    <col min="3" max="3" width="13" style="16" bestFit="1" customWidth="1"/>
    <col min="4" max="4" width="8.6640625" style="16" bestFit="1" customWidth="1"/>
    <col min="5" max="5" width="11.5546875" style="16" bestFit="1" customWidth="1"/>
    <col min="6" max="6" width="1.6640625" style="16" customWidth="1"/>
    <col min="7" max="9" width="11.5546875" style="16" bestFit="1" customWidth="1"/>
    <col min="10" max="10" width="10.6640625" style="16" customWidth="1"/>
    <col min="11" max="11" width="13.5546875" style="16" customWidth="1"/>
    <col min="12" max="12" width="11.6640625" style="16" bestFit="1" customWidth="1"/>
    <col min="13" max="16384" width="9.109375" style="16"/>
  </cols>
  <sheetData>
    <row r="1" spans="1:12" ht="13.8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>
      <c r="A2" s="17"/>
      <c r="B2" s="167" t="s">
        <v>57</v>
      </c>
      <c r="C2" s="167"/>
      <c r="D2" s="167"/>
      <c r="E2" s="167"/>
      <c r="F2" s="21"/>
      <c r="G2" s="167" t="s">
        <v>58</v>
      </c>
      <c r="H2" s="167"/>
      <c r="I2" s="167"/>
      <c r="J2" s="17"/>
    </row>
    <row r="3" spans="1:12" ht="13.8">
      <c r="A3" s="17" t="s">
        <v>17</v>
      </c>
      <c r="B3" s="19" t="s">
        <v>20</v>
      </c>
      <c r="C3" s="23"/>
      <c r="D3" s="23"/>
      <c r="E3" s="23"/>
      <c r="F3" s="23"/>
      <c r="G3" s="23"/>
      <c r="H3" s="23"/>
      <c r="I3" s="23"/>
      <c r="J3" s="19" t="s">
        <v>59</v>
      </c>
    </row>
    <row r="4" spans="1:12" ht="13.8">
      <c r="A4" s="24" t="s">
        <v>60</v>
      </c>
      <c r="B4" s="26" t="s">
        <v>61</v>
      </c>
      <c r="C4" s="26" t="s">
        <v>26</v>
      </c>
      <c r="D4" s="26" t="s">
        <v>27</v>
      </c>
      <c r="E4" s="28" t="s">
        <v>62</v>
      </c>
      <c r="F4" s="27"/>
      <c r="G4" s="26" t="s">
        <v>63</v>
      </c>
      <c r="H4" s="26" t="s">
        <v>64</v>
      </c>
      <c r="I4" s="26" t="s">
        <v>62</v>
      </c>
      <c r="J4" s="26" t="s">
        <v>65</v>
      </c>
    </row>
    <row r="5" spans="1:12" ht="14.4">
      <c r="A5" s="17"/>
      <c r="B5" s="168" t="s">
        <v>66</v>
      </c>
      <c r="C5" s="168"/>
      <c r="D5" s="168"/>
      <c r="E5" s="168"/>
      <c r="F5" s="168"/>
      <c r="G5" s="168"/>
      <c r="H5" s="168"/>
      <c r="I5" s="168"/>
      <c r="J5" s="168"/>
    </row>
    <row r="6" spans="1:12" ht="13.8">
      <c r="A6" s="17" t="s">
        <v>34</v>
      </c>
      <c r="B6" s="48">
        <v>341.33600000000001</v>
      </c>
      <c r="C6" s="49">
        <v>50564.716999999997</v>
      </c>
      <c r="D6" s="49">
        <v>784.47037552399991</v>
      </c>
      <c r="E6" s="35">
        <f>SUM(B6:D6)</f>
        <v>51690.523375523997</v>
      </c>
      <c r="F6" s="49"/>
      <c r="G6" s="49">
        <v>37674.379976930999</v>
      </c>
      <c r="H6" s="49">
        <v>13675.348139189</v>
      </c>
      <c r="I6" s="49">
        <f>SUM(G6:H6)</f>
        <v>51349.728116120001</v>
      </c>
      <c r="J6" s="49">
        <v>340.786</v>
      </c>
    </row>
    <row r="7" spans="1:12" ht="16.2">
      <c r="A7" s="17" t="s">
        <v>35</v>
      </c>
      <c r="B7" s="48">
        <f>J6</f>
        <v>340.786</v>
      </c>
      <c r="C7" s="49">
        <f>C23</f>
        <v>51810.551000000007</v>
      </c>
      <c r="D7" s="49">
        <f>D23</f>
        <v>649.11497484899996</v>
      </c>
      <c r="E7" s="35">
        <f>E23</f>
        <v>52800.451974849006</v>
      </c>
      <c r="F7" s="49"/>
      <c r="G7" s="49">
        <f>G23</f>
        <v>38965.713926673008</v>
      </c>
      <c r="H7" s="49">
        <f>H23</f>
        <v>13523.811048175998</v>
      </c>
      <c r="I7" s="49">
        <f>I23</f>
        <v>52489.52497484901</v>
      </c>
      <c r="J7" s="49">
        <f>J22</f>
        <v>310.92700000000002</v>
      </c>
    </row>
    <row r="8" spans="1:12" ht="16.2">
      <c r="A8" s="17" t="s">
        <v>36</v>
      </c>
      <c r="B8" s="48">
        <f>J7</f>
        <v>310.92700000000002</v>
      </c>
      <c r="C8" s="49">
        <v>52839.072999999997</v>
      </c>
      <c r="D8" s="49">
        <v>600</v>
      </c>
      <c r="E8" s="35">
        <f>SUM(B8:D8)</f>
        <v>53750</v>
      </c>
      <c r="F8" s="49"/>
      <c r="G8" s="49">
        <v>39700</v>
      </c>
      <c r="H8" s="49">
        <v>13700</v>
      </c>
      <c r="I8" s="49">
        <f>E8-J8</f>
        <v>53400</v>
      </c>
      <c r="J8" s="49">
        <v>350</v>
      </c>
    </row>
    <row r="9" spans="1:12" ht="13.8">
      <c r="A9" s="17"/>
      <c r="B9" s="50"/>
      <c r="C9" s="50"/>
      <c r="D9" s="50"/>
      <c r="E9" s="50"/>
      <c r="F9" s="50"/>
      <c r="G9" s="49"/>
      <c r="H9" s="50"/>
      <c r="I9" s="50"/>
      <c r="J9" s="50"/>
    </row>
    <row r="10" spans="1:12" ht="13.8">
      <c r="A10" s="51" t="s">
        <v>53</v>
      </c>
      <c r="B10" s="52"/>
      <c r="C10" s="6"/>
      <c r="D10" s="6"/>
      <c r="E10" s="6"/>
      <c r="F10" s="6"/>
      <c r="G10" s="6"/>
      <c r="H10" s="6"/>
      <c r="I10" s="6"/>
      <c r="J10" s="6"/>
    </row>
    <row r="11" spans="1:12" ht="14.4">
      <c r="A11" s="21" t="s">
        <v>38</v>
      </c>
      <c r="B11" s="52">
        <f>J6</f>
        <v>340.786</v>
      </c>
      <c r="C11" s="6">
        <v>4591.6390000000001</v>
      </c>
      <c r="D11" s="6">
        <f>(56544.8*1.10231)/1000</f>
        <v>62.329898487999998</v>
      </c>
      <c r="E11" s="6">
        <f t="shared" ref="E11:E22" si="0">SUM(B11:D11)</f>
        <v>4994.7548984880004</v>
      </c>
      <c r="F11" s="6"/>
      <c r="G11" s="6">
        <f t="shared" ref="G11:G22" si="1">I11-H11</f>
        <v>3492.8235415470008</v>
      </c>
      <c r="H11" s="6">
        <f>(989241.1*1.10231)/1000</f>
        <v>1090.4503569409999</v>
      </c>
      <c r="I11" s="5">
        <f t="shared" ref="I11:I22" si="2">E11-J11</f>
        <v>4583.2738984880007</v>
      </c>
      <c r="J11" s="6">
        <v>411.48099999999999</v>
      </c>
      <c r="K11" s="119"/>
      <c r="L11" s="124"/>
    </row>
    <row r="12" spans="1:12" ht="14.4">
      <c r="A12" s="21" t="s">
        <v>39</v>
      </c>
      <c r="B12" s="52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3282.1204081570004</v>
      </c>
      <c r="H12" s="6">
        <f>(1131890.6*1.10231)/1000</f>
        <v>1247.6943272859999</v>
      </c>
      <c r="I12" s="5">
        <f t="shared" si="2"/>
        <v>4529.8147354430002</v>
      </c>
      <c r="J12" s="6">
        <v>375.61200000000002</v>
      </c>
      <c r="K12" s="119"/>
      <c r="L12" s="124"/>
    </row>
    <row r="13" spans="1:12" ht="14.4">
      <c r="A13" s="21" t="s">
        <v>41</v>
      </c>
      <c r="B13" s="52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3224.487584683</v>
      </c>
      <c r="H13" s="6">
        <f>(1275842.3*1.10231)/1000</f>
        <v>1406.3737257129999</v>
      </c>
      <c r="I13" s="5">
        <f t="shared" si="2"/>
        <v>4630.8613103959997</v>
      </c>
      <c r="J13" s="6">
        <v>411.30900000000003</v>
      </c>
      <c r="K13" s="119"/>
      <c r="L13" s="124"/>
    </row>
    <row r="14" spans="1:12" ht="14.4">
      <c r="A14" s="21" t="s">
        <v>42</v>
      </c>
      <c r="B14" s="52">
        <f t="shared" si="3"/>
        <v>411.30900000000003</v>
      </c>
      <c r="C14" s="6">
        <v>4533.1530000000002</v>
      </c>
      <c r="D14" s="6">
        <f>(40167.4*1.10231)/1000</f>
        <v>44.276926693999997</v>
      </c>
      <c r="E14" s="6">
        <f t="shared" si="0"/>
        <v>4988.7389266940008</v>
      </c>
      <c r="F14" s="6"/>
      <c r="G14" s="6">
        <f t="shared" si="1"/>
        <v>3259.9617703520012</v>
      </c>
      <c r="H14" s="6">
        <f>(1177548.2*1.10231)/1000</f>
        <v>1298.0231563419998</v>
      </c>
      <c r="I14" s="5">
        <f t="shared" si="2"/>
        <v>4557.9849266940009</v>
      </c>
      <c r="J14" s="6">
        <v>430.75400000000002</v>
      </c>
      <c r="K14" s="119"/>
      <c r="L14" s="124"/>
    </row>
    <row r="15" spans="1:12" ht="14.4">
      <c r="A15" s="21" t="s">
        <v>43</v>
      </c>
      <c r="B15" s="52">
        <f t="shared" si="3"/>
        <v>430.75400000000002</v>
      </c>
      <c r="C15" s="6">
        <v>4089.9549999999999</v>
      </c>
      <c r="D15" s="6">
        <f>(46777.6*1.10231)/1000</f>
        <v>51.563416255999996</v>
      </c>
      <c r="E15" s="6">
        <f t="shared" si="0"/>
        <v>4572.2724162559998</v>
      </c>
      <c r="F15" s="6"/>
      <c r="G15" s="6">
        <f t="shared" si="1"/>
        <v>3104.2082034579998</v>
      </c>
      <c r="H15" s="6">
        <f>(981745.8*1.10231)/1000</f>
        <v>1082.1882127979998</v>
      </c>
      <c r="I15" s="5">
        <f t="shared" si="2"/>
        <v>4186.3964162559996</v>
      </c>
      <c r="J15" s="6">
        <v>385.87599999999998</v>
      </c>
      <c r="K15" s="119"/>
      <c r="L15" s="124"/>
    </row>
    <row r="16" spans="1:12" ht="14.4">
      <c r="A16" s="21" t="s">
        <v>45</v>
      </c>
      <c r="B16" s="52">
        <f t="shared" si="3"/>
        <v>385.87599999999998</v>
      </c>
      <c r="C16" s="6">
        <v>4549.6310000000003</v>
      </c>
      <c r="D16" s="6">
        <f>(36598.4*1.10231)/1000</f>
        <v>40.342782304000004</v>
      </c>
      <c r="E16" s="6">
        <f t="shared" si="0"/>
        <v>4975.8497823040007</v>
      </c>
      <c r="F16" s="6"/>
      <c r="G16" s="6">
        <f t="shared" si="1"/>
        <v>3397.5364563470011</v>
      </c>
      <c r="H16" s="6">
        <f>(1086214.7*1.10231)/1000</f>
        <v>1197.3453259569999</v>
      </c>
      <c r="I16" s="5">
        <f t="shared" si="2"/>
        <v>4594.8817823040008</v>
      </c>
      <c r="J16" s="6">
        <v>380.96800000000002</v>
      </c>
      <c r="K16" s="119"/>
      <c r="L16" s="124"/>
    </row>
    <row r="17" spans="1:12" ht="14.4">
      <c r="A17" s="21" t="s">
        <v>46</v>
      </c>
      <c r="B17" s="52">
        <f t="shared" si="3"/>
        <v>380.96800000000002</v>
      </c>
      <c r="C17" s="6">
        <v>4254.5450000000001</v>
      </c>
      <c r="D17" s="6">
        <f>(55089.9*1.10231)/1000</f>
        <v>60.726147668999999</v>
      </c>
      <c r="E17" s="6">
        <f t="shared" si="0"/>
        <v>4696.239147669</v>
      </c>
      <c r="F17" s="6"/>
      <c r="G17" s="6">
        <f t="shared" si="1"/>
        <v>3065.5731103500002</v>
      </c>
      <c r="H17" s="6">
        <f>(1075604.9*1.10231)/1000</f>
        <v>1185.6500373189999</v>
      </c>
      <c r="I17" s="5">
        <f t="shared" si="2"/>
        <v>4251.2231476690004</v>
      </c>
      <c r="J17" s="6">
        <v>445.01600000000002</v>
      </c>
      <c r="K17" s="119"/>
      <c r="L17" s="124"/>
    </row>
    <row r="18" spans="1:12" ht="14.4">
      <c r="A18" s="21" t="s">
        <v>47</v>
      </c>
      <c r="B18" s="52">
        <f t="shared" si="3"/>
        <v>445.01600000000002</v>
      </c>
      <c r="C18" s="6">
        <v>4260.0889999999999</v>
      </c>
      <c r="D18" s="125">
        <f>(66198.8*1.10231)/1000</f>
        <v>72.971599227999988</v>
      </c>
      <c r="E18" s="6">
        <f t="shared" si="0"/>
        <v>4778.0765992279994</v>
      </c>
      <c r="F18" s="6"/>
      <c r="G18" s="6">
        <f t="shared" si="1"/>
        <v>3171.9378907949995</v>
      </c>
      <c r="H18" s="125">
        <f>(1036354.3*1.10231)/1000</f>
        <v>1142.3837084329998</v>
      </c>
      <c r="I18" s="5">
        <f t="shared" si="2"/>
        <v>4314.3215992279993</v>
      </c>
      <c r="J18" s="6">
        <v>463.755</v>
      </c>
      <c r="K18" s="119"/>
      <c r="L18" s="124"/>
    </row>
    <row r="19" spans="1:12" ht="14.4">
      <c r="A19" s="21" t="s">
        <v>49</v>
      </c>
      <c r="B19" s="52">
        <f t="shared" si="3"/>
        <v>463.755</v>
      </c>
      <c r="C19" s="6">
        <v>4106.5650000000005</v>
      </c>
      <c r="D19" s="125">
        <f>(56052.6*1.10231)/1000</f>
        <v>61.78734150599999</v>
      </c>
      <c r="E19" s="6">
        <f t="shared" si="0"/>
        <v>4632.1073415060009</v>
      </c>
      <c r="F19" s="6"/>
      <c r="G19" s="6">
        <f t="shared" si="1"/>
        <v>3129.3458416380008</v>
      </c>
      <c r="H19" s="125">
        <f>(1039142.8*1.10231)/1000</f>
        <v>1145.457499868</v>
      </c>
      <c r="I19" s="5">
        <f t="shared" si="2"/>
        <v>4274.8033415060008</v>
      </c>
      <c r="J19" s="6">
        <v>357.30399999999997</v>
      </c>
      <c r="K19" s="119"/>
      <c r="L19"/>
    </row>
    <row r="20" spans="1:12" ht="14.4">
      <c r="A20" s="21" t="s">
        <v>50</v>
      </c>
      <c r="B20" s="52">
        <f>J19</f>
        <v>357.30399999999997</v>
      </c>
      <c r="C20" s="6">
        <v>4266.3760000000002</v>
      </c>
      <c r="D20" s="125">
        <f>(67390*1.10231)/1000</f>
        <v>74.284670899999995</v>
      </c>
      <c r="E20" s="6">
        <f t="shared" si="0"/>
        <v>4697.9646708999999</v>
      </c>
      <c r="F20" s="6"/>
      <c r="G20" s="6">
        <f t="shared" si="1"/>
        <v>3259.8698691549998</v>
      </c>
      <c r="H20" s="125">
        <f>(829589.5*1.10231)/1000</f>
        <v>914.46480174499993</v>
      </c>
      <c r="I20" s="5">
        <f t="shared" si="2"/>
        <v>4174.3346708999998</v>
      </c>
      <c r="J20" s="6">
        <v>523.63</v>
      </c>
      <c r="K20" s="119"/>
      <c r="L20"/>
    </row>
    <row r="21" spans="1:12" ht="14.4">
      <c r="A21" s="21" t="s">
        <v>51</v>
      </c>
      <c r="B21" s="52">
        <f>J20</f>
        <v>523.63</v>
      </c>
      <c r="C21" s="6">
        <v>4147.2370000000001</v>
      </c>
      <c r="D21" s="125">
        <f>(45618.3*1.10231)/1000</f>
        <v>50.285508272999998</v>
      </c>
      <c r="E21" s="6">
        <f t="shared" si="0"/>
        <v>4721.1525082730004</v>
      </c>
      <c r="F21" s="6"/>
      <c r="G21" s="6">
        <f t="shared" si="1"/>
        <v>3460.3667325930005</v>
      </c>
      <c r="H21" s="125">
        <f>(828128*1.10231)/1000</f>
        <v>912.85377568000001</v>
      </c>
      <c r="I21" s="5">
        <f t="shared" si="2"/>
        <v>4373.2205082730006</v>
      </c>
      <c r="J21" s="6">
        <v>347.93200000000002</v>
      </c>
      <c r="K21" s="119"/>
      <c r="L21"/>
    </row>
    <row r="22" spans="1:12" ht="14.4">
      <c r="A22" s="21" t="s">
        <v>37</v>
      </c>
      <c r="B22" s="52">
        <f>J21</f>
        <v>347.93200000000002</v>
      </c>
      <c r="C22" s="6">
        <v>3925.0389999999998</v>
      </c>
      <c r="D22" s="125">
        <f>(51133.2*1.10231)/1000</f>
        <v>56.364637691999988</v>
      </c>
      <c r="E22" s="6">
        <f t="shared" si="0"/>
        <v>4329.3356376919992</v>
      </c>
      <c r="F22" s="6"/>
      <c r="G22" s="6">
        <f t="shared" si="1"/>
        <v>3117.482517597999</v>
      </c>
      <c r="H22" s="125">
        <f>(817307.4*1.10231)/1000</f>
        <v>900.92612009399988</v>
      </c>
      <c r="I22" s="5">
        <f t="shared" si="2"/>
        <v>4018.408637691999</v>
      </c>
      <c r="J22" s="6">
        <v>310.92700000000002</v>
      </c>
      <c r="K22" s="135"/>
      <c r="L22"/>
    </row>
    <row r="23" spans="1:12" ht="14.4">
      <c r="A23" s="21" t="s">
        <v>28</v>
      </c>
      <c r="B23" s="52"/>
      <c r="C23" s="6">
        <f>SUM(C11:C22)</f>
        <v>51810.551000000007</v>
      </c>
      <c r="D23" s="6">
        <f>(588867.9*1.10231)/1000</f>
        <v>649.11497484899996</v>
      </c>
      <c r="E23" s="6">
        <f>B11+C23+D23</f>
        <v>52800.451974849006</v>
      </c>
      <c r="F23" s="6"/>
      <c r="G23" s="6">
        <f>SUM(G11:G22)</f>
        <v>38965.713926673008</v>
      </c>
      <c r="H23" s="6">
        <f>(12268609.6*1.10231)/1000</f>
        <v>13523.811048175998</v>
      </c>
      <c r="I23" s="6">
        <f>SUM(I11:I22)</f>
        <v>52489.52497484901</v>
      </c>
      <c r="J23" s="6"/>
      <c r="K23" s="119"/>
      <c r="L23"/>
    </row>
    <row r="24" spans="1:12" ht="14.4">
      <c r="A24" s="21"/>
      <c r="B24" s="52"/>
      <c r="C24" s="6"/>
      <c r="D24" s="6"/>
      <c r="E24" s="6"/>
      <c r="F24" s="6"/>
      <c r="G24" s="6"/>
      <c r="H24" s="6"/>
      <c r="I24" s="6"/>
      <c r="J24" s="6"/>
      <c r="K24" s="119"/>
      <c r="L24"/>
    </row>
    <row r="25" spans="1:12" ht="14.4">
      <c r="A25" s="51" t="s">
        <v>156</v>
      </c>
      <c r="B25" s="52"/>
      <c r="C25" s="6"/>
      <c r="D25" s="6"/>
      <c r="E25" s="6"/>
      <c r="F25" s="6"/>
      <c r="G25" s="6"/>
      <c r="H25" s="6"/>
      <c r="I25" s="6"/>
      <c r="J25" s="6"/>
      <c r="K25" s="119"/>
      <c r="L25"/>
    </row>
    <row r="26" spans="1:12" ht="14.4">
      <c r="A26" s="21" t="s">
        <v>38</v>
      </c>
      <c r="B26" s="52">
        <f>J22</f>
        <v>310.92700000000002</v>
      </c>
      <c r="C26" s="6">
        <v>4603.3959999999997</v>
      </c>
      <c r="D26" s="6">
        <f>(58138.2*1.10231)/1000</f>
        <v>64.086319241999988</v>
      </c>
      <c r="E26" s="6">
        <f t="shared" ref="E26:E27" si="4">SUM(B26:D26)</f>
        <v>4978.4093192419996</v>
      </c>
      <c r="F26" s="6"/>
      <c r="G26" s="6">
        <f t="shared" ref="G26:G27" si="5">I26-H26</f>
        <v>3640.5241230109996</v>
      </c>
      <c r="H26" s="6">
        <f>(870600.1*1.10231)/1000</f>
        <v>959.67119623099984</v>
      </c>
      <c r="I26" s="5">
        <f t="shared" ref="I26:I27" si="6">E26-J26</f>
        <v>4600.1953192419996</v>
      </c>
      <c r="J26" s="6">
        <v>378.214</v>
      </c>
      <c r="K26" s="119"/>
      <c r="L26"/>
    </row>
    <row r="27" spans="1:12" ht="14.4">
      <c r="A27" s="15" t="s">
        <v>39</v>
      </c>
      <c r="B27" s="53">
        <f>J26</f>
        <v>378.214</v>
      </c>
      <c r="C27" s="44">
        <v>4468.4459999999999</v>
      </c>
      <c r="D27" s="44">
        <f>(53339.9*1.10231)/1000</f>
        <v>58.797105168999998</v>
      </c>
      <c r="E27" s="44">
        <f t="shared" si="4"/>
        <v>4905.457105169</v>
      </c>
      <c r="F27" s="44"/>
      <c r="G27" s="44">
        <f t="shared" si="5"/>
        <v>3305.6402672080003</v>
      </c>
      <c r="H27" s="44">
        <f>(1135683.1*1.10231)/1000</f>
        <v>1251.8748379609999</v>
      </c>
      <c r="I27" s="59">
        <f t="shared" si="6"/>
        <v>4557.515105169</v>
      </c>
      <c r="J27" s="44">
        <v>347.94200000000001</v>
      </c>
      <c r="K27" s="119"/>
      <c r="L27"/>
    </row>
    <row r="28" spans="1:12" ht="16.2">
      <c r="A28" s="54" t="s">
        <v>67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2" ht="14.4">
      <c r="A29" s="17" t="s">
        <v>68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2" ht="13.8">
      <c r="A30" s="23" t="s">
        <v>56</v>
      </c>
      <c r="B30" s="46">
        <f>Contents!A16</f>
        <v>44578</v>
      </c>
      <c r="C30" s="42"/>
      <c r="D30" s="36"/>
      <c r="E30" s="36"/>
      <c r="F30" s="36"/>
      <c r="G30" s="36"/>
      <c r="H30" s="36"/>
      <c r="I30" s="36"/>
      <c r="J30" s="36"/>
    </row>
    <row r="31" spans="1:12">
      <c r="A31" s="55"/>
      <c r="B31" s="56"/>
      <c r="C31" s="57"/>
      <c r="D31" s="56"/>
      <c r="E31" s="114"/>
      <c r="F31" s="56"/>
      <c r="G31" s="56"/>
      <c r="H31" s="58"/>
      <c r="I31" s="114"/>
      <c r="J31" s="56"/>
    </row>
    <row r="32" spans="1:12">
      <c r="A32" s="55"/>
      <c r="B32" s="56"/>
      <c r="C32" s="56"/>
      <c r="D32" s="56"/>
      <c r="E32" s="56"/>
      <c r="F32" s="56"/>
      <c r="G32" s="56"/>
      <c r="H32" s="56"/>
      <c r="I32" s="56"/>
      <c r="J32" s="56"/>
    </row>
    <row r="33" spans="1:10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>
      <c r="A34" s="55"/>
      <c r="B34" s="55"/>
      <c r="C34" s="55"/>
      <c r="D34" s="55"/>
      <c r="E34" s="55"/>
      <c r="F34" s="55"/>
      <c r="G34" s="55"/>
      <c r="H34" s="55"/>
      <c r="I34" s="55"/>
      <c r="J34" s="55"/>
    </row>
  </sheetData>
  <mergeCells count="3">
    <mergeCell ref="G2:I2"/>
    <mergeCell ref="B5:J5"/>
    <mergeCell ref="B2:E2"/>
  </mergeCells>
  <phoneticPr fontId="23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1"/>
  <sheetViews>
    <sheetView showGridLines="0" zoomScale="70" zoomScaleNormal="70" workbookViewId="0"/>
  </sheetViews>
  <sheetFormatPr defaultColWidth="9.109375" defaultRowHeight="13.2"/>
  <cols>
    <col min="1" max="1" width="15.44140625" style="16" customWidth="1"/>
    <col min="2" max="2" width="12.33203125" style="16" bestFit="1" customWidth="1"/>
    <col min="3" max="3" width="12.109375" style="16" bestFit="1" customWidth="1"/>
    <col min="4" max="4" width="11" style="16" bestFit="1" customWidth="1"/>
    <col min="5" max="5" width="11.33203125" style="16" bestFit="1" customWidth="1"/>
    <col min="6" max="6" width="3.6640625" style="16" customWidth="1"/>
    <col min="7" max="7" width="11.5546875" style="16" bestFit="1" customWidth="1"/>
    <col min="8" max="8" width="10.6640625" style="16" customWidth="1"/>
    <col min="9" max="9" width="12.6640625" style="16" customWidth="1"/>
    <col min="10" max="10" width="9.6640625" style="16" bestFit="1" customWidth="1"/>
    <col min="11" max="11" width="11.5546875" style="16" bestFit="1" customWidth="1"/>
    <col min="12" max="12" width="12.5546875" style="16" bestFit="1" customWidth="1"/>
    <col min="13" max="13" width="9.109375" style="16"/>
    <col min="14" max="14" width="11.109375" style="16" customWidth="1"/>
    <col min="15" max="16384" width="9.109375" style="16"/>
  </cols>
  <sheetData>
    <row r="1" spans="1:14" ht="13.8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>
      <c r="A2" s="17"/>
      <c r="B2" s="167" t="s">
        <v>57</v>
      </c>
      <c r="C2" s="167"/>
      <c r="D2" s="167"/>
      <c r="E2" s="167"/>
      <c r="F2" s="21"/>
      <c r="G2" s="167" t="s">
        <v>58</v>
      </c>
      <c r="H2" s="167"/>
      <c r="I2" s="167"/>
      <c r="J2" s="131"/>
      <c r="K2" s="131"/>
      <c r="L2" s="17"/>
    </row>
    <row r="3" spans="1:14" ht="13.8">
      <c r="A3" s="17" t="s">
        <v>17</v>
      </c>
      <c r="B3" s="19" t="s">
        <v>69</v>
      </c>
      <c r="C3" s="38" t="s">
        <v>26</v>
      </c>
      <c r="D3" s="38" t="s">
        <v>70</v>
      </c>
      <c r="E3" s="38" t="s">
        <v>62</v>
      </c>
      <c r="F3" s="38"/>
      <c r="G3" s="131" t="s">
        <v>63</v>
      </c>
      <c r="H3" s="131"/>
      <c r="I3" s="131"/>
      <c r="J3" s="38" t="s">
        <v>71</v>
      </c>
      <c r="K3" s="38" t="s">
        <v>62</v>
      </c>
      <c r="L3" s="38" t="s">
        <v>59</v>
      </c>
    </row>
    <row r="4" spans="1:14" ht="16.2">
      <c r="A4" s="24" t="s">
        <v>60</v>
      </c>
      <c r="B4" s="26" t="s">
        <v>61</v>
      </c>
      <c r="C4" s="27"/>
      <c r="D4" s="27"/>
      <c r="E4" s="27"/>
      <c r="F4" s="27"/>
      <c r="G4" s="26" t="s">
        <v>28</v>
      </c>
      <c r="H4" s="26" t="s">
        <v>72</v>
      </c>
      <c r="I4" s="26" t="s">
        <v>73</v>
      </c>
      <c r="J4" s="27"/>
      <c r="K4" s="27"/>
      <c r="L4" s="38" t="s">
        <v>65</v>
      </c>
    </row>
    <row r="5" spans="1:14" ht="14.4">
      <c r="A5" s="17"/>
      <c r="B5" s="169" t="s">
        <v>74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4" ht="13.8">
      <c r="A6" s="17" t="s">
        <v>34</v>
      </c>
      <c r="B6" s="50">
        <v>1852.675</v>
      </c>
      <c r="C6" s="50">
        <v>25022.667000000001</v>
      </c>
      <c r="D6" s="50">
        <v>301.5817074144</v>
      </c>
      <c r="E6" s="50">
        <f>SUM(B6:D6)</f>
        <v>27176.9237074144</v>
      </c>
      <c r="F6" s="50"/>
      <c r="G6" s="50">
        <f>K6-J6</f>
        <v>23314.332046145799</v>
      </c>
      <c r="H6" s="50">
        <v>8920.4621000000006</v>
      </c>
      <c r="I6" s="35">
        <v>14393.8697256836</v>
      </c>
      <c r="J6" s="50">
        <v>1731.3586612685999</v>
      </c>
      <c r="K6" s="50">
        <f>E6-L6</f>
        <v>25045.6907074144</v>
      </c>
      <c r="L6" s="50">
        <v>2131.2330000000002</v>
      </c>
      <c r="M6" s="109"/>
    </row>
    <row r="7" spans="1:14" ht="16.2">
      <c r="A7" s="17" t="s">
        <v>35</v>
      </c>
      <c r="B7" s="50">
        <f>L6</f>
        <v>2131.2330000000002</v>
      </c>
      <c r="C7" s="50">
        <f>C23</f>
        <v>26143.213000000003</v>
      </c>
      <c r="D7" s="50">
        <f>D23</f>
        <v>303.28830530459993</v>
      </c>
      <c r="E7" s="50">
        <f>E23</f>
        <v>28577.734305304602</v>
      </c>
      <c r="F7" s="50"/>
      <c r="G7" s="50">
        <f>K7-J7</f>
        <v>24813.1431737536</v>
      </c>
      <c r="H7" s="50">
        <v>10348.19</v>
      </c>
      <c r="I7" s="35">
        <f>G7-H7</f>
        <v>14464.9531737536</v>
      </c>
      <c r="J7" s="50">
        <f>J23</f>
        <v>1773.4431315509999</v>
      </c>
      <c r="K7" s="50">
        <f>E7-L7</f>
        <v>26586.586305304601</v>
      </c>
      <c r="L7" s="50">
        <f>L22</f>
        <v>1991.1480000000001</v>
      </c>
    </row>
    <row r="8" spans="1:14" ht="16.2">
      <c r="A8" s="17" t="s">
        <v>36</v>
      </c>
      <c r="B8" s="50">
        <f>L7</f>
        <v>1991.1480000000001</v>
      </c>
      <c r="C8" s="50">
        <v>26310</v>
      </c>
      <c r="D8" s="50">
        <v>300</v>
      </c>
      <c r="E8" s="50">
        <f>SUM(B8:D8)</f>
        <v>28601.148000000001</v>
      </c>
      <c r="F8" s="50"/>
      <c r="G8" s="50">
        <f>K8-J8</f>
        <v>25900.148000000001</v>
      </c>
      <c r="H8" s="50">
        <v>11600</v>
      </c>
      <c r="I8" s="35">
        <f>G8-H8</f>
        <v>14300.148000000001</v>
      </c>
      <c r="J8" s="50">
        <v>800</v>
      </c>
      <c r="K8" s="50">
        <f>E8-L8</f>
        <v>26700.148000000001</v>
      </c>
      <c r="L8" s="50">
        <v>1901</v>
      </c>
    </row>
    <row r="9" spans="1:14" ht="13.8">
      <c r="A9" s="17"/>
      <c r="B9" s="50"/>
      <c r="C9" s="50"/>
      <c r="D9" s="50"/>
      <c r="E9" s="50"/>
      <c r="F9" s="50"/>
      <c r="G9" s="50"/>
      <c r="H9" s="50"/>
      <c r="I9" s="110"/>
      <c r="J9" s="50"/>
      <c r="K9" s="50"/>
      <c r="L9" s="50"/>
    </row>
    <row r="10" spans="1:14" ht="13.8">
      <c r="A10" s="39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21" t="s">
        <v>38</v>
      </c>
      <c r="B11" s="5">
        <f>L6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2071.1409910572002</v>
      </c>
      <c r="H11" s="6">
        <v>832.42700000000002</v>
      </c>
      <c r="I11" s="6">
        <f t="shared" ref="I11:I22" si="2">G11-H11</f>
        <v>1238.7139910572</v>
      </c>
      <c r="J11" s="6">
        <f>(25929.1*2204.622)/1000000</f>
        <v>57.16386430019999</v>
      </c>
      <c r="K11" s="6">
        <f t="shared" ref="K11:K22" si="3">E11-L11</f>
        <v>2128.3048553574004</v>
      </c>
      <c r="L11" s="5">
        <v>2386.337</v>
      </c>
      <c r="N11" s="124"/>
    </row>
    <row r="12" spans="1:14" ht="13.8">
      <c r="A12" s="21" t="s">
        <v>39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24"/>
    </row>
    <row r="13" spans="1:14" ht="13.8">
      <c r="A13" s="21" t="s">
        <v>41</v>
      </c>
      <c r="B13" s="5">
        <f t="shared" si="4"/>
        <v>2405.9630000000002</v>
      </c>
      <c r="C13" s="6">
        <v>2324.183</v>
      </c>
      <c r="D13" s="6">
        <f>(14353.5*2204.622)/1000000</f>
        <v>31.644041876999996</v>
      </c>
      <c r="E13" s="6">
        <f t="shared" si="0"/>
        <v>4761.7900418770005</v>
      </c>
      <c r="F13" s="63"/>
      <c r="G13" s="5">
        <f t="shared" si="1"/>
        <v>2130.8006323142004</v>
      </c>
      <c r="H13" s="6">
        <v>938.34100000000001</v>
      </c>
      <c r="I13" s="6">
        <f t="shared" si="2"/>
        <v>1192.4596323142005</v>
      </c>
      <c r="J13" s="6">
        <f>(74887.4*2204.622)/1000000</f>
        <v>165.09840956279999</v>
      </c>
      <c r="K13" s="6">
        <f t="shared" si="3"/>
        <v>2295.8990418770004</v>
      </c>
      <c r="L13" s="5">
        <v>2465.8910000000001</v>
      </c>
      <c r="N13" s="124"/>
    </row>
    <row r="14" spans="1:14" ht="13.8">
      <c r="A14" s="21" t="s">
        <v>42</v>
      </c>
      <c r="B14" s="5">
        <f t="shared" si="4"/>
        <v>2465.8910000000001</v>
      </c>
      <c r="C14" s="6">
        <v>2277.355</v>
      </c>
      <c r="D14" s="6">
        <f>(7352.3*2204.622)/1000000</f>
        <v>16.209042330599999</v>
      </c>
      <c r="E14" s="6">
        <f t="shared" si="0"/>
        <v>4759.4550423306</v>
      </c>
      <c r="F14" s="63"/>
      <c r="G14" s="5">
        <f t="shared" si="1"/>
        <v>1975.1484729870001</v>
      </c>
      <c r="H14" s="6">
        <v>791.38699999999994</v>
      </c>
      <c r="I14" s="6">
        <f t="shared" si="2"/>
        <v>1183.7614729870002</v>
      </c>
      <c r="J14" s="6">
        <f>(128993.8*2204.622)/1000000</f>
        <v>284.38256934359998</v>
      </c>
      <c r="K14" s="6">
        <f t="shared" si="3"/>
        <v>2259.5310423306</v>
      </c>
      <c r="L14" s="5">
        <v>2499.924</v>
      </c>
      <c r="N14" s="124"/>
    </row>
    <row r="15" spans="1:14" ht="13.8">
      <c r="A15" s="21" t="s">
        <v>43</v>
      </c>
      <c r="B15" s="5">
        <f t="shared" si="4"/>
        <v>2499.924</v>
      </c>
      <c r="C15" s="6">
        <v>2064.1990000000001</v>
      </c>
      <c r="D15" s="6">
        <f>(9762.4*2204.622)/1000000</f>
        <v>21.522401812799998</v>
      </c>
      <c r="E15" s="6">
        <f t="shared" si="0"/>
        <v>4585.6454018127997</v>
      </c>
      <c r="F15" s="63"/>
      <c r="G15" s="5">
        <f t="shared" si="1"/>
        <v>1783.8920882499997</v>
      </c>
      <c r="H15" s="6">
        <v>740.60299999999995</v>
      </c>
      <c r="I15" s="6">
        <f t="shared" si="2"/>
        <v>1043.2890882499996</v>
      </c>
      <c r="J15" s="6">
        <f>(106887.4*2204.622)/1000000</f>
        <v>235.64631356279995</v>
      </c>
      <c r="K15" s="6">
        <f t="shared" si="3"/>
        <v>2019.5384018127997</v>
      </c>
      <c r="L15" s="5">
        <v>2566.107</v>
      </c>
      <c r="N15" s="124"/>
    </row>
    <row r="16" spans="1:14" ht="13.8">
      <c r="A16" s="21" t="s">
        <v>45</v>
      </c>
      <c r="B16" s="5">
        <f t="shared" si="4"/>
        <v>2566.107</v>
      </c>
      <c r="C16" s="6">
        <v>2277.5410000000002</v>
      </c>
      <c r="D16" s="6">
        <f>(10063.7*2204.622)/1000000</f>
        <v>22.1866544214</v>
      </c>
      <c r="E16" s="6">
        <f t="shared" ref="E16:E22" si="5">SUM(B16:D16)</f>
        <v>4865.8346544214</v>
      </c>
      <c r="F16" s="63"/>
      <c r="G16" s="5">
        <f t="shared" si="1"/>
        <v>2165.6971246716002</v>
      </c>
      <c r="H16" s="6">
        <v>908.29</v>
      </c>
      <c r="I16" s="6">
        <f t="shared" si="2"/>
        <v>1257.4071246716003</v>
      </c>
      <c r="J16" s="6">
        <f>(120845.9*2204.622)/1000000</f>
        <v>266.41952974979995</v>
      </c>
      <c r="K16" s="6">
        <f t="shared" si="3"/>
        <v>2432.1166544214002</v>
      </c>
      <c r="L16" s="5">
        <v>2433.7179999999998</v>
      </c>
      <c r="N16" s="124"/>
    </row>
    <row r="17" spans="1:14" ht="13.8">
      <c r="A17" s="21" t="s">
        <v>46</v>
      </c>
      <c r="B17" s="5">
        <f t="shared" si="4"/>
        <v>2433.7179999999998</v>
      </c>
      <c r="C17" s="6">
        <v>2143.1179999999999</v>
      </c>
      <c r="D17" s="6">
        <f>(10668.4*2204.622)/1000000</f>
        <v>23.519789344799999</v>
      </c>
      <c r="E17" s="6">
        <f t="shared" si="5"/>
        <v>4600.3557893447996</v>
      </c>
      <c r="F17" s="63"/>
      <c r="G17" s="5">
        <f t="shared" si="1"/>
        <v>2008.0816443671997</v>
      </c>
      <c r="H17" s="6">
        <v>838.9</v>
      </c>
      <c r="I17" s="6">
        <f t="shared" si="2"/>
        <v>1169.1816443671996</v>
      </c>
      <c r="J17" s="6">
        <f>(76240.8*2204.622)/1000000</f>
        <v>168.0821449776</v>
      </c>
      <c r="K17" s="6">
        <f t="shared" si="3"/>
        <v>2176.1637893447996</v>
      </c>
      <c r="L17" s="5">
        <v>2424.192</v>
      </c>
      <c r="N17" s="124"/>
    </row>
    <row r="18" spans="1:14" ht="13.8">
      <c r="A18" s="21" t="s">
        <v>47</v>
      </c>
      <c r="B18" s="5">
        <f t="shared" si="4"/>
        <v>2424.192</v>
      </c>
      <c r="C18" s="6">
        <v>2158.7739999999999</v>
      </c>
      <c r="D18" s="125">
        <f>(11311.9*2204.622)/1000000</f>
        <v>24.938463601799999</v>
      </c>
      <c r="E18" s="6">
        <f t="shared" si="5"/>
        <v>4607.9044636018007</v>
      </c>
      <c r="F18" s="63"/>
      <c r="G18" s="5">
        <f t="shared" si="1"/>
        <v>2149.6411321876008</v>
      </c>
      <c r="H18" s="6">
        <v>855.57100000000003</v>
      </c>
      <c r="I18" s="6">
        <f t="shared" si="2"/>
        <v>1294.0701321876008</v>
      </c>
      <c r="J18" s="125">
        <f>(33516.1*2204.622)/1000000</f>
        <v>73.890331414199991</v>
      </c>
      <c r="K18" s="6">
        <f t="shared" si="3"/>
        <v>2223.5314636018006</v>
      </c>
      <c r="L18" s="5">
        <v>2384.373</v>
      </c>
      <c r="N18" s="124"/>
    </row>
    <row r="19" spans="1:14" ht="13.8">
      <c r="A19" s="21" t="s">
        <v>49</v>
      </c>
      <c r="B19" s="5">
        <f t="shared" si="4"/>
        <v>2384.373</v>
      </c>
      <c r="C19" s="6">
        <v>2068.578</v>
      </c>
      <c r="D19" s="125">
        <f>(10963.3*2204.622)/1000000</f>
        <v>24.169932372599998</v>
      </c>
      <c r="E19" s="6">
        <f t="shared" si="5"/>
        <v>4477.1209323725998</v>
      </c>
      <c r="F19" s="63"/>
      <c r="G19" s="5">
        <f t="shared" si="1"/>
        <v>2088.4572126891999</v>
      </c>
      <c r="H19" s="6">
        <v>809.79899999999998</v>
      </c>
      <c r="I19" s="6">
        <f t="shared" si="2"/>
        <v>1278.6582126891999</v>
      </c>
      <c r="J19" s="125">
        <f>(33184.7*2204.622)/1000000</f>
        <v>73.159719683399985</v>
      </c>
      <c r="K19" s="6">
        <f t="shared" si="3"/>
        <v>2161.6169323725999</v>
      </c>
      <c r="L19" s="5">
        <v>2315.5039999999999</v>
      </c>
      <c r="N19"/>
    </row>
    <row r="20" spans="1:14" ht="13.8">
      <c r="A20" s="21" t="s">
        <v>50</v>
      </c>
      <c r="B20" s="5">
        <f t="shared" si="4"/>
        <v>2315.5039999999999</v>
      </c>
      <c r="C20" s="6">
        <v>2157.9699999999998</v>
      </c>
      <c r="D20" s="125">
        <f>(11391.7*2204.622)/1000000</f>
        <v>25.114392437399999</v>
      </c>
      <c r="E20" s="6">
        <f t="shared" si="5"/>
        <v>4498.5883924374002</v>
      </c>
      <c r="F20" s="63"/>
      <c r="G20" s="5">
        <f t="shared" si="1"/>
        <v>2152.2464242048004</v>
      </c>
      <c r="H20" s="6">
        <v>956.48800000000006</v>
      </c>
      <c r="I20" s="6">
        <f t="shared" si="2"/>
        <v>1195.7584242048003</v>
      </c>
      <c r="J20" s="125">
        <f>(53593.3*2204.622)/1000000</f>
        <v>118.1529682326</v>
      </c>
      <c r="K20" s="6">
        <f t="shared" si="3"/>
        <v>2270.3993924374004</v>
      </c>
      <c r="L20" s="5">
        <v>2228.1889999999999</v>
      </c>
      <c r="N20"/>
    </row>
    <row r="21" spans="1:14" ht="13.8">
      <c r="A21" s="21" t="s">
        <v>51</v>
      </c>
      <c r="B21" s="5">
        <f t="shared" si="4"/>
        <v>2228.1889999999999</v>
      </c>
      <c r="C21" s="6">
        <v>2095.5810000000001</v>
      </c>
      <c r="D21" s="125">
        <f>(9641.3*2204.622)/1000000</f>
        <v>21.2554220886</v>
      </c>
      <c r="E21" s="6">
        <f t="shared" si="5"/>
        <v>4345.0254220886009</v>
      </c>
      <c r="F21" s="63"/>
      <c r="G21" s="5">
        <f t="shared" si="1"/>
        <v>2184.2202080034012</v>
      </c>
      <c r="H21" s="6">
        <v>924.71799999999996</v>
      </c>
      <c r="I21" s="6">
        <f t="shared" si="2"/>
        <v>1259.5022080034014</v>
      </c>
      <c r="J21" s="125">
        <f>(25896.6*2204.622)/1000000</f>
        <v>57.092214085199991</v>
      </c>
      <c r="K21" s="6">
        <f t="shared" si="3"/>
        <v>2241.3124220886011</v>
      </c>
      <c r="L21" s="5">
        <v>2103.7129999999997</v>
      </c>
      <c r="N21"/>
    </row>
    <row r="22" spans="1:14" ht="13.8">
      <c r="A22" s="21" t="s">
        <v>37</v>
      </c>
      <c r="B22" s="5">
        <f t="shared" si="4"/>
        <v>2103.7129999999997</v>
      </c>
      <c r="C22" s="6">
        <v>1992.9639999999999</v>
      </c>
      <c r="D22" s="125">
        <f>(10329.4*2204.622)/1000000</f>
        <v>22.772422486799996</v>
      </c>
      <c r="E22" s="6">
        <f t="shared" si="5"/>
        <v>4119.4494224867994</v>
      </c>
      <c r="F22" s="63"/>
      <c r="G22" s="5">
        <f t="shared" si="1"/>
        <v>2083.2250596881995</v>
      </c>
      <c r="H22" s="6">
        <v>933.65499999999997</v>
      </c>
      <c r="I22" s="6">
        <f t="shared" si="2"/>
        <v>1149.5700596881995</v>
      </c>
      <c r="J22" s="125">
        <f>(20446.3*2204.622)/1000000</f>
        <v>45.076362798599995</v>
      </c>
      <c r="K22" s="6">
        <f t="shared" si="3"/>
        <v>2128.3014224867993</v>
      </c>
      <c r="L22" s="5">
        <v>1991.1480000000001</v>
      </c>
      <c r="N22"/>
    </row>
    <row r="23" spans="1:14" ht="13.8">
      <c r="A23" s="21" t="s">
        <v>28</v>
      </c>
      <c r="B23" s="5"/>
      <c r="C23" s="6">
        <f>SUM(C11:C22)</f>
        <v>26143.213000000003</v>
      </c>
      <c r="D23" s="6">
        <f>(137569.3*2204.622)/1000000</f>
        <v>303.28830530459993</v>
      </c>
      <c r="E23" s="6">
        <f>B11+C23+D23</f>
        <v>28577.734305304602</v>
      </c>
      <c r="F23" s="5"/>
      <c r="G23" s="5">
        <f>SUM(G11:G22)</f>
        <v>24813.142953291401</v>
      </c>
      <c r="H23" s="6">
        <f>SUM(H11:H22)</f>
        <v>10348.1917128</v>
      </c>
      <c r="I23" s="6">
        <f>SUM(I11:I22)</f>
        <v>14464.951240491402</v>
      </c>
      <c r="J23" s="6">
        <f>(804420.5*2204.622)/1000000</f>
        <v>1773.4431315509999</v>
      </c>
      <c r="K23" s="5">
        <f>SUM(K11:K22)</f>
        <v>26586.586305304601</v>
      </c>
      <c r="L23" s="5"/>
      <c r="N23"/>
    </row>
    <row r="24" spans="1:14" ht="13.8">
      <c r="A24" s="21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/>
    </row>
    <row r="25" spans="1:14" ht="13.8">
      <c r="A25" s="51" t="s">
        <v>156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N25"/>
    </row>
    <row r="26" spans="1:14" ht="13.8">
      <c r="A26" s="21" t="s">
        <v>38</v>
      </c>
      <c r="B26" s="5">
        <f>L22</f>
        <v>1991.1480000000001</v>
      </c>
      <c r="C26" s="6">
        <v>2338.085</v>
      </c>
      <c r="D26" s="6">
        <f>(13492.7*2204.622)/1000000</f>
        <v>29.746303259399998</v>
      </c>
      <c r="E26" s="6">
        <f t="shared" ref="E26:E27" si="6">SUM(B26:D26)</f>
        <v>4358.9793032593998</v>
      </c>
      <c r="F26" s="5"/>
      <c r="G26" s="5">
        <f t="shared" ref="G26:G27" si="7">K26-J26</f>
        <v>2242.2710449107999</v>
      </c>
      <c r="H26" s="6">
        <v>906.40899999999999</v>
      </c>
      <c r="I26" s="6">
        <f t="shared" ref="I26" si="8">G26-H26</f>
        <v>1335.8620449107998</v>
      </c>
      <c r="J26" s="6">
        <f>(10471.3*2204.622)/1000000</f>
        <v>23.085258348599996</v>
      </c>
      <c r="K26" s="6">
        <f t="shared" ref="K26:K27" si="9">E26-L26</f>
        <v>2265.3563032593997</v>
      </c>
      <c r="L26" s="5">
        <v>2093.623</v>
      </c>
      <c r="N26"/>
    </row>
    <row r="27" spans="1:14" ht="13.8">
      <c r="A27" s="15" t="s">
        <v>39</v>
      </c>
      <c r="B27" s="59">
        <f>L26</f>
        <v>2093.623</v>
      </c>
      <c r="C27" s="44">
        <v>2198.1819999999998</v>
      </c>
      <c r="D27" s="44">
        <f>(11744.6*2204.622)/1000000</f>
        <v>25.8924035412</v>
      </c>
      <c r="E27" s="44">
        <f t="shared" si="6"/>
        <v>4317.6974035412004</v>
      </c>
      <c r="F27" s="59"/>
      <c r="G27" s="59">
        <f t="shared" si="7"/>
        <v>2186.3005713444004</v>
      </c>
      <c r="H27" s="44" t="s">
        <v>75</v>
      </c>
      <c r="I27" s="44" t="s">
        <v>75</v>
      </c>
      <c r="J27" s="44">
        <f>(10634.4*2204.622)/1000000</f>
        <v>23.444832196799997</v>
      </c>
      <c r="K27" s="44">
        <f t="shared" si="9"/>
        <v>2209.7454035412002</v>
      </c>
      <c r="L27" s="59">
        <v>2107.9520000000002</v>
      </c>
      <c r="N27"/>
    </row>
    <row r="28" spans="1:14" ht="16.2">
      <c r="A28" s="54" t="s">
        <v>76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4" ht="14.4">
      <c r="A29" s="17" t="s">
        <v>68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4" ht="13.8">
      <c r="A30" s="23" t="s">
        <v>56</v>
      </c>
      <c r="B30" s="46">
        <f>Contents!A16</f>
        <v>44578</v>
      </c>
      <c r="K30" s="43"/>
    </row>
    <row r="31" spans="1:14">
      <c r="E31" s="43"/>
    </row>
  </sheetData>
  <mergeCells count="3">
    <mergeCell ref="B5:L5"/>
    <mergeCell ref="G2:I2"/>
    <mergeCell ref="B2:E2"/>
  </mergeCells>
  <phoneticPr fontId="23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style="16" customWidth="1"/>
    <col min="2" max="2" width="13.109375" style="16" customWidth="1"/>
    <col min="3" max="3" width="12.109375" style="16" customWidth="1"/>
    <col min="4" max="4" width="13.44140625" style="16" customWidth="1"/>
    <col min="5" max="5" width="15.33203125" style="16" customWidth="1"/>
    <col min="6" max="6" width="11.44140625" style="16" customWidth="1"/>
    <col min="7" max="7" width="11.6640625" style="16" customWidth="1"/>
    <col min="8" max="8" width="8.6640625" style="16" customWidth="1"/>
    <col min="9" max="9" width="9.6640625" style="16" customWidth="1"/>
    <col min="10" max="11" width="7.6640625" style="16" customWidth="1"/>
    <col min="12" max="12" width="8.5546875" style="16" customWidth="1"/>
    <col min="13" max="13" width="9.5546875" style="16" customWidth="1"/>
    <col min="14" max="15" width="7.5546875" style="16" customWidth="1"/>
    <col min="16" max="18" width="9.109375" style="16"/>
    <col min="19" max="19" width="17.44140625" style="16" bestFit="1" customWidth="1"/>
    <col min="20" max="20" width="9.109375" style="16"/>
    <col min="21" max="21" width="28.33203125" style="16" bestFit="1" customWidth="1"/>
    <col min="22" max="16384" width="9.109375" style="16"/>
  </cols>
  <sheetData>
    <row r="1" spans="1:15" ht="13.8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7"/>
      <c r="M1" s="17"/>
      <c r="N1" s="17"/>
      <c r="O1" s="17"/>
    </row>
    <row r="2" spans="1:15" ht="13.8">
      <c r="A2" s="17"/>
      <c r="B2" s="167" t="s">
        <v>57</v>
      </c>
      <c r="C2" s="167"/>
      <c r="D2" s="167"/>
      <c r="E2" s="167"/>
      <c r="F2" s="90"/>
      <c r="G2" s="167" t="s">
        <v>58</v>
      </c>
      <c r="H2" s="167"/>
      <c r="I2" s="167"/>
      <c r="J2" s="167"/>
      <c r="K2" s="90"/>
      <c r="L2" s="17"/>
      <c r="M2" s="17"/>
      <c r="N2" s="17"/>
      <c r="O2" s="17"/>
    </row>
    <row r="3" spans="1:15" ht="13.8">
      <c r="A3" s="17" t="s">
        <v>17</v>
      </c>
      <c r="B3" s="23" t="s">
        <v>69</v>
      </c>
      <c r="C3" s="23"/>
      <c r="D3" s="23"/>
      <c r="E3" s="23"/>
      <c r="F3" s="91"/>
      <c r="G3" s="23"/>
      <c r="H3" s="23"/>
      <c r="I3" s="23"/>
      <c r="J3" s="23"/>
      <c r="K3" s="19" t="s">
        <v>59</v>
      </c>
      <c r="L3" s="17"/>
      <c r="M3" s="17"/>
      <c r="N3" s="17"/>
      <c r="O3" s="17"/>
    </row>
    <row r="4" spans="1:15" ht="13.8">
      <c r="A4" s="24" t="s">
        <v>77</v>
      </c>
      <c r="B4" s="26" t="s">
        <v>78</v>
      </c>
      <c r="C4" s="73" t="s">
        <v>26</v>
      </c>
      <c r="D4" s="28" t="s">
        <v>70</v>
      </c>
      <c r="E4" s="26" t="s">
        <v>79</v>
      </c>
      <c r="F4" s="27"/>
      <c r="G4" s="26" t="s">
        <v>80</v>
      </c>
      <c r="H4" s="26" t="s">
        <v>30</v>
      </c>
      <c r="I4" s="26" t="s">
        <v>81</v>
      </c>
      <c r="J4" s="26" t="s">
        <v>82</v>
      </c>
      <c r="K4" s="26" t="s">
        <v>61</v>
      </c>
      <c r="L4" s="17"/>
      <c r="M4" s="17"/>
      <c r="N4" s="17"/>
      <c r="O4" s="17"/>
    </row>
    <row r="5" spans="1:15" ht="14.4">
      <c r="A5" s="17"/>
      <c r="B5" s="170" t="s">
        <v>83</v>
      </c>
      <c r="C5" s="170"/>
      <c r="D5" s="170"/>
      <c r="E5" s="170"/>
      <c r="F5" s="170"/>
      <c r="G5" s="170"/>
      <c r="H5" s="170"/>
      <c r="I5" s="170"/>
      <c r="J5" s="170"/>
      <c r="K5" s="170"/>
      <c r="L5" s="17"/>
      <c r="M5" s="17"/>
      <c r="N5" s="17"/>
      <c r="O5" s="17"/>
    </row>
    <row r="6" spans="1:15" ht="13.8">
      <c r="A6" s="21" t="s">
        <v>34</v>
      </c>
      <c r="B6" s="93">
        <v>456.0068619717149</v>
      </c>
      <c r="C6" s="93">
        <v>4468</v>
      </c>
      <c r="D6" s="94">
        <v>1</v>
      </c>
      <c r="E6" s="93">
        <f>B6+C6+D6</f>
        <v>4925.0068619717149</v>
      </c>
      <c r="F6" s="95"/>
      <c r="G6" s="93">
        <v>1562.7429999999999</v>
      </c>
      <c r="H6" s="96">
        <v>279.55399999999997</v>
      </c>
      <c r="I6" s="93">
        <f>J6-G6-H6</f>
        <v>2687.0673090269106</v>
      </c>
      <c r="J6" s="93">
        <f>E6-K6</f>
        <v>4529.3643090269106</v>
      </c>
      <c r="K6" s="93">
        <v>395.64255294480427</v>
      </c>
      <c r="L6" s="17"/>
      <c r="M6" s="17"/>
      <c r="N6" s="17"/>
      <c r="O6" s="17"/>
    </row>
    <row r="7" spans="1:15" ht="16.2">
      <c r="A7" s="21" t="s">
        <v>35</v>
      </c>
      <c r="B7" s="93">
        <f>K6</f>
        <v>395.64255294480427</v>
      </c>
      <c r="C7" s="93">
        <v>5323</v>
      </c>
      <c r="D7" s="94">
        <v>24.765738432900992</v>
      </c>
      <c r="E7" s="93">
        <f>B7+C7+D7</f>
        <v>5743.4082913777056</v>
      </c>
      <c r="F7" s="95"/>
      <c r="G7" s="93">
        <v>1556.9839999999999</v>
      </c>
      <c r="H7" s="96">
        <v>297.69790855776995</v>
      </c>
      <c r="I7" s="93">
        <f>J7-G7-H7</f>
        <v>3493.8003828199353</v>
      </c>
      <c r="J7" s="93">
        <f>E7-K7</f>
        <v>5348.4822913777052</v>
      </c>
      <c r="K7" s="93">
        <v>394.92599999999999</v>
      </c>
      <c r="L7" s="17"/>
      <c r="M7" s="17"/>
      <c r="N7" s="17"/>
      <c r="O7" s="17"/>
    </row>
    <row r="8" spans="1:15" ht="16.2">
      <c r="A8" s="15" t="s">
        <v>36</v>
      </c>
      <c r="B8" s="97">
        <f>K7</f>
        <v>394.92599999999999</v>
      </c>
      <c r="C8" s="97">
        <v>4455</v>
      </c>
      <c r="D8" s="98">
        <v>55</v>
      </c>
      <c r="E8" s="97">
        <f>B8+C8+D8</f>
        <v>4904.9260000000004</v>
      </c>
      <c r="F8" s="99"/>
      <c r="G8" s="97">
        <v>1543</v>
      </c>
      <c r="H8" s="100">
        <v>200</v>
      </c>
      <c r="I8" s="97">
        <f>J8-G8-H8</f>
        <v>2738.999617180064</v>
      </c>
      <c r="J8" s="97">
        <f>E8-K8</f>
        <v>4481.999617180064</v>
      </c>
      <c r="K8" s="97">
        <v>422.92638281993641</v>
      </c>
      <c r="L8" s="17"/>
      <c r="M8" s="17"/>
      <c r="N8" s="17"/>
      <c r="O8" s="17"/>
    </row>
    <row r="9" spans="1:15" ht="16.2">
      <c r="A9" s="54" t="s">
        <v>84</v>
      </c>
      <c r="B9" s="17"/>
      <c r="C9" s="92"/>
      <c r="D9" s="92"/>
      <c r="E9" s="92"/>
      <c r="F9" s="92"/>
      <c r="G9" s="101"/>
      <c r="H9" s="92"/>
      <c r="I9" s="92"/>
      <c r="J9" s="92"/>
      <c r="K9" s="17"/>
      <c r="L9" s="17"/>
      <c r="M9" s="17"/>
      <c r="N9" s="17"/>
      <c r="O9" s="17"/>
    </row>
    <row r="10" spans="1:15" ht="14.4">
      <c r="A10" s="17" t="s">
        <v>85</v>
      </c>
      <c r="B10" s="36"/>
      <c r="C10" s="42"/>
      <c r="D10" s="17"/>
      <c r="E10" s="36"/>
      <c r="F10" s="36"/>
      <c r="G10" s="36"/>
      <c r="H10" s="36"/>
      <c r="I10" s="36"/>
      <c r="J10" s="36"/>
      <c r="K10" s="17"/>
      <c r="L10" s="17"/>
      <c r="M10" s="17"/>
      <c r="N10" s="17"/>
      <c r="O10" s="17"/>
    </row>
    <row r="11" spans="1:15" ht="14.4">
      <c r="A11" s="17" t="s">
        <v>86</v>
      </c>
      <c r="B11" s="36"/>
      <c r="C11" s="42"/>
      <c r="D11" s="17"/>
      <c r="E11" s="36"/>
      <c r="F11" s="36"/>
      <c r="G11" s="36"/>
      <c r="H11" s="36"/>
      <c r="I11" s="36"/>
      <c r="J11" s="36"/>
      <c r="K11" s="17"/>
      <c r="L11" s="17"/>
      <c r="M11" s="17"/>
      <c r="N11" s="17"/>
      <c r="O11" s="17"/>
    </row>
    <row r="12" spans="1:15" ht="13.8">
      <c r="A12" s="17"/>
      <c r="B12" s="36"/>
      <c r="C12" s="42"/>
      <c r="D12" s="17"/>
      <c r="E12" s="36"/>
      <c r="F12" s="36"/>
      <c r="G12" s="36"/>
      <c r="H12" s="36"/>
      <c r="I12" s="36"/>
      <c r="J12" s="36"/>
      <c r="K12" s="17"/>
      <c r="L12" s="17"/>
      <c r="M12" s="17"/>
      <c r="N12" s="17"/>
      <c r="O12" s="17"/>
    </row>
    <row r="13" spans="1:15" ht="13.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3.8">
      <c r="A14" s="15" t="s">
        <v>5</v>
      </c>
      <c r="B14" s="15"/>
      <c r="C14" s="15"/>
      <c r="D14" s="15"/>
      <c r="E14" s="15"/>
      <c r="F14" s="15"/>
      <c r="G14" s="15"/>
      <c r="H14" s="15"/>
      <c r="I14" s="17"/>
      <c r="J14" s="15"/>
      <c r="K14" s="17"/>
      <c r="L14" s="17"/>
      <c r="M14" s="17"/>
      <c r="N14" s="17"/>
      <c r="O14" s="17"/>
    </row>
    <row r="15" spans="1:15" ht="13.8">
      <c r="A15" s="17"/>
      <c r="B15" s="167" t="s">
        <v>57</v>
      </c>
      <c r="C15" s="167"/>
      <c r="D15" s="167"/>
      <c r="E15" s="167"/>
      <c r="F15" s="17"/>
      <c r="G15" s="167" t="s">
        <v>58</v>
      </c>
      <c r="H15" s="167"/>
      <c r="I15" s="167"/>
      <c r="J15" s="17"/>
      <c r="K15" s="17"/>
      <c r="L15" s="17"/>
      <c r="M15" s="17"/>
      <c r="N15" s="17"/>
      <c r="O15" s="17"/>
    </row>
    <row r="16" spans="1:15" ht="13.8">
      <c r="A16" s="17" t="s">
        <v>17</v>
      </c>
      <c r="B16" s="19" t="s">
        <v>69</v>
      </c>
      <c r="C16" s="23"/>
      <c r="D16" s="23"/>
      <c r="E16" s="23"/>
      <c r="F16" s="23"/>
      <c r="G16" s="23"/>
      <c r="H16" s="23"/>
      <c r="I16" s="23"/>
      <c r="J16" s="19" t="s">
        <v>59</v>
      </c>
      <c r="K16" s="17"/>
      <c r="L16" s="17"/>
      <c r="M16" s="17"/>
      <c r="N16" s="17"/>
      <c r="O16" s="17"/>
    </row>
    <row r="17" spans="1:15" ht="13.8">
      <c r="A17" s="24" t="s">
        <v>60</v>
      </c>
      <c r="B17" s="26" t="s">
        <v>61</v>
      </c>
      <c r="C17" s="73" t="s">
        <v>26</v>
      </c>
      <c r="D17" s="28" t="s">
        <v>70</v>
      </c>
      <c r="E17" s="26" t="s">
        <v>82</v>
      </c>
      <c r="F17" s="27"/>
      <c r="G17" s="93" t="s">
        <v>87</v>
      </c>
      <c r="H17" s="26" t="s">
        <v>30</v>
      </c>
      <c r="I17" s="28" t="s">
        <v>62</v>
      </c>
      <c r="J17" s="26" t="s">
        <v>61</v>
      </c>
      <c r="K17" s="17"/>
      <c r="L17" s="17"/>
      <c r="M17" s="17"/>
      <c r="N17" s="17"/>
      <c r="O17" s="17"/>
    </row>
    <row r="18" spans="1:15" ht="14.4">
      <c r="A18" s="17"/>
      <c r="B18" s="170" t="s">
        <v>88</v>
      </c>
      <c r="C18" s="170"/>
      <c r="D18" s="170"/>
      <c r="E18" s="170"/>
      <c r="F18" s="170"/>
      <c r="G18" s="170"/>
      <c r="H18" s="170"/>
      <c r="I18" s="170"/>
      <c r="J18" s="170"/>
      <c r="K18" s="17"/>
      <c r="L18" s="17"/>
      <c r="M18" s="17"/>
      <c r="N18" s="17"/>
      <c r="O18" s="17"/>
    </row>
    <row r="19" spans="1:15" ht="13.8">
      <c r="A19" s="21" t="s">
        <v>34</v>
      </c>
      <c r="B19" s="93">
        <v>24.872</v>
      </c>
      <c r="C19" s="96">
        <v>648.57100000000003</v>
      </c>
      <c r="D19" s="94">
        <v>0</v>
      </c>
      <c r="E19" s="96">
        <f>B19+C19+D19</f>
        <v>673.44299999999998</v>
      </c>
      <c r="F19" s="95"/>
      <c r="G19" s="96">
        <v>573.37699999999995</v>
      </c>
      <c r="H19" s="96">
        <v>60.759509638330982</v>
      </c>
      <c r="I19" s="96">
        <f>SUM(G19:H19)</f>
        <v>634.13650963833095</v>
      </c>
      <c r="J19" s="93">
        <v>39.305999999999997</v>
      </c>
      <c r="K19" s="17"/>
      <c r="L19" s="17"/>
      <c r="M19" s="17"/>
      <c r="N19" s="17"/>
      <c r="O19" s="17"/>
    </row>
    <row r="20" spans="1:15" ht="16.2">
      <c r="A20" s="21" t="s">
        <v>35</v>
      </c>
      <c r="B20" s="93">
        <f>J19</f>
        <v>39.305999999999997</v>
      </c>
      <c r="C20" s="96">
        <v>695</v>
      </c>
      <c r="D20" s="136">
        <v>0.10141264051999997</v>
      </c>
      <c r="E20" s="96">
        <f>B20+C20+D20</f>
        <v>734.40741264052008</v>
      </c>
      <c r="F20" s="95"/>
      <c r="G20" s="96">
        <f>E20-J20-H20</f>
        <v>658.743182863843</v>
      </c>
      <c r="H20" s="96">
        <v>53.348229776676988</v>
      </c>
      <c r="I20" s="96">
        <f>SUM(G20:H20)</f>
        <v>712.09141264052005</v>
      </c>
      <c r="J20" s="93">
        <v>22.315999999999999</v>
      </c>
      <c r="K20" s="17"/>
      <c r="L20" s="17"/>
      <c r="M20" s="17"/>
      <c r="N20" s="17"/>
      <c r="O20" s="17"/>
    </row>
    <row r="21" spans="1:15" ht="16.2">
      <c r="A21" s="15" t="s">
        <v>36</v>
      </c>
      <c r="B21" s="97">
        <f>J20</f>
        <v>22.315999999999999</v>
      </c>
      <c r="C21" s="100">
        <v>685</v>
      </c>
      <c r="D21" s="98">
        <v>0</v>
      </c>
      <c r="E21" s="100">
        <f>B21+C21+D21</f>
        <v>707.31600000000003</v>
      </c>
      <c r="F21" s="99"/>
      <c r="G21" s="100">
        <f>E21-J21-H21</f>
        <v>607.31600000000003</v>
      </c>
      <c r="H21" s="100">
        <v>60</v>
      </c>
      <c r="I21" s="100">
        <f>SUM(G21:H21)</f>
        <v>667.31600000000003</v>
      </c>
      <c r="J21" s="97">
        <v>40</v>
      </c>
      <c r="K21" s="17"/>
      <c r="L21" s="17"/>
      <c r="M21" s="17"/>
      <c r="N21" s="17"/>
      <c r="O21" s="17"/>
    </row>
    <row r="22" spans="1:15" ht="16.2">
      <c r="A22" s="54" t="s">
        <v>84</v>
      </c>
      <c r="B22" s="17"/>
      <c r="C22" s="92"/>
      <c r="D22" s="92"/>
      <c r="E22" s="92"/>
      <c r="F22" s="92"/>
      <c r="G22" s="92"/>
      <c r="H22" s="92"/>
      <c r="I22" s="17"/>
      <c r="J22" s="17"/>
      <c r="K22" s="17"/>
      <c r="L22" s="17"/>
      <c r="M22" s="17"/>
      <c r="N22" s="17"/>
      <c r="O22" s="17"/>
    </row>
    <row r="23" spans="1:15" ht="14.4">
      <c r="A23" s="17" t="s">
        <v>89</v>
      </c>
      <c r="B23" s="95"/>
      <c r="C23" s="95"/>
      <c r="D23" s="95"/>
      <c r="E23" s="95"/>
      <c r="F23" s="95"/>
      <c r="G23" s="95"/>
      <c r="H23" s="95"/>
      <c r="I23" s="17"/>
      <c r="J23" s="17"/>
      <c r="K23" s="17"/>
      <c r="L23" s="17"/>
      <c r="M23" s="17"/>
      <c r="N23" s="17"/>
      <c r="O23" s="17"/>
    </row>
    <row r="24" spans="1:15" ht="13.8">
      <c r="A24" s="21"/>
      <c r="B24" s="36"/>
      <c r="C24" s="36"/>
      <c r="D24" s="36"/>
      <c r="E24" s="36"/>
      <c r="F24" s="36"/>
      <c r="G24" s="36"/>
      <c r="H24" s="36"/>
      <c r="I24" s="17"/>
      <c r="J24" s="17"/>
      <c r="K24" s="17"/>
      <c r="L24" s="17"/>
      <c r="M24" s="17"/>
      <c r="N24" s="17"/>
      <c r="O24" s="17"/>
    </row>
    <row r="25" spans="1:15" ht="13.8">
      <c r="A25" s="21"/>
      <c r="B25" s="36"/>
      <c r="C25" s="42"/>
      <c r="D25" s="36"/>
      <c r="E25" s="36"/>
      <c r="F25" s="36"/>
      <c r="G25" s="36"/>
      <c r="H25" s="36"/>
      <c r="I25" s="17"/>
      <c r="J25" s="17"/>
      <c r="K25" s="17"/>
      <c r="L25" s="17"/>
      <c r="M25" s="17"/>
      <c r="N25" s="17"/>
      <c r="O25" s="17"/>
    </row>
    <row r="26" spans="1:15" ht="13.8">
      <c r="A26" s="15" t="s">
        <v>6</v>
      </c>
      <c r="B26" s="15"/>
      <c r="C26" s="15"/>
      <c r="D26" s="15"/>
      <c r="E26" s="15"/>
      <c r="F26" s="15"/>
      <c r="G26" s="15"/>
      <c r="H26" s="15"/>
      <c r="I26" s="17"/>
      <c r="J26" s="15"/>
      <c r="K26" s="17"/>
      <c r="L26" s="17"/>
      <c r="M26" s="17"/>
      <c r="N26" s="17"/>
      <c r="O26" s="17"/>
    </row>
    <row r="27" spans="1:15" ht="13.8">
      <c r="A27" s="17"/>
      <c r="B27" s="167" t="s">
        <v>57</v>
      </c>
      <c r="C27" s="167"/>
      <c r="D27" s="167"/>
      <c r="E27" s="167"/>
      <c r="F27" s="17"/>
      <c r="G27" s="167" t="s">
        <v>58</v>
      </c>
      <c r="H27" s="167"/>
      <c r="I27" s="167"/>
      <c r="J27" s="17"/>
      <c r="K27" s="17"/>
      <c r="L27" s="17"/>
      <c r="M27" s="17"/>
      <c r="N27" s="17"/>
      <c r="O27" s="17"/>
    </row>
    <row r="28" spans="1:15" ht="13.8">
      <c r="A28" s="17" t="s">
        <v>17</v>
      </c>
      <c r="B28" s="19" t="s">
        <v>69</v>
      </c>
      <c r="C28" s="23"/>
      <c r="D28" s="23"/>
      <c r="E28" s="23"/>
      <c r="F28" s="23"/>
      <c r="G28" s="23"/>
      <c r="H28" s="23"/>
      <c r="I28" s="23"/>
      <c r="J28" s="19" t="s">
        <v>59</v>
      </c>
      <c r="K28" s="17"/>
      <c r="L28" s="17"/>
      <c r="M28" s="17"/>
      <c r="N28" s="17"/>
      <c r="O28" s="17"/>
    </row>
    <row r="29" spans="1:15" ht="13.8">
      <c r="A29" s="24" t="s">
        <v>60</v>
      </c>
      <c r="B29" s="26" t="s">
        <v>61</v>
      </c>
      <c r="C29" s="26" t="s">
        <v>26</v>
      </c>
      <c r="D29" s="28" t="s">
        <v>70</v>
      </c>
      <c r="E29" s="26" t="s">
        <v>82</v>
      </c>
      <c r="F29" s="27"/>
      <c r="G29" s="26" t="s">
        <v>63</v>
      </c>
      <c r="H29" s="26" t="s">
        <v>30</v>
      </c>
      <c r="I29" s="26" t="s">
        <v>62</v>
      </c>
      <c r="J29" s="26" t="s">
        <v>65</v>
      </c>
      <c r="K29" s="17"/>
      <c r="L29" s="17"/>
      <c r="M29" s="17"/>
      <c r="N29" s="17"/>
      <c r="O29" s="17"/>
    </row>
    <row r="30" spans="1:15" ht="14.4">
      <c r="A30" s="17"/>
      <c r="B30" s="170" t="s">
        <v>90</v>
      </c>
      <c r="C30" s="170"/>
      <c r="D30" s="170"/>
      <c r="E30" s="170"/>
      <c r="F30" s="170"/>
      <c r="G30" s="170"/>
      <c r="H30" s="170"/>
      <c r="I30" s="170"/>
      <c r="J30" s="170"/>
      <c r="K30" s="17"/>
      <c r="L30" s="17"/>
      <c r="M30" s="17"/>
      <c r="N30" s="17"/>
      <c r="O30" s="17"/>
    </row>
    <row r="31" spans="1:15" ht="13.8">
      <c r="A31" s="21" t="s">
        <v>34</v>
      </c>
      <c r="B31" s="94">
        <v>44.537999999999997</v>
      </c>
      <c r="C31" s="96">
        <v>399.91800000000001</v>
      </c>
      <c r="D31" s="94">
        <v>21.365218272682</v>
      </c>
      <c r="E31" s="102">
        <f>B31+C31+D31</f>
        <v>465.82121827268202</v>
      </c>
      <c r="F31" s="95"/>
      <c r="G31" s="96">
        <f>I31-H31</f>
        <v>354.93667903513006</v>
      </c>
      <c r="H31" s="96">
        <v>62.676539237551999</v>
      </c>
      <c r="I31" s="96">
        <f>E31-J31</f>
        <v>417.61321827268205</v>
      </c>
      <c r="J31" s="96">
        <v>48.207999999999998</v>
      </c>
      <c r="K31" s="17"/>
      <c r="L31" s="17"/>
      <c r="M31" s="17"/>
      <c r="N31" s="17"/>
      <c r="O31" s="17"/>
    </row>
    <row r="32" spans="1:15" ht="16.2">
      <c r="A32" s="21" t="s">
        <v>35</v>
      </c>
      <c r="B32" s="94">
        <f>J31</f>
        <v>48.207999999999998</v>
      </c>
      <c r="C32" s="96">
        <v>430</v>
      </c>
      <c r="D32" s="94">
        <v>24.878284417651997</v>
      </c>
      <c r="E32" s="102">
        <f>B32+C32+D32</f>
        <v>503.086284417652</v>
      </c>
      <c r="F32" s="95"/>
      <c r="G32" s="96">
        <f>I32-H32</f>
        <v>325.59072038149202</v>
      </c>
      <c r="H32" s="96">
        <v>127.79756403616</v>
      </c>
      <c r="I32" s="96">
        <f>E32-J32</f>
        <v>453.38828441765202</v>
      </c>
      <c r="J32" s="96">
        <v>49.698</v>
      </c>
      <c r="K32" s="17"/>
      <c r="L32" s="17"/>
      <c r="M32" s="17"/>
      <c r="N32" s="17"/>
      <c r="O32" s="17"/>
    </row>
    <row r="33" spans="1:17" ht="16.2">
      <c r="A33" s="15" t="s">
        <v>36</v>
      </c>
      <c r="B33" s="98">
        <f>J32</f>
        <v>49.698</v>
      </c>
      <c r="C33" s="100">
        <v>415</v>
      </c>
      <c r="D33" s="98">
        <v>20</v>
      </c>
      <c r="E33" s="103">
        <f>B33+C33+D33</f>
        <v>484.69799999999998</v>
      </c>
      <c r="F33" s="99"/>
      <c r="G33" s="100">
        <f>I33-H33</f>
        <v>369.69799999999998</v>
      </c>
      <c r="H33" s="100">
        <v>65</v>
      </c>
      <c r="I33" s="100">
        <f>E33-J33</f>
        <v>434.69799999999998</v>
      </c>
      <c r="J33" s="100">
        <v>50</v>
      </c>
      <c r="K33" s="17"/>
      <c r="L33" s="17"/>
      <c r="M33" s="17"/>
      <c r="N33" s="17"/>
      <c r="O33" s="17"/>
    </row>
    <row r="34" spans="1:17" ht="16.2">
      <c r="A34" s="54" t="s">
        <v>84</v>
      </c>
      <c r="B34" s="17"/>
      <c r="C34" s="92"/>
      <c r="D34" s="92"/>
      <c r="E34" s="92"/>
      <c r="F34" s="92"/>
      <c r="G34" s="92"/>
      <c r="H34" s="92"/>
      <c r="I34" s="17"/>
      <c r="J34" s="17"/>
      <c r="K34" s="17"/>
      <c r="L34" s="17"/>
      <c r="M34" s="17"/>
      <c r="N34" s="17"/>
      <c r="O34" s="17"/>
    </row>
    <row r="35" spans="1:17" ht="14.4">
      <c r="A35" s="17" t="s">
        <v>89</v>
      </c>
      <c r="B35" s="36"/>
      <c r="C35" s="42"/>
      <c r="D35" s="36"/>
      <c r="E35" s="36"/>
      <c r="F35" s="36"/>
      <c r="G35" s="36"/>
      <c r="H35" s="36"/>
      <c r="I35" s="17"/>
      <c r="J35" s="17"/>
      <c r="K35" s="17"/>
      <c r="L35" s="17"/>
      <c r="M35" s="17"/>
      <c r="N35" s="17"/>
      <c r="O35" s="17"/>
    </row>
    <row r="36" spans="1:17" ht="13.8">
      <c r="A36" s="21"/>
      <c r="B36" s="21"/>
      <c r="C36" s="21"/>
      <c r="D36" s="21"/>
      <c r="E36" s="21"/>
      <c r="F36" s="21"/>
      <c r="G36" s="21"/>
      <c r="H36" s="21"/>
      <c r="I36" s="17"/>
      <c r="J36" s="17"/>
      <c r="K36" s="17"/>
      <c r="L36" s="17"/>
      <c r="M36" s="17"/>
      <c r="N36" s="17"/>
      <c r="O36" s="17"/>
    </row>
    <row r="37" spans="1:17" ht="13.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7" ht="13.8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7"/>
      <c r="K38" s="17"/>
      <c r="L38" s="17"/>
      <c r="M38" s="17"/>
      <c r="N38" s="17"/>
      <c r="O38" s="17"/>
    </row>
    <row r="39" spans="1:17" ht="13.8">
      <c r="A39" s="17"/>
      <c r="B39" s="167" t="s">
        <v>13</v>
      </c>
      <c r="C39" s="167"/>
      <c r="D39" s="19" t="s">
        <v>14</v>
      </c>
      <c r="E39" s="167" t="s">
        <v>15</v>
      </c>
      <c r="F39" s="167"/>
      <c r="G39" s="167"/>
      <c r="H39" s="167"/>
      <c r="I39" s="17"/>
      <c r="J39" s="167" t="s">
        <v>58</v>
      </c>
      <c r="K39" s="167"/>
      <c r="L39" s="167"/>
      <c r="M39" s="167"/>
      <c r="N39" s="167"/>
      <c r="O39" s="90"/>
    </row>
    <row r="40" spans="1:17" ht="13.8">
      <c r="A40" s="17" t="s">
        <v>17</v>
      </c>
      <c r="B40" s="19" t="s">
        <v>18</v>
      </c>
      <c r="C40" s="19" t="s">
        <v>19</v>
      </c>
      <c r="D40" s="17"/>
      <c r="E40" s="19" t="s">
        <v>69</v>
      </c>
      <c r="F40" s="19"/>
      <c r="G40" s="19"/>
      <c r="H40" s="19"/>
      <c r="I40" s="17"/>
      <c r="J40" s="104" t="s">
        <v>87</v>
      </c>
      <c r="K40" s="19"/>
      <c r="L40" s="19" t="s">
        <v>22</v>
      </c>
      <c r="M40" s="19"/>
      <c r="N40" s="19"/>
      <c r="O40" s="19" t="s">
        <v>59</v>
      </c>
    </row>
    <row r="41" spans="1:17" ht="13.8">
      <c r="A41" s="24" t="s">
        <v>77</v>
      </c>
      <c r="B41" s="25"/>
      <c r="C41" s="25"/>
      <c r="D41" s="25"/>
      <c r="E41" s="26" t="s">
        <v>61</v>
      </c>
      <c r="F41" s="26" t="s">
        <v>26</v>
      </c>
      <c r="G41" s="26" t="s">
        <v>70</v>
      </c>
      <c r="H41" s="26" t="s">
        <v>82</v>
      </c>
      <c r="I41" s="26"/>
      <c r="J41" s="26" t="s">
        <v>91</v>
      </c>
      <c r="K41" s="26" t="s">
        <v>80</v>
      </c>
      <c r="L41" s="26" t="s">
        <v>29</v>
      </c>
      <c r="M41" s="28" t="s">
        <v>30</v>
      </c>
      <c r="N41" s="26" t="s">
        <v>62</v>
      </c>
      <c r="O41" s="26" t="s">
        <v>65</v>
      </c>
    </row>
    <row r="42" spans="1:17" ht="14.4">
      <c r="A42" s="17"/>
      <c r="B42" s="171" t="s">
        <v>92</v>
      </c>
      <c r="C42" s="172"/>
      <c r="D42" s="105" t="s">
        <v>93</v>
      </c>
      <c r="E42" s="173" t="s">
        <v>94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2"/>
    </row>
    <row r="43" spans="1:17" ht="13.8">
      <c r="A43" s="17"/>
      <c r="B43" s="19"/>
      <c r="C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7" ht="13.8">
      <c r="A44" s="21" t="s">
        <v>34</v>
      </c>
      <c r="B44" s="93">
        <v>1662.5</v>
      </c>
      <c r="C44" s="93">
        <v>1615.2</v>
      </c>
      <c r="D44" s="93">
        <f>F44*1000/C44</f>
        <v>3812.7476473501733</v>
      </c>
      <c r="E44" s="93">
        <v>2118.1880000000001</v>
      </c>
      <c r="F44" s="93">
        <v>6158.35</v>
      </c>
      <c r="G44" s="96">
        <v>121.01600000000001</v>
      </c>
      <c r="H44" s="93">
        <f>SUM(E44:G44)</f>
        <v>8397.5540000000001</v>
      </c>
      <c r="I44" s="93"/>
      <c r="J44" s="93">
        <v>3356.6</v>
      </c>
      <c r="K44" s="93">
        <v>872.91017669999985</v>
      </c>
      <c r="L44" s="96">
        <f>N44-J44-K44-M44</f>
        <v>770.55533184840169</v>
      </c>
      <c r="M44" s="96">
        <v>1429.3264914515985</v>
      </c>
      <c r="N44" s="93">
        <f>H44-O44</f>
        <v>6429.3919999999998</v>
      </c>
      <c r="O44" s="93">
        <v>1968.162</v>
      </c>
    </row>
    <row r="45" spans="1:17" ht="16.2">
      <c r="A45" s="21" t="s">
        <v>35</v>
      </c>
      <c r="B45" s="93">
        <v>1580.2</v>
      </c>
      <c r="C45" s="93">
        <v>1540.1</v>
      </c>
      <c r="D45" s="93">
        <f>F45*1000/C45</f>
        <v>4130.4662034932799</v>
      </c>
      <c r="E45" s="93">
        <f>O44</f>
        <v>1968.162</v>
      </c>
      <c r="F45" s="93">
        <v>6361.3310000000001</v>
      </c>
      <c r="G45" s="96">
        <v>107.105</v>
      </c>
      <c r="H45" s="93">
        <f>SUM(E45:G45)</f>
        <v>8436.598</v>
      </c>
      <c r="I45" s="93"/>
      <c r="J45" s="93">
        <v>3313.1</v>
      </c>
      <c r="K45" s="93">
        <v>842.43200000000002</v>
      </c>
      <c r="L45" s="96">
        <f t="shared" ref="L45:L46" si="0">N45-J45-K45-M45</f>
        <v>738.31830540849705</v>
      </c>
      <c r="M45" s="96">
        <v>1182.4906945915034</v>
      </c>
      <c r="N45" s="93">
        <f>H45-O45</f>
        <v>6076.3410000000003</v>
      </c>
      <c r="O45" s="93">
        <v>2360.2570000000001</v>
      </c>
      <c r="P45" s="127"/>
    </row>
    <row r="46" spans="1:17" ht="16.2">
      <c r="A46" s="15" t="s">
        <v>36</v>
      </c>
      <c r="B46" s="97">
        <v>1450.3</v>
      </c>
      <c r="C46" s="97">
        <v>1385.4</v>
      </c>
      <c r="D46" s="97">
        <f>F46*1000/C46</f>
        <v>4019.1641403204849</v>
      </c>
      <c r="E46" s="97">
        <f>O45</f>
        <v>2360.2570000000001</v>
      </c>
      <c r="F46" s="97">
        <v>5568.15</v>
      </c>
      <c r="G46" s="100">
        <v>110</v>
      </c>
      <c r="H46" s="97">
        <f>SUM(E46:G46)</f>
        <v>8038.4069999999992</v>
      </c>
      <c r="I46" s="97"/>
      <c r="J46" s="97">
        <v>3330.7226918856595</v>
      </c>
      <c r="K46" s="97">
        <v>800</v>
      </c>
      <c r="L46" s="100">
        <f t="shared" si="0"/>
        <v>627.31500000000051</v>
      </c>
      <c r="M46" s="100">
        <v>1100</v>
      </c>
      <c r="N46" s="97">
        <f>H46-O46</f>
        <v>5858.03769188566</v>
      </c>
      <c r="O46" s="97">
        <v>2180.3693081143392</v>
      </c>
      <c r="P46" s="127"/>
      <c r="Q46" s="127"/>
    </row>
    <row r="47" spans="1:17" ht="16.2">
      <c r="A47" s="54" t="s">
        <v>84</v>
      </c>
      <c r="B47" s="17"/>
      <c r="C47" s="92"/>
      <c r="D47" s="92"/>
      <c r="E47" s="92"/>
      <c r="F47" s="92"/>
      <c r="G47" s="92"/>
      <c r="H47" s="92"/>
      <c r="I47" s="17"/>
      <c r="J47" s="17"/>
      <c r="K47" s="17"/>
      <c r="L47" s="17"/>
      <c r="M47" s="17"/>
      <c r="N47" s="17"/>
      <c r="O47" s="17"/>
    </row>
    <row r="48" spans="1:17" ht="14.4">
      <c r="A48" s="17" t="s">
        <v>95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4.4">
      <c r="A49" s="17" t="s">
        <v>86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3.8">
      <c r="A50" s="23" t="s">
        <v>56</v>
      </c>
      <c r="B50" s="106">
        <f>Contents!A16</f>
        <v>44578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44.4" customHeight="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.6">
      <c r="G52" s="79"/>
      <c r="H52" s="79"/>
    </row>
    <row r="53" spans="1:15" ht="15.6">
      <c r="G53" s="79"/>
      <c r="H53" s="79"/>
    </row>
    <row r="54" spans="1:15" ht="15.6">
      <c r="G54" s="79"/>
      <c r="H54" s="79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23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0"/>
  <sheetViews>
    <sheetView showGridLines="0" zoomScale="70" zoomScaleNormal="70" workbookViewId="0"/>
  </sheetViews>
  <sheetFormatPr defaultColWidth="9.109375" defaultRowHeight="13.2"/>
  <cols>
    <col min="1" max="1" width="11.6640625" style="16" customWidth="1"/>
    <col min="2" max="2" width="18.88671875" style="16" bestFit="1" customWidth="1"/>
    <col min="3" max="3" width="22.109375" style="16" bestFit="1" customWidth="1"/>
    <col min="4" max="5" width="25.6640625" style="16" bestFit="1" customWidth="1"/>
    <col min="6" max="6" width="16.6640625" style="16" bestFit="1" customWidth="1"/>
    <col min="7" max="7" width="18.88671875" style="16" bestFit="1" customWidth="1"/>
    <col min="8" max="16384" width="9.109375" style="16"/>
  </cols>
  <sheetData>
    <row r="1" spans="1:8" ht="15.6" customHeight="1">
      <c r="A1" s="15" t="s">
        <v>8</v>
      </c>
      <c r="B1" s="15"/>
      <c r="C1" s="15"/>
      <c r="D1" s="15"/>
      <c r="E1" s="15"/>
      <c r="F1" s="15"/>
      <c r="G1" s="15"/>
      <c r="H1" s="55"/>
    </row>
    <row r="2" spans="1:8" ht="15.6" customHeight="1">
      <c r="A2" s="21" t="s">
        <v>96</v>
      </c>
      <c r="B2" s="38" t="s">
        <v>97</v>
      </c>
      <c r="C2" s="38" t="s">
        <v>98</v>
      </c>
      <c r="D2" s="38" t="s">
        <v>99</v>
      </c>
      <c r="E2" s="38" t="s">
        <v>100</v>
      </c>
      <c r="F2" s="38" t="s">
        <v>101</v>
      </c>
      <c r="G2" s="38" t="s">
        <v>102</v>
      </c>
      <c r="H2" s="55"/>
    </row>
    <row r="3" spans="1:8" ht="15.6" customHeight="1">
      <c r="A3" s="15" t="s">
        <v>103</v>
      </c>
      <c r="B3" s="27"/>
      <c r="C3" s="60"/>
      <c r="D3" s="60"/>
      <c r="E3" s="60"/>
      <c r="F3" s="60"/>
      <c r="G3" s="60"/>
      <c r="H3" s="55"/>
    </row>
    <row r="4" spans="1:8" ht="14.4">
      <c r="A4" s="61"/>
      <c r="B4" s="62" t="s">
        <v>104</v>
      </c>
      <c r="C4" s="62" t="s">
        <v>105</v>
      </c>
      <c r="D4" s="62" t="s">
        <v>106</v>
      </c>
      <c r="E4" s="62" t="s">
        <v>106</v>
      </c>
      <c r="F4" s="62" t="s">
        <v>107</v>
      </c>
      <c r="G4" s="62" t="s">
        <v>104</v>
      </c>
      <c r="H4" s="55"/>
    </row>
    <row r="5" spans="1:8" ht="13.8">
      <c r="A5" s="17"/>
      <c r="B5" s="17"/>
      <c r="C5" s="17"/>
      <c r="D5" s="19"/>
      <c r="E5" s="17"/>
      <c r="F5" s="17"/>
      <c r="G5" s="17"/>
      <c r="H5" s="55"/>
    </row>
    <row r="6" spans="1:8" ht="13.8">
      <c r="A6" s="17" t="s">
        <v>108</v>
      </c>
      <c r="B6" s="63">
        <v>11.3</v>
      </c>
      <c r="C6" s="63">
        <v>161</v>
      </c>
      <c r="D6" s="63">
        <v>23.3</v>
      </c>
      <c r="E6" s="63">
        <v>19.3</v>
      </c>
      <c r="F6" s="63">
        <v>22.5</v>
      </c>
      <c r="G6" s="63">
        <v>12.2</v>
      </c>
      <c r="H6" s="55"/>
    </row>
    <row r="7" spans="1:8" ht="13.8">
      <c r="A7" s="17" t="s">
        <v>109</v>
      </c>
      <c r="B7" s="63">
        <v>12.5</v>
      </c>
      <c r="C7" s="63">
        <v>260</v>
      </c>
      <c r="D7" s="63">
        <v>29.1</v>
      </c>
      <c r="E7" s="63">
        <v>24</v>
      </c>
      <c r="F7" s="63">
        <v>31.8</v>
      </c>
      <c r="G7" s="63">
        <v>13.9</v>
      </c>
      <c r="H7" s="55"/>
    </row>
    <row r="8" spans="1:8" ht="13.8">
      <c r="A8" s="17" t="s">
        <v>110</v>
      </c>
      <c r="B8" s="63">
        <v>14.4</v>
      </c>
      <c r="C8" s="63">
        <v>252</v>
      </c>
      <c r="D8" s="63">
        <v>25.4</v>
      </c>
      <c r="E8" s="63">
        <v>26.5</v>
      </c>
      <c r="F8" s="63">
        <v>30.1</v>
      </c>
      <c r="G8" s="63">
        <v>13.8</v>
      </c>
      <c r="H8" s="55"/>
    </row>
    <row r="9" spans="1:8" ht="13.8">
      <c r="A9" s="17" t="s">
        <v>111</v>
      </c>
      <c r="B9" s="63">
        <v>13</v>
      </c>
      <c r="C9" s="63">
        <v>246</v>
      </c>
      <c r="D9" s="63">
        <v>21.4</v>
      </c>
      <c r="E9" s="63">
        <v>20.6</v>
      </c>
      <c r="F9" s="63">
        <v>24.9</v>
      </c>
      <c r="G9" s="63">
        <v>13.8</v>
      </c>
      <c r="H9" s="55"/>
    </row>
    <row r="10" spans="1:8" ht="13.8">
      <c r="A10" s="17" t="s">
        <v>112</v>
      </c>
      <c r="B10" s="63">
        <v>10.1</v>
      </c>
      <c r="C10" s="63">
        <v>194</v>
      </c>
      <c r="D10" s="63">
        <v>21.7</v>
      </c>
      <c r="E10" s="63">
        <v>16.899999999999999</v>
      </c>
      <c r="F10" s="63">
        <v>22</v>
      </c>
      <c r="G10" s="63">
        <v>11.8</v>
      </c>
      <c r="H10" s="55"/>
    </row>
    <row r="11" spans="1:8" ht="13.8">
      <c r="A11" s="17" t="s">
        <v>113</v>
      </c>
      <c r="B11" s="63">
        <v>8.9499999999999993</v>
      </c>
      <c r="C11" s="63">
        <v>227</v>
      </c>
      <c r="D11" s="63">
        <v>19.600000000000001</v>
      </c>
      <c r="E11" s="63">
        <v>15.6</v>
      </c>
      <c r="F11" s="63">
        <v>19.3</v>
      </c>
      <c r="G11" s="63">
        <v>8.9499999999999993</v>
      </c>
      <c r="H11" s="55"/>
    </row>
    <row r="12" spans="1:8" ht="13.8">
      <c r="A12" s="17" t="s">
        <v>114</v>
      </c>
      <c r="B12" s="63">
        <v>9.4700000000000006</v>
      </c>
      <c r="C12" s="63">
        <v>195</v>
      </c>
      <c r="D12" s="63">
        <v>17.399999999999999</v>
      </c>
      <c r="E12" s="63">
        <v>16.600000000000001</v>
      </c>
      <c r="F12" s="63">
        <v>19.7</v>
      </c>
      <c r="G12" s="63">
        <v>8</v>
      </c>
      <c r="H12" s="55"/>
    </row>
    <row r="13" spans="1:8" ht="13.8">
      <c r="A13" s="17" t="s">
        <v>115</v>
      </c>
      <c r="B13" s="63">
        <v>9.33</v>
      </c>
      <c r="C13" s="63">
        <v>142</v>
      </c>
      <c r="D13" s="63">
        <v>17.2</v>
      </c>
      <c r="E13" s="63">
        <v>17.5</v>
      </c>
      <c r="F13" s="63">
        <v>22.9</v>
      </c>
      <c r="G13" s="63">
        <v>9.5299999999999994</v>
      </c>
      <c r="H13" s="55"/>
    </row>
    <row r="14" spans="1:8" ht="13.8">
      <c r="A14" s="17" t="s">
        <v>116</v>
      </c>
      <c r="B14" s="63">
        <v>8.48</v>
      </c>
      <c r="C14" s="63">
        <v>155</v>
      </c>
      <c r="D14" s="63">
        <v>17.399999999999999</v>
      </c>
      <c r="E14" s="63">
        <v>15.8</v>
      </c>
      <c r="F14" s="63">
        <v>21.5</v>
      </c>
      <c r="G14" s="63">
        <v>9.89</v>
      </c>
      <c r="H14" s="55"/>
    </row>
    <row r="15" spans="1:8" ht="13.8">
      <c r="A15" s="17" t="s">
        <v>117</v>
      </c>
      <c r="B15" s="63">
        <v>8.57</v>
      </c>
      <c r="C15" s="63">
        <v>161</v>
      </c>
      <c r="D15" s="63">
        <v>19.5</v>
      </c>
      <c r="E15" s="63">
        <v>14.8</v>
      </c>
      <c r="F15" s="63">
        <v>20.5</v>
      </c>
      <c r="G15" s="63">
        <v>9.15</v>
      </c>
      <c r="H15" s="55"/>
    </row>
    <row r="16" spans="1:8" ht="13.8">
      <c r="A16" s="17" t="s">
        <v>34</v>
      </c>
      <c r="B16" s="63">
        <v>10.8</v>
      </c>
      <c r="C16" s="63">
        <v>194</v>
      </c>
      <c r="D16" s="63">
        <v>21.3</v>
      </c>
      <c r="E16" s="63">
        <v>18.400000000000002</v>
      </c>
      <c r="F16" s="63">
        <v>21</v>
      </c>
      <c r="G16" s="63">
        <v>11.1</v>
      </c>
      <c r="H16" s="55"/>
    </row>
    <row r="17" spans="1:8" ht="16.2">
      <c r="A17" s="17" t="s">
        <v>118</v>
      </c>
      <c r="B17" s="63">
        <v>13.3</v>
      </c>
      <c r="C17" s="63">
        <v>243</v>
      </c>
      <c r="D17" s="63">
        <v>32.9</v>
      </c>
      <c r="E17" s="63">
        <v>32.9</v>
      </c>
      <c r="F17" s="63">
        <v>24.3</v>
      </c>
      <c r="G17" s="63">
        <v>25.9</v>
      </c>
      <c r="H17" s="55"/>
    </row>
    <row r="18" spans="1:8" ht="16.2">
      <c r="A18" s="17" t="s">
        <v>119</v>
      </c>
      <c r="B18" s="63">
        <v>14.2</v>
      </c>
      <c r="C18" s="63">
        <v>335</v>
      </c>
      <c r="D18" s="63">
        <v>29.9</v>
      </c>
      <c r="E18" s="63">
        <v>30</v>
      </c>
      <c r="F18" s="63">
        <v>28</v>
      </c>
      <c r="G18" s="63">
        <v>19.5</v>
      </c>
      <c r="H18" s="55"/>
    </row>
    <row r="19" spans="1:8" ht="13.8">
      <c r="A19" s="21"/>
      <c r="B19" s="64"/>
      <c r="C19" s="65"/>
      <c r="D19" s="66"/>
      <c r="E19" s="66"/>
      <c r="F19" s="67"/>
      <c r="G19" s="68"/>
      <c r="H19" s="56"/>
    </row>
    <row r="20" spans="1:8" ht="13.8">
      <c r="A20" s="69" t="s">
        <v>53</v>
      </c>
      <c r="B20" s="63"/>
      <c r="C20" s="63"/>
      <c r="D20" s="63"/>
      <c r="E20" s="63"/>
      <c r="F20" s="63"/>
      <c r="G20" s="63"/>
    </row>
    <row r="21" spans="1:8" ht="13.8">
      <c r="A21" s="21" t="s">
        <v>37</v>
      </c>
      <c r="B21" s="63">
        <v>12.2</v>
      </c>
      <c r="C21" s="63">
        <v>235</v>
      </c>
      <c r="D21" s="63">
        <v>30.7</v>
      </c>
      <c r="E21" s="63">
        <v>28.7</v>
      </c>
      <c r="F21" s="63">
        <v>22.2</v>
      </c>
      <c r="G21" s="63">
        <v>19.8</v>
      </c>
    </row>
    <row r="22" spans="1:8" ht="13.8">
      <c r="A22" s="21" t="s">
        <v>38</v>
      </c>
      <c r="B22" s="63">
        <v>11.9</v>
      </c>
      <c r="C22" s="63">
        <v>244</v>
      </c>
      <c r="D22" s="63">
        <v>30.5</v>
      </c>
      <c r="E22" s="63">
        <v>29.6</v>
      </c>
      <c r="F22" s="63">
        <v>23.9</v>
      </c>
      <c r="G22" s="63">
        <v>26.2</v>
      </c>
    </row>
    <row r="23" spans="1:8" ht="13.8">
      <c r="A23" s="21" t="s">
        <v>39</v>
      </c>
      <c r="B23" s="63">
        <v>12.1</v>
      </c>
      <c r="C23" s="63">
        <v>244</v>
      </c>
      <c r="D23" s="63">
        <v>30.3</v>
      </c>
      <c r="E23" s="63">
        <v>31.7</v>
      </c>
      <c r="F23" s="63">
        <v>25.4</v>
      </c>
      <c r="G23" s="63">
        <v>26.1</v>
      </c>
    </row>
    <row r="24" spans="1:8" ht="13.8">
      <c r="A24" s="21" t="s">
        <v>41</v>
      </c>
      <c r="B24" s="63">
        <v>12.5</v>
      </c>
      <c r="C24" s="63">
        <v>239</v>
      </c>
      <c r="D24" s="63">
        <v>31.6</v>
      </c>
      <c r="E24" s="63">
        <v>32.5</v>
      </c>
      <c r="F24" s="63">
        <v>24.1</v>
      </c>
      <c r="G24" s="63">
        <v>31.3</v>
      </c>
    </row>
    <row r="25" spans="1:8" ht="13.8">
      <c r="A25" s="21" t="s">
        <v>42</v>
      </c>
      <c r="B25" s="63">
        <v>12.9</v>
      </c>
      <c r="C25" s="63">
        <v>241</v>
      </c>
      <c r="D25" s="63">
        <v>31</v>
      </c>
      <c r="E25" s="63">
        <v>33.700000000000003</v>
      </c>
      <c r="F25" s="63">
        <v>25.9</v>
      </c>
      <c r="G25" s="63">
        <v>31</v>
      </c>
    </row>
    <row r="26" spans="1:8" ht="13.8">
      <c r="A26" s="21" t="s">
        <v>43</v>
      </c>
      <c r="B26" s="63">
        <v>14.7</v>
      </c>
      <c r="C26" s="63">
        <v>255</v>
      </c>
      <c r="D26" s="63">
        <v>32.200000000000003</v>
      </c>
      <c r="E26" s="63">
        <v>37.5</v>
      </c>
      <c r="F26" s="63">
        <v>24.8</v>
      </c>
      <c r="G26" s="63">
        <v>27.5</v>
      </c>
    </row>
    <row r="27" spans="1:8" ht="13.8">
      <c r="A27" s="21" t="s">
        <v>45</v>
      </c>
      <c r="B27" s="63">
        <v>15.4</v>
      </c>
      <c r="C27" s="63" t="s">
        <v>75</v>
      </c>
      <c r="D27" s="63">
        <v>33.9</v>
      </c>
      <c r="E27" s="63">
        <v>39.200000000000003</v>
      </c>
      <c r="F27" s="63">
        <v>25</v>
      </c>
      <c r="G27" s="63">
        <v>28.9</v>
      </c>
    </row>
    <row r="28" spans="1:8" ht="13.8">
      <c r="A28" s="21" t="s">
        <v>46</v>
      </c>
      <c r="B28" s="63">
        <v>15.8</v>
      </c>
      <c r="C28" s="63" t="s">
        <v>75</v>
      </c>
      <c r="D28" s="63">
        <v>37.1</v>
      </c>
      <c r="E28" s="63">
        <v>41.3</v>
      </c>
      <c r="F28" s="63">
        <v>24.8</v>
      </c>
      <c r="G28" s="63">
        <v>30.2</v>
      </c>
    </row>
    <row r="29" spans="1:8" ht="13.8">
      <c r="A29" s="21" t="s">
        <v>47</v>
      </c>
      <c r="B29" s="63">
        <v>16.100000000000001</v>
      </c>
      <c r="C29" s="63" t="s">
        <v>75</v>
      </c>
      <c r="D29" s="63">
        <v>40.1</v>
      </c>
      <c r="E29" s="63">
        <v>42.9</v>
      </c>
      <c r="F29" s="63">
        <v>25.3</v>
      </c>
      <c r="G29" s="63">
        <v>29.7</v>
      </c>
    </row>
    <row r="30" spans="1:8" ht="13.8">
      <c r="A30" s="21" t="s">
        <v>49</v>
      </c>
      <c r="B30" s="63">
        <v>16.399999999999999</v>
      </c>
      <c r="C30" s="63" t="s">
        <v>75</v>
      </c>
      <c r="D30" s="63">
        <v>40.200000000000003</v>
      </c>
      <c r="E30" s="63">
        <v>45.6</v>
      </c>
      <c r="F30" s="63">
        <v>25.2</v>
      </c>
      <c r="G30" s="63">
        <v>23.9</v>
      </c>
    </row>
    <row r="31" spans="1:8" ht="13.8">
      <c r="A31" s="21" t="s">
        <v>50</v>
      </c>
      <c r="B31" s="63">
        <v>15.5</v>
      </c>
      <c r="C31" s="63">
        <v>360</v>
      </c>
      <c r="D31" s="63">
        <v>36.200000000000003</v>
      </c>
      <c r="E31" s="63">
        <v>42.7</v>
      </c>
      <c r="F31" s="63">
        <v>25.3</v>
      </c>
      <c r="G31" s="63">
        <v>24.2</v>
      </c>
    </row>
    <row r="32" spans="1:8" ht="13.8">
      <c r="A32" s="21" t="s">
        <v>51</v>
      </c>
      <c r="B32" s="63">
        <f>15.3</f>
        <v>15.3</v>
      </c>
      <c r="C32" s="63">
        <f>343</f>
        <v>343</v>
      </c>
      <c r="D32" s="63">
        <f>37.8</f>
        <v>37.799999999999997</v>
      </c>
      <c r="E32" s="63">
        <f>40</f>
        <v>40</v>
      </c>
      <c r="F32" s="63">
        <f>25</f>
        <v>25</v>
      </c>
      <c r="G32" s="63">
        <f>20.8</f>
        <v>20.8</v>
      </c>
    </row>
    <row r="33" spans="1:7" ht="13.8">
      <c r="A33" s="21"/>
      <c r="B33" s="63"/>
      <c r="C33" s="63"/>
      <c r="D33" s="63"/>
      <c r="E33" s="63"/>
      <c r="F33" s="63"/>
      <c r="G33" s="63"/>
    </row>
    <row r="34" spans="1:7" ht="13.8">
      <c r="A34" s="133" t="s">
        <v>156</v>
      </c>
      <c r="B34" s="63"/>
      <c r="C34" s="63"/>
      <c r="D34" s="63"/>
      <c r="E34" s="63"/>
      <c r="F34" s="63"/>
      <c r="G34" s="63"/>
    </row>
    <row r="35" spans="1:7" ht="13.8">
      <c r="A35" s="21" t="s">
        <v>37</v>
      </c>
      <c r="B35" s="63">
        <v>14.1</v>
      </c>
      <c r="C35" s="63">
        <v>361</v>
      </c>
      <c r="D35" s="63">
        <v>32.9</v>
      </c>
      <c r="E35" s="63">
        <v>28.1</v>
      </c>
      <c r="F35" s="63">
        <v>25.7</v>
      </c>
      <c r="G35" s="63">
        <v>18.899999999999999</v>
      </c>
    </row>
    <row r="36" spans="1:7" ht="13.8">
      <c r="A36" s="21" t="s">
        <v>38</v>
      </c>
      <c r="B36" s="63">
        <v>13.5</v>
      </c>
      <c r="C36" s="63">
        <v>338</v>
      </c>
      <c r="D36" s="63">
        <v>29.3</v>
      </c>
      <c r="E36" s="63">
        <v>28.1</v>
      </c>
      <c r="F36" s="63">
        <v>26.6</v>
      </c>
      <c r="G36" s="63">
        <v>18.600000000000001</v>
      </c>
    </row>
    <row r="37" spans="1:7" ht="13.8">
      <c r="A37" s="15" t="s">
        <v>39</v>
      </c>
      <c r="B37" s="14">
        <v>14</v>
      </c>
      <c r="C37" s="14">
        <v>323</v>
      </c>
      <c r="D37" s="14">
        <v>28.4</v>
      </c>
      <c r="E37" s="14">
        <v>29.2</v>
      </c>
      <c r="F37" s="14">
        <v>29.9</v>
      </c>
      <c r="G37" s="14">
        <v>19.5</v>
      </c>
    </row>
    <row r="38" spans="1:7" ht="16.2">
      <c r="A38" s="17" t="s">
        <v>120</v>
      </c>
      <c r="B38" s="17"/>
      <c r="C38" s="17"/>
      <c r="D38" s="17"/>
      <c r="E38" s="17"/>
      <c r="F38" s="17"/>
      <c r="G38" s="17"/>
    </row>
    <row r="39" spans="1:7" ht="14.4">
      <c r="A39" s="17" t="s">
        <v>121</v>
      </c>
      <c r="B39" s="17"/>
      <c r="C39" s="17"/>
      <c r="D39" s="17"/>
      <c r="E39" s="17"/>
      <c r="F39" s="17"/>
      <c r="G39" s="17"/>
    </row>
    <row r="40" spans="1:7" ht="13.8">
      <c r="A40" s="23" t="s">
        <v>56</v>
      </c>
      <c r="B40" s="46">
        <f>Contents!A16</f>
        <v>44578</v>
      </c>
      <c r="C40" s="17"/>
      <c r="D40" s="17"/>
      <c r="E40" s="17"/>
      <c r="F40" s="17"/>
      <c r="G40" s="17"/>
    </row>
  </sheetData>
  <phoneticPr fontId="23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1"/>
  <sheetViews>
    <sheetView showGridLines="0" zoomScale="70" zoomScaleNormal="70" workbookViewId="0">
      <selection activeCell="D6" sqref="D6"/>
    </sheetView>
  </sheetViews>
  <sheetFormatPr defaultColWidth="9.109375" defaultRowHeight="13.2"/>
  <cols>
    <col min="1" max="2" width="11.6640625" style="16" customWidth="1"/>
    <col min="3" max="3" width="11.5546875" style="16" customWidth="1"/>
    <col min="4" max="4" width="13.6640625" style="16" customWidth="1"/>
    <col min="5" max="5" width="11.6640625" style="16" customWidth="1"/>
    <col min="6" max="6" width="11.5546875" style="16" bestFit="1" customWidth="1"/>
    <col min="7" max="7" width="10.6640625" style="16" customWidth="1"/>
    <col min="8" max="8" width="12" style="16" customWidth="1"/>
    <col min="9" max="9" width="13.44140625" style="16" customWidth="1"/>
    <col min="10" max="16384" width="9.109375" style="16"/>
  </cols>
  <sheetData>
    <row r="1" spans="1:12" ht="13.8">
      <c r="A1" s="15" t="s">
        <v>9</v>
      </c>
      <c r="B1" s="15"/>
      <c r="C1" s="15"/>
      <c r="D1" s="15"/>
      <c r="E1" s="15"/>
      <c r="F1" s="15"/>
      <c r="G1" s="15"/>
      <c r="H1" s="15"/>
      <c r="I1" s="17"/>
    </row>
    <row r="2" spans="1:12" ht="15.6" customHeight="1">
      <c r="A2" s="70" t="s">
        <v>96</v>
      </c>
      <c r="B2" s="38" t="s">
        <v>122</v>
      </c>
      <c r="C2" s="38" t="s">
        <v>123</v>
      </c>
      <c r="D2" s="38" t="s">
        <v>124</v>
      </c>
      <c r="E2" s="71" t="s">
        <v>125</v>
      </c>
      <c r="F2" s="71" t="s">
        <v>126</v>
      </c>
      <c r="G2" s="38" t="s">
        <v>127</v>
      </c>
      <c r="H2" s="38" t="s">
        <v>128</v>
      </c>
      <c r="I2" s="72" t="s">
        <v>129</v>
      </c>
    </row>
    <row r="3" spans="1:12" ht="15.6" customHeight="1">
      <c r="A3" s="73" t="s">
        <v>103</v>
      </c>
      <c r="B3" s="26" t="s">
        <v>130</v>
      </c>
      <c r="C3" s="26" t="s">
        <v>131</v>
      </c>
      <c r="D3" s="26" t="s">
        <v>132</v>
      </c>
      <c r="E3" s="26" t="s">
        <v>132</v>
      </c>
      <c r="F3" s="26" t="s">
        <v>133</v>
      </c>
      <c r="G3" s="26" t="s">
        <v>134</v>
      </c>
      <c r="H3" s="26"/>
      <c r="I3" s="26" t="s">
        <v>135</v>
      </c>
    </row>
    <row r="4" spans="1:12" ht="14.4">
      <c r="A4" s="74" t="s">
        <v>136</v>
      </c>
      <c r="C4" s="75"/>
      <c r="D4" s="75"/>
      <c r="E4" s="75"/>
      <c r="F4" s="75"/>
      <c r="G4" s="75"/>
      <c r="H4" s="75"/>
      <c r="I4" s="75"/>
    </row>
    <row r="5" spans="1:12" ht="13.8">
      <c r="A5" s="17"/>
      <c r="B5" s="17"/>
      <c r="C5" s="17"/>
      <c r="D5" s="17"/>
      <c r="E5" s="17"/>
      <c r="F5" s="17"/>
      <c r="G5" s="17"/>
      <c r="H5" s="17"/>
      <c r="I5" s="17"/>
    </row>
    <row r="6" spans="1:12" ht="13.8">
      <c r="A6" s="17" t="s">
        <v>108</v>
      </c>
      <c r="B6" s="63">
        <v>53.2</v>
      </c>
      <c r="C6" s="63">
        <v>54.5</v>
      </c>
      <c r="D6" s="63">
        <v>86.12</v>
      </c>
      <c r="E6" s="63">
        <v>58.68</v>
      </c>
      <c r="F6" s="63">
        <v>77.239999999999995</v>
      </c>
      <c r="G6" s="63">
        <v>60.76</v>
      </c>
      <c r="H6" s="63">
        <v>51.52</v>
      </c>
      <c r="I6" s="63">
        <v>51.34</v>
      </c>
      <c r="K6" s="80"/>
      <c r="L6" s="80"/>
    </row>
    <row r="7" spans="1:12" ht="13.8">
      <c r="A7" s="17" t="s">
        <v>109</v>
      </c>
      <c r="B7" s="63">
        <v>51.9</v>
      </c>
      <c r="C7" s="63">
        <v>53.22</v>
      </c>
      <c r="D7" s="63">
        <v>83.2</v>
      </c>
      <c r="E7" s="63">
        <v>57.19</v>
      </c>
      <c r="F7" s="63">
        <v>100.15</v>
      </c>
      <c r="G7" s="63">
        <v>56.09</v>
      </c>
      <c r="H7" s="63">
        <v>48.11</v>
      </c>
      <c r="I7" s="63">
        <v>50.33</v>
      </c>
      <c r="K7" s="80"/>
      <c r="L7" s="80"/>
    </row>
    <row r="8" spans="1:12" ht="13.8">
      <c r="A8" s="17" t="s">
        <v>110</v>
      </c>
      <c r="B8" s="63">
        <v>47.13</v>
      </c>
      <c r="C8" s="63">
        <v>48.6</v>
      </c>
      <c r="D8" s="63">
        <v>65.87</v>
      </c>
      <c r="E8" s="63">
        <v>56.17</v>
      </c>
      <c r="F8" s="63">
        <v>91.83</v>
      </c>
      <c r="G8" s="63">
        <v>46.66</v>
      </c>
      <c r="H8" s="63">
        <v>51.8</v>
      </c>
      <c r="I8" s="63">
        <v>43.24</v>
      </c>
      <c r="K8" s="80"/>
      <c r="L8" s="80"/>
    </row>
    <row r="9" spans="1:12" ht="13.8">
      <c r="A9" s="17" t="s">
        <v>111</v>
      </c>
      <c r="B9" s="63">
        <v>38.229999999999997</v>
      </c>
      <c r="C9" s="63">
        <v>60.66</v>
      </c>
      <c r="D9" s="63">
        <v>59.12</v>
      </c>
      <c r="E9" s="63">
        <v>43.7</v>
      </c>
      <c r="F9" s="63">
        <v>68.23</v>
      </c>
      <c r="G9" s="63">
        <v>39.43</v>
      </c>
      <c r="H9" s="63">
        <v>43.93</v>
      </c>
      <c r="I9" s="63">
        <v>39.76</v>
      </c>
      <c r="K9" s="80"/>
      <c r="L9" s="80"/>
    </row>
    <row r="10" spans="1:12" ht="13.8">
      <c r="A10" s="17" t="s">
        <v>112</v>
      </c>
      <c r="B10" s="63">
        <v>31.6</v>
      </c>
      <c r="C10" s="63">
        <v>45.74</v>
      </c>
      <c r="D10" s="63">
        <v>66.72</v>
      </c>
      <c r="E10" s="63">
        <v>37.81</v>
      </c>
      <c r="F10" s="63">
        <v>57.96</v>
      </c>
      <c r="G10" s="63">
        <v>37.479999999999997</v>
      </c>
      <c r="H10" s="63">
        <v>33.43</v>
      </c>
      <c r="I10" s="63">
        <v>31.36</v>
      </c>
      <c r="K10" s="80"/>
      <c r="L10" s="80"/>
    </row>
    <row r="11" spans="1:12" ht="13.8">
      <c r="A11" s="17" t="s">
        <v>113</v>
      </c>
      <c r="B11" s="63">
        <v>29.86</v>
      </c>
      <c r="C11" s="63">
        <v>45.87</v>
      </c>
      <c r="D11" s="63">
        <v>57.81</v>
      </c>
      <c r="E11" s="63">
        <v>35.270000000000003</v>
      </c>
      <c r="F11" s="63">
        <v>58.26</v>
      </c>
      <c r="G11" s="63">
        <v>39.25</v>
      </c>
      <c r="H11" s="63">
        <v>32.229999999999997</v>
      </c>
      <c r="I11" s="63">
        <v>30.07</v>
      </c>
      <c r="K11" s="80"/>
      <c r="L11" s="80"/>
    </row>
    <row r="12" spans="1:12" ht="13.8">
      <c r="A12" s="17" t="s">
        <v>114</v>
      </c>
      <c r="B12" s="63">
        <v>32.549999999999997</v>
      </c>
      <c r="C12" s="63">
        <v>40.92</v>
      </c>
      <c r="D12" s="63">
        <v>53.54</v>
      </c>
      <c r="E12" s="63">
        <v>38.729999999999997</v>
      </c>
      <c r="F12" s="63">
        <v>66.73</v>
      </c>
      <c r="G12" s="63">
        <v>37.43</v>
      </c>
      <c r="H12" s="63">
        <v>33.07</v>
      </c>
      <c r="I12" s="63">
        <v>34.75</v>
      </c>
      <c r="K12" s="80"/>
      <c r="L12" s="80"/>
    </row>
    <row r="13" spans="1:12" ht="13.8">
      <c r="A13" s="17" t="s">
        <v>115</v>
      </c>
      <c r="B13" s="63">
        <v>30.04</v>
      </c>
      <c r="C13" s="63">
        <v>31.87</v>
      </c>
      <c r="D13" s="63">
        <v>54.57</v>
      </c>
      <c r="E13" s="63">
        <v>38.270000000000003</v>
      </c>
      <c r="F13" s="63">
        <v>66.72</v>
      </c>
      <c r="G13" s="63">
        <v>30.35</v>
      </c>
      <c r="H13" s="63">
        <v>34.159999999999997</v>
      </c>
      <c r="I13" s="63">
        <v>31.21</v>
      </c>
      <c r="K13" s="80"/>
      <c r="L13" s="80"/>
    </row>
    <row r="14" spans="1:12" ht="13.8">
      <c r="A14" s="17" t="s">
        <v>116</v>
      </c>
      <c r="B14" s="63">
        <v>28.26</v>
      </c>
      <c r="C14" s="63">
        <v>35.14</v>
      </c>
      <c r="D14" s="63">
        <v>53.28</v>
      </c>
      <c r="E14" s="63">
        <v>36.090000000000003</v>
      </c>
      <c r="F14" s="63">
        <v>64.72</v>
      </c>
      <c r="G14" s="63">
        <v>26.93</v>
      </c>
      <c r="H14" s="63">
        <v>31.65</v>
      </c>
      <c r="I14" s="63">
        <v>33.11</v>
      </c>
      <c r="K14" s="80"/>
      <c r="L14" s="80"/>
    </row>
    <row r="15" spans="1:12" ht="13.8">
      <c r="A15" s="17" t="s">
        <v>117</v>
      </c>
      <c r="B15" s="63">
        <v>29.65</v>
      </c>
      <c r="C15" s="63">
        <v>40.18</v>
      </c>
      <c r="D15" s="63">
        <v>65.03</v>
      </c>
      <c r="E15" s="63">
        <v>37.869999999999997</v>
      </c>
      <c r="F15" s="63">
        <v>62</v>
      </c>
      <c r="G15" s="63">
        <v>39.47</v>
      </c>
      <c r="H15" s="63">
        <v>35.75</v>
      </c>
      <c r="I15" s="63">
        <v>38.369999999999997</v>
      </c>
      <c r="K15" s="80"/>
      <c r="L15" s="80"/>
    </row>
    <row r="16" spans="1:12" ht="13.8">
      <c r="A16" s="17" t="s">
        <v>34</v>
      </c>
      <c r="B16" s="63">
        <v>56.87</v>
      </c>
      <c r="C16" s="63">
        <v>80.94</v>
      </c>
      <c r="D16" s="63">
        <v>79</v>
      </c>
      <c r="E16" s="63">
        <v>70.459999999999994</v>
      </c>
      <c r="F16" s="63">
        <v>101.4</v>
      </c>
      <c r="G16" s="63">
        <v>53.88</v>
      </c>
      <c r="H16" s="63">
        <v>55.89</v>
      </c>
      <c r="I16" s="63">
        <v>54.98</v>
      </c>
      <c r="K16" s="80"/>
      <c r="L16" s="80"/>
    </row>
    <row r="17" spans="1:12" ht="16.2">
      <c r="A17" s="17" t="s">
        <v>137</v>
      </c>
      <c r="B17" s="63">
        <v>72.98</v>
      </c>
      <c r="C17" s="63">
        <v>107.15</v>
      </c>
      <c r="D17" s="63">
        <v>111.39</v>
      </c>
      <c r="E17" s="63">
        <v>90.52</v>
      </c>
      <c r="F17" s="63">
        <v>106.98</v>
      </c>
      <c r="G17" s="63">
        <v>64.28</v>
      </c>
      <c r="H17" s="63">
        <v>82</v>
      </c>
      <c r="I17" s="63">
        <v>81.84</v>
      </c>
      <c r="J17" s="118"/>
      <c r="K17" s="80"/>
      <c r="L17" s="80"/>
    </row>
    <row r="18" spans="1:12" ht="16.2">
      <c r="A18" s="17" t="s">
        <v>138</v>
      </c>
      <c r="B18" s="63">
        <v>68</v>
      </c>
      <c r="C18" s="63">
        <v>110</v>
      </c>
      <c r="D18" s="63">
        <v>99</v>
      </c>
      <c r="E18" s="63">
        <v>79</v>
      </c>
      <c r="F18" s="63">
        <v>103</v>
      </c>
      <c r="G18" s="63">
        <v>64</v>
      </c>
      <c r="H18" s="63">
        <v>84</v>
      </c>
      <c r="I18" s="63">
        <v>85</v>
      </c>
      <c r="J18" s="118"/>
      <c r="K18" s="80"/>
      <c r="L18" s="80"/>
    </row>
    <row r="19" spans="1:12" ht="13.8">
      <c r="A19" s="17"/>
      <c r="B19" s="76"/>
      <c r="C19" s="76"/>
      <c r="D19" s="76"/>
      <c r="E19" s="76"/>
      <c r="F19" s="76"/>
      <c r="G19" s="76"/>
      <c r="H19" s="76"/>
      <c r="I19" s="76"/>
    </row>
    <row r="20" spans="1:12" ht="13.8">
      <c r="A20" s="51" t="s">
        <v>53</v>
      </c>
      <c r="B20" s="63"/>
      <c r="C20" s="63"/>
      <c r="D20" s="63"/>
      <c r="E20" s="63"/>
      <c r="F20" s="63"/>
      <c r="G20" s="63"/>
      <c r="H20" s="63"/>
      <c r="I20" s="63"/>
      <c r="L20" s="118"/>
    </row>
    <row r="21" spans="1:12" ht="13.8">
      <c r="A21" s="21" t="s">
        <v>38</v>
      </c>
      <c r="B21" s="63">
        <v>70.42</v>
      </c>
      <c r="C21" s="63">
        <v>98.5</v>
      </c>
      <c r="D21" s="63">
        <v>129</v>
      </c>
      <c r="E21" s="63">
        <v>82.3</v>
      </c>
      <c r="F21" s="63">
        <v>101.5</v>
      </c>
      <c r="G21" s="63">
        <v>57.069999999999993</v>
      </c>
      <c r="H21" s="63" t="s">
        <v>75</v>
      </c>
      <c r="I21" s="63" t="s">
        <v>75</v>
      </c>
      <c r="K21" s="121"/>
      <c r="L21" s="120"/>
    </row>
    <row r="22" spans="1:12" ht="13.8">
      <c r="A22" s="21" t="s">
        <v>39</v>
      </c>
      <c r="B22" s="63">
        <v>66.459999999999994</v>
      </c>
      <c r="C22" s="63">
        <v>96.75</v>
      </c>
      <c r="D22" s="63">
        <v>125</v>
      </c>
      <c r="E22" s="63">
        <v>84.375</v>
      </c>
      <c r="F22" s="63">
        <v>100</v>
      </c>
      <c r="G22" s="63">
        <v>57.918000000000006</v>
      </c>
      <c r="H22" s="63" t="s">
        <v>75</v>
      </c>
      <c r="I22" s="63">
        <v>80.06</v>
      </c>
      <c r="K22" s="121"/>
      <c r="L22" s="121"/>
    </row>
    <row r="23" spans="1:12" ht="13.8">
      <c r="A23" s="21" t="s">
        <v>41</v>
      </c>
      <c r="B23" s="63">
        <v>63.69</v>
      </c>
      <c r="C23" s="63">
        <v>93.3</v>
      </c>
      <c r="D23" s="63">
        <v>125</v>
      </c>
      <c r="E23" s="63">
        <v>82.95</v>
      </c>
      <c r="F23" s="63">
        <v>100</v>
      </c>
      <c r="G23" s="63">
        <v>56.093333333333334</v>
      </c>
      <c r="H23" s="63" t="s">
        <v>75</v>
      </c>
      <c r="I23" s="63">
        <v>73</v>
      </c>
      <c r="K23" s="121"/>
      <c r="L23" s="121"/>
    </row>
    <row r="24" spans="1:12" ht="13.8">
      <c r="A24" s="21" t="s">
        <v>42</v>
      </c>
      <c r="B24" s="63">
        <v>65.7</v>
      </c>
      <c r="C24" s="63">
        <v>97.9375</v>
      </c>
      <c r="D24" s="63">
        <v>123.125</v>
      </c>
      <c r="E24" s="63">
        <v>88.5625</v>
      </c>
      <c r="F24" s="63">
        <v>103.125</v>
      </c>
      <c r="G24" s="63">
        <v>54.09</v>
      </c>
      <c r="H24" s="63" t="s">
        <v>75</v>
      </c>
      <c r="I24" s="63">
        <v>76.5</v>
      </c>
      <c r="K24" s="123"/>
    </row>
    <row r="25" spans="1:12" ht="13.8">
      <c r="A25" s="21" t="s">
        <v>43</v>
      </c>
      <c r="B25" s="63">
        <v>70.91</v>
      </c>
      <c r="C25" s="63">
        <v>101.375</v>
      </c>
      <c r="D25" s="63">
        <v>115.33333333333333</v>
      </c>
      <c r="E25" s="63">
        <v>85.875</v>
      </c>
      <c r="F25" s="63">
        <v>105</v>
      </c>
      <c r="G25" s="63">
        <v>59.29</v>
      </c>
      <c r="H25" s="63">
        <v>82</v>
      </c>
      <c r="I25" s="63">
        <v>80</v>
      </c>
    </row>
    <row r="26" spans="1:12" ht="13.8">
      <c r="A26" s="21" t="s">
        <v>45</v>
      </c>
      <c r="B26" s="63">
        <v>76.405000000000001</v>
      </c>
      <c r="C26" s="63">
        <v>114.875</v>
      </c>
      <c r="D26" s="63">
        <v>129</v>
      </c>
      <c r="E26" s="63">
        <v>92</v>
      </c>
      <c r="F26" s="63">
        <v>107.5</v>
      </c>
      <c r="G26" s="63">
        <v>67.1875</v>
      </c>
      <c r="H26" s="63" t="s">
        <v>75</v>
      </c>
      <c r="I26" s="63">
        <v>81.5</v>
      </c>
    </row>
    <row r="27" spans="1:12" ht="13.8">
      <c r="A27" s="21" t="s">
        <v>46</v>
      </c>
      <c r="B27" s="63">
        <v>83.846000000000004</v>
      </c>
      <c r="C27" s="63">
        <v>120.05</v>
      </c>
      <c r="D27" s="63">
        <v>120.4</v>
      </c>
      <c r="E27" s="63">
        <v>103.15</v>
      </c>
      <c r="F27" s="63">
        <v>115</v>
      </c>
      <c r="G27" s="63">
        <v>71.55</v>
      </c>
      <c r="H27" s="63" t="s">
        <v>75</v>
      </c>
      <c r="I27" s="63">
        <v>83.125</v>
      </c>
    </row>
    <row r="28" spans="1:12" ht="13.8">
      <c r="A28" s="21" t="s">
        <v>47</v>
      </c>
      <c r="B28" s="63">
        <v>87.385000000000005</v>
      </c>
      <c r="C28" s="63">
        <v>119.5625</v>
      </c>
      <c r="D28" s="63">
        <v>113.5</v>
      </c>
      <c r="E28" s="63">
        <v>108.6875</v>
      </c>
      <c r="F28" s="63">
        <v>116.25</v>
      </c>
      <c r="G28" s="63">
        <v>77.802499999999995</v>
      </c>
      <c r="H28" s="63" t="s">
        <v>75</v>
      </c>
      <c r="I28" s="63">
        <v>84.25</v>
      </c>
    </row>
    <row r="29" spans="1:12" ht="13.8">
      <c r="A29" s="21" t="s">
        <v>49</v>
      </c>
      <c r="B29" s="63">
        <v>80.297499999999999</v>
      </c>
      <c r="C29" s="63">
        <v>115.75</v>
      </c>
      <c r="D29" s="63">
        <v>97.75</v>
      </c>
      <c r="E29" s="63">
        <v>102.25</v>
      </c>
      <c r="F29" s="63">
        <v>116.25</v>
      </c>
      <c r="G29" s="63">
        <v>76.375</v>
      </c>
      <c r="H29" s="63" t="s">
        <v>75</v>
      </c>
      <c r="I29" s="63">
        <v>86.5</v>
      </c>
    </row>
    <row r="30" spans="1:12" ht="13.8">
      <c r="A30" s="21" t="s">
        <v>50</v>
      </c>
      <c r="B30" s="63">
        <v>67.74799999999999</v>
      </c>
      <c r="C30" s="63">
        <v>100.8</v>
      </c>
      <c r="D30" s="63">
        <v>78.2</v>
      </c>
      <c r="E30" s="63">
        <v>87.9</v>
      </c>
      <c r="F30" s="63">
        <v>103.2</v>
      </c>
      <c r="G30" s="63">
        <v>62.25</v>
      </c>
      <c r="H30" s="63" t="s">
        <v>75</v>
      </c>
      <c r="I30" s="63">
        <v>81.5</v>
      </c>
    </row>
    <row r="31" spans="1:12" ht="13.8">
      <c r="A31" s="21" t="s">
        <v>51</v>
      </c>
      <c r="B31" s="63">
        <v>72.334999999999994</v>
      </c>
      <c r="C31" s="63">
        <v>113.75</v>
      </c>
      <c r="D31" s="63">
        <v>92</v>
      </c>
      <c r="E31" s="63">
        <v>91.3125</v>
      </c>
      <c r="F31" s="63">
        <v>107.25</v>
      </c>
      <c r="G31" s="63">
        <v>65.4375</v>
      </c>
      <c r="H31" s="63" t="s">
        <v>75</v>
      </c>
      <c r="I31" s="63" t="s">
        <v>75</v>
      </c>
    </row>
    <row r="32" spans="1:12" ht="13.8">
      <c r="A32" s="21" t="s">
        <v>37</v>
      </c>
      <c r="B32" s="63">
        <v>70.626000000000005</v>
      </c>
      <c r="C32" s="63">
        <v>113.2</v>
      </c>
      <c r="D32" s="63">
        <v>88.4</v>
      </c>
      <c r="E32" s="63">
        <v>76.849999999999994</v>
      </c>
      <c r="F32" s="63">
        <v>111.6</v>
      </c>
      <c r="G32" s="63">
        <v>66.263999999999996</v>
      </c>
      <c r="H32" s="63" t="s">
        <v>75</v>
      </c>
      <c r="I32" s="63">
        <v>92</v>
      </c>
      <c r="K32" s="80"/>
      <c r="L32" s="80"/>
    </row>
    <row r="33" spans="1:12" ht="13.8">
      <c r="A33" s="21"/>
      <c r="B33" s="63"/>
      <c r="C33" s="63"/>
      <c r="D33" s="63"/>
      <c r="E33" s="63"/>
      <c r="F33" s="63"/>
      <c r="G33" s="63"/>
      <c r="H33" s="63"/>
      <c r="I33" s="63"/>
      <c r="K33" s="80"/>
      <c r="L33" s="80"/>
    </row>
    <row r="34" spans="1:12" ht="13.8">
      <c r="A34" s="51" t="s">
        <v>156</v>
      </c>
      <c r="B34" s="63"/>
      <c r="C34" s="63"/>
      <c r="D34" s="63"/>
      <c r="E34" s="63"/>
      <c r="F34" s="63"/>
      <c r="G34" s="63"/>
      <c r="H34" s="63"/>
      <c r="I34" s="63"/>
      <c r="K34" s="80"/>
      <c r="L34" s="80"/>
    </row>
    <row r="35" spans="1:12" ht="13.8">
      <c r="A35" s="21" t="s">
        <v>38</v>
      </c>
      <c r="B35" s="63">
        <v>72.67</v>
      </c>
      <c r="C35" s="63">
        <v>110.1875</v>
      </c>
      <c r="D35" s="63">
        <v>93.75</v>
      </c>
      <c r="E35" s="63">
        <v>80.125</v>
      </c>
      <c r="F35" s="63">
        <v>107.75</v>
      </c>
      <c r="G35" s="63">
        <v>65.412499999999994</v>
      </c>
      <c r="H35" s="63">
        <v>88</v>
      </c>
      <c r="I35" s="63">
        <v>88.5</v>
      </c>
      <c r="K35" s="80"/>
      <c r="L35" s="80"/>
    </row>
    <row r="36" spans="1:12" ht="13.8">
      <c r="A36" s="21" t="s">
        <v>39</v>
      </c>
      <c r="B36" s="63">
        <v>79.180000000000007</v>
      </c>
      <c r="C36" s="63">
        <v>116.6875</v>
      </c>
      <c r="D36" s="63">
        <v>106</v>
      </c>
      <c r="E36" s="63">
        <v>84.375</v>
      </c>
      <c r="F36" s="63">
        <v>111</v>
      </c>
      <c r="G36" s="63">
        <v>69.67</v>
      </c>
      <c r="H36" s="63" t="s">
        <v>75</v>
      </c>
      <c r="I36" s="63">
        <v>88.5</v>
      </c>
      <c r="K36" s="80"/>
      <c r="L36" s="80"/>
    </row>
    <row r="37" spans="1:12" ht="13.8">
      <c r="A37" s="15" t="s">
        <v>41</v>
      </c>
      <c r="B37" s="14">
        <v>68.14</v>
      </c>
      <c r="C37" s="14">
        <v>105.1</v>
      </c>
      <c r="D37" s="14">
        <v>92.3</v>
      </c>
      <c r="E37" s="14">
        <v>74.05</v>
      </c>
      <c r="F37" s="14">
        <v>101</v>
      </c>
      <c r="G37" s="14">
        <v>60</v>
      </c>
      <c r="H37" s="14" t="s">
        <v>75</v>
      </c>
      <c r="I37" s="14">
        <v>84</v>
      </c>
      <c r="K37" s="80"/>
      <c r="L37" s="80"/>
    </row>
    <row r="38" spans="1:12" ht="16.2">
      <c r="A38" s="54" t="s">
        <v>139</v>
      </c>
      <c r="B38" s="78"/>
      <c r="C38" s="78"/>
      <c r="D38" s="78"/>
      <c r="E38" s="78"/>
      <c r="F38" s="78"/>
      <c r="G38" s="78"/>
      <c r="H38" s="78"/>
      <c r="I38" s="78"/>
    </row>
    <row r="39" spans="1:12" ht="16.2">
      <c r="A39" s="17" t="s">
        <v>140</v>
      </c>
      <c r="B39" s="78"/>
      <c r="C39" s="78"/>
      <c r="D39" s="78"/>
      <c r="E39" s="78"/>
      <c r="F39" s="78"/>
      <c r="G39" s="78"/>
      <c r="H39" s="78"/>
      <c r="I39" s="78"/>
    </row>
    <row r="40" spans="1:12" ht="14.4">
      <c r="A40" s="17" t="s">
        <v>141</v>
      </c>
      <c r="B40" s="17"/>
      <c r="C40" s="17"/>
      <c r="D40" s="17"/>
      <c r="E40" s="17"/>
      <c r="F40" s="78"/>
      <c r="G40" s="17"/>
      <c r="H40" s="17"/>
      <c r="I40" s="17"/>
    </row>
    <row r="41" spans="1:12" ht="13.8">
      <c r="A41" s="23" t="s">
        <v>56</v>
      </c>
      <c r="B41" s="46">
        <f>Contents!A16</f>
        <v>44578</v>
      </c>
      <c r="C41" s="17"/>
      <c r="D41" s="17"/>
      <c r="E41" s="17"/>
      <c r="F41" s="17"/>
      <c r="G41" s="17"/>
      <c r="H41" s="17"/>
      <c r="I41" s="17"/>
    </row>
    <row r="42" spans="1:12" ht="15.6">
      <c r="C42" s="79"/>
      <c r="G42" s="79"/>
      <c r="H42" s="79"/>
      <c r="I42" s="79"/>
    </row>
    <row r="43" spans="1:12" ht="15.6">
      <c r="B43" s="80"/>
      <c r="C43" s="80"/>
      <c r="D43" s="80"/>
      <c r="E43" s="80"/>
      <c r="F43" s="80"/>
      <c r="G43" s="80"/>
      <c r="H43" s="79"/>
      <c r="I43" s="79"/>
    </row>
    <row r="44" spans="1:12" ht="15.6">
      <c r="B44" s="122"/>
      <c r="C44" s="122"/>
      <c r="D44" s="122"/>
      <c r="E44" s="122"/>
      <c r="F44" s="122"/>
      <c r="G44" s="122"/>
      <c r="H44" s="79"/>
      <c r="I44" s="79"/>
    </row>
    <row r="45" spans="1:12" ht="15.6">
      <c r="C45" s="79"/>
      <c r="G45" s="79"/>
      <c r="H45" s="79"/>
      <c r="I45" s="79"/>
    </row>
    <row r="46" spans="1:12" ht="15.6">
      <c r="C46" s="79"/>
      <c r="G46" s="79"/>
      <c r="H46" s="79"/>
      <c r="I46" s="79"/>
    </row>
    <row r="47" spans="1:12" ht="15.6">
      <c r="C47" s="79"/>
      <c r="G47" s="79"/>
      <c r="H47" s="79"/>
      <c r="I47" s="79"/>
    </row>
    <row r="48" spans="1:12" ht="15.6">
      <c r="C48" s="79"/>
      <c r="G48" s="79"/>
      <c r="H48" s="79"/>
      <c r="I48" s="79"/>
    </row>
    <row r="49" spans="3:9" ht="15.6">
      <c r="C49" s="79"/>
      <c r="G49" s="79"/>
      <c r="H49" s="79"/>
      <c r="I49" s="79"/>
    </row>
    <row r="50" spans="3:9" ht="15.6">
      <c r="C50" s="79"/>
      <c r="G50" s="79"/>
      <c r="H50" s="79"/>
      <c r="I50" s="79"/>
    </row>
    <row r="51" spans="3:9" ht="15.6">
      <c r="C51" s="79"/>
      <c r="G51" s="79"/>
      <c r="H51" s="79"/>
      <c r="I51" s="79"/>
    </row>
    <row r="52" spans="3:9" ht="15.6">
      <c r="C52" s="79"/>
      <c r="G52" s="79"/>
      <c r="H52" s="79"/>
      <c r="I52" s="79"/>
    </row>
    <row r="53" spans="3:9" ht="15.6">
      <c r="C53" s="79"/>
      <c r="G53" s="79"/>
      <c r="H53" s="79"/>
      <c r="I53" s="79"/>
    </row>
    <row r="54" spans="3:9" ht="15.6">
      <c r="C54" s="79"/>
      <c r="G54" s="79"/>
      <c r="H54" s="79"/>
      <c r="I54" s="79"/>
    </row>
    <row r="55" spans="3:9" ht="15.6">
      <c r="C55" s="79"/>
      <c r="G55" s="79"/>
      <c r="H55" s="79"/>
      <c r="I55" s="79"/>
    </row>
    <row r="56" spans="3:9" ht="15.6">
      <c r="C56" s="79"/>
      <c r="G56" s="79"/>
      <c r="H56" s="79"/>
      <c r="I56" s="79"/>
    </row>
    <row r="57" spans="3:9" ht="15.6">
      <c r="C57" s="79"/>
      <c r="G57" s="79"/>
      <c r="H57" s="79"/>
      <c r="I57" s="79"/>
    </row>
    <row r="58" spans="3:9" ht="15.6">
      <c r="C58" s="79"/>
      <c r="H58" s="79"/>
      <c r="I58" s="79"/>
    </row>
    <row r="59" spans="3:9" ht="15.6">
      <c r="C59" s="79"/>
      <c r="H59" s="79"/>
      <c r="I59" s="79"/>
    </row>
    <row r="60" spans="3:9" ht="15.6">
      <c r="C60" s="79"/>
      <c r="F60" s="80"/>
      <c r="H60" s="79"/>
      <c r="I60" s="79"/>
    </row>
    <row r="61" spans="3:9" ht="15.6">
      <c r="F61" s="80"/>
      <c r="H61" s="79"/>
      <c r="I61" s="79"/>
    </row>
  </sheetData>
  <phoneticPr fontId="23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1"/>
  <sheetViews>
    <sheetView showGridLines="0" zoomScale="70" zoomScaleNormal="70" workbookViewId="0">
      <selection activeCell="D11" sqref="D11"/>
    </sheetView>
  </sheetViews>
  <sheetFormatPr defaultColWidth="9.109375" defaultRowHeight="13.2"/>
  <cols>
    <col min="1" max="1" width="11.6640625" style="16" customWidth="1"/>
    <col min="2" max="7" width="13.6640625" style="16" customWidth="1"/>
    <col min="8" max="8" width="10.109375" style="16" bestFit="1" customWidth="1"/>
    <col min="9" max="10" width="9.109375" style="16"/>
    <col min="11" max="11" width="8.88671875" style="16" customWidth="1"/>
    <col min="12" max="12" width="18" style="16" bestFit="1" customWidth="1"/>
    <col min="13" max="16384" width="9.109375" style="16"/>
  </cols>
  <sheetData>
    <row r="1" spans="1:28" ht="13.8">
      <c r="A1" s="15" t="s">
        <v>10</v>
      </c>
      <c r="B1" s="15"/>
      <c r="C1" s="15"/>
      <c r="D1" s="15"/>
      <c r="E1" s="15"/>
      <c r="F1" s="15"/>
      <c r="G1" s="15"/>
    </row>
    <row r="2" spans="1:28" ht="15.6" customHeight="1">
      <c r="A2" s="21" t="s">
        <v>96</v>
      </c>
      <c r="B2" s="38" t="s">
        <v>122</v>
      </c>
      <c r="C2" s="81" t="s">
        <v>123</v>
      </c>
      <c r="D2" s="81" t="s">
        <v>124</v>
      </c>
      <c r="E2" s="81" t="s">
        <v>126</v>
      </c>
      <c r="F2" s="38" t="s">
        <v>142</v>
      </c>
      <c r="G2" s="19" t="s">
        <v>143</v>
      </c>
      <c r="AB2" s="82"/>
    </row>
    <row r="3" spans="1:28" ht="15.6" customHeight="1">
      <c r="A3" s="15" t="s">
        <v>103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148</v>
      </c>
      <c r="G3" s="26" t="s">
        <v>149</v>
      </c>
      <c r="AB3" s="82"/>
    </row>
    <row r="4" spans="1:28" ht="14.4">
      <c r="A4" s="74" t="s">
        <v>150</v>
      </c>
      <c r="C4" s="75"/>
      <c r="D4" s="75"/>
      <c r="E4" s="75"/>
      <c r="F4" s="75"/>
      <c r="G4" s="75"/>
      <c r="AB4" s="82"/>
    </row>
    <row r="5" spans="1:28" ht="13.8">
      <c r="A5" s="17"/>
      <c r="B5" s="17"/>
      <c r="C5" s="17"/>
      <c r="D5" s="17"/>
      <c r="E5" s="17"/>
      <c r="F5" s="17"/>
      <c r="G5" s="17"/>
      <c r="AB5" s="82"/>
    </row>
    <row r="6" spans="1:28" ht="13.8">
      <c r="A6" s="17" t="s">
        <v>108</v>
      </c>
      <c r="B6" s="77">
        <v>345.52</v>
      </c>
      <c r="C6" s="77">
        <v>273.83999999999997</v>
      </c>
      <c r="D6" s="77">
        <v>219.72</v>
      </c>
      <c r="E6" s="83" t="s">
        <v>75</v>
      </c>
      <c r="F6" s="77">
        <v>263.63</v>
      </c>
      <c r="G6" s="77">
        <v>240.65</v>
      </c>
      <c r="AB6" s="82"/>
    </row>
    <row r="7" spans="1:28" ht="13.8">
      <c r="A7" s="17" t="s">
        <v>109</v>
      </c>
      <c r="B7" s="77">
        <v>393.53</v>
      </c>
      <c r="C7" s="77">
        <v>275.13</v>
      </c>
      <c r="D7" s="77">
        <v>246.75</v>
      </c>
      <c r="E7" s="83" t="s">
        <v>75</v>
      </c>
      <c r="F7" s="77">
        <v>307.58999999999997</v>
      </c>
      <c r="G7" s="77">
        <v>265.68</v>
      </c>
      <c r="AB7" s="82"/>
    </row>
    <row r="8" spans="1:28" ht="13.8">
      <c r="A8" s="17" t="s">
        <v>110</v>
      </c>
      <c r="B8" s="77">
        <v>468.11</v>
      </c>
      <c r="C8" s="77">
        <v>331.52</v>
      </c>
      <c r="D8" s="77">
        <v>241.57</v>
      </c>
      <c r="E8" s="83" t="s">
        <v>75</v>
      </c>
      <c r="F8" s="77">
        <v>354.22</v>
      </c>
      <c r="G8" s="77">
        <v>329.31</v>
      </c>
      <c r="AB8" s="82"/>
    </row>
    <row r="9" spans="1:28" ht="13.8">
      <c r="A9" s="17" t="s">
        <v>111</v>
      </c>
      <c r="B9" s="77">
        <v>489.94</v>
      </c>
      <c r="C9" s="77">
        <v>377.71</v>
      </c>
      <c r="D9" s="77">
        <v>238.87</v>
      </c>
      <c r="E9" s="83" t="s">
        <v>75</v>
      </c>
      <c r="F9" s="77">
        <v>359.7</v>
      </c>
      <c r="G9" s="77">
        <v>337.23</v>
      </c>
      <c r="AB9" s="82"/>
    </row>
    <row r="10" spans="1:28" ht="13.8">
      <c r="A10" s="17" t="s">
        <v>112</v>
      </c>
      <c r="B10" s="77">
        <v>368.49</v>
      </c>
      <c r="C10" s="77">
        <v>304.27</v>
      </c>
      <c r="D10" s="77">
        <v>209.97</v>
      </c>
      <c r="E10" s="83" t="s">
        <v>75</v>
      </c>
      <c r="F10" s="77">
        <v>301.2</v>
      </c>
      <c r="G10" s="77">
        <v>256.58</v>
      </c>
      <c r="AB10" s="82"/>
    </row>
    <row r="11" spans="1:28" ht="13.8">
      <c r="A11" s="17" t="s">
        <v>113</v>
      </c>
      <c r="B11" s="77">
        <v>324.56</v>
      </c>
      <c r="C11" s="77">
        <v>261.19</v>
      </c>
      <c r="D11" s="77">
        <v>153.16999999999999</v>
      </c>
      <c r="E11" s="83" t="s">
        <v>75</v>
      </c>
      <c r="F11" s="77">
        <v>262.2</v>
      </c>
      <c r="G11" s="77">
        <v>260.23</v>
      </c>
      <c r="AB11" s="82"/>
    </row>
    <row r="12" spans="1:28" ht="13.8">
      <c r="A12" s="17" t="s">
        <v>114</v>
      </c>
      <c r="B12" s="77">
        <v>316.88</v>
      </c>
      <c r="C12" s="77">
        <v>208.61</v>
      </c>
      <c r="D12" s="77">
        <v>145.1</v>
      </c>
      <c r="E12" s="83" t="s">
        <v>75</v>
      </c>
      <c r="F12" s="77">
        <v>267.94</v>
      </c>
      <c r="G12" s="77">
        <v>282.49</v>
      </c>
      <c r="AB12" s="82"/>
    </row>
    <row r="13" spans="1:28" ht="13.8">
      <c r="A13" s="17" t="s">
        <v>115</v>
      </c>
      <c r="B13" s="77">
        <v>345.02</v>
      </c>
      <c r="C13" s="77">
        <v>260.88</v>
      </c>
      <c r="D13" s="77">
        <v>173.53</v>
      </c>
      <c r="E13" s="83" t="s">
        <v>75</v>
      </c>
      <c r="F13" s="77">
        <v>291.14999999999998</v>
      </c>
      <c r="G13" s="77">
        <v>239.15</v>
      </c>
    </row>
    <row r="14" spans="1:28" ht="13.8">
      <c r="A14" s="17" t="s">
        <v>116</v>
      </c>
      <c r="B14" s="77">
        <v>308.27999999999997</v>
      </c>
      <c r="C14" s="77">
        <v>228.64</v>
      </c>
      <c r="D14" s="77">
        <v>164.16</v>
      </c>
      <c r="E14" s="83" t="s">
        <v>75</v>
      </c>
      <c r="F14" s="77">
        <v>272.38</v>
      </c>
      <c r="G14" s="77">
        <v>225.77</v>
      </c>
    </row>
    <row r="15" spans="1:28" ht="13.8">
      <c r="A15" s="17" t="s">
        <v>117</v>
      </c>
      <c r="B15" s="77">
        <v>299.5</v>
      </c>
      <c r="C15" s="77">
        <v>247.04</v>
      </c>
      <c r="D15" s="77">
        <v>187.7</v>
      </c>
      <c r="E15" s="83" t="s">
        <v>75</v>
      </c>
      <c r="F15" s="77">
        <v>273.99</v>
      </c>
      <c r="G15" s="77">
        <v>245.88</v>
      </c>
    </row>
    <row r="16" spans="1:28" ht="13.8">
      <c r="A16" s="17" t="s">
        <v>34</v>
      </c>
      <c r="B16" s="77">
        <v>392.31</v>
      </c>
      <c r="C16" s="77">
        <v>375.51</v>
      </c>
      <c r="D16" s="77">
        <v>246.22</v>
      </c>
      <c r="E16" s="83" t="s">
        <v>75</v>
      </c>
      <c r="F16" s="77">
        <v>351.87</v>
      </c>
      <c r="G16" s="77">
        <v>288.12</v>
      </c>
    </row>
    <row r="17" spans="1:13" ht="16.2">
      <c r="A17" s="17" t="s">
        <v>137</v>
      </c>
      <c r="B17" s="77">
        <v>439.81</v>
      </c>
      <c r="C17" s="77">
        <v>355.33</v>
      </c>
      <c r="D17" s="77">
        <v>279.98</v>
      </c>
      <c r="E17" s="83" t="s">
        <v>75</v>
      </c>
      <c r="F17" s="77">
        <v>439.1</v>
      </c>
      <c r="G17" s="77">
        <v>332.21</v>
      </c>
    </row>
    <row r="18" spans="1:13" ht="16.2">
      <c r="A18" s="17" t="s">
        <v>138</v>
      </c>
      <c r="B18" s="77">
        <v>425</v>
      </c>
      <c r="C18" s="77">
        <v>385</v>
      </c>
      <c r="D18" s="77">
        <v>245</v>
      </c>
      <c r="E18" s="83" t="s">
        <v>75</v>
      </c>
      <c r="F18" s="77">
        <v>395</v>
      </c>
      <c r="G18" s="164">
        <v>350</v>
      </c>
    </row>
    <row r="19" spans="1:13" ht="13.8">
      <c r="A19" s="21"/>
      <c r="B19" s="77"/>
      <c r="C19" s="77"/>
      <c r="D19" s="77"/>
      <c r="E19" s="83"/>
      <c r="F19" s="77"/>
      <c r="G19" s="77"/>
      <c r="I19" s="84"/>
      <c r="J19" s="85"/>
      <c r="K19" s="85"/>
      <c r="L19" s="85"/>
      <c r="M19" s="85"/>
    </row>
    <row r="20" spans="1:13" ht="13.8">
      <c r="A20" s="51" t="s">
        <v>53</v>
      </c>
      <c r="B20" s="77"/>
      <c r="C20" s="77"/>
      <c r="D20" s="77"/>
      <c r="E20" s="63"/>
      <c r="F20" s="77"/>
      <c r="G20" s="77"/>
      <c r="H20" s="63"/>
    </row>
    <row r="21" spans="1:13" ht="13.8">
      <c r="A21" s="21" t="s">
        <v>38</v>
      </c>
      <c r="B21" s="77">
        <v>325.43</v>
      </c>
      <c r="C21" s="77">
        <v>298.75</v>
      </c>
      <c r="D21" s="77">
        <v>222.5</v>
      </c>
      <c r="E21" s="83" t="s">
        <v>75</v>
      </c>
      <c r="F21" s="77">
        <v>322.82499999999999</v>
      </c>
      <c r="G21" s="77">
        <v>265.625</v>
      </c>
      <c r="H21" s="63"/>
    </row>
    <row r="22" spans="1:13" ht="13.8">
      <c r="A22" s="21" t="s">
        <v>39</v>
      </c>
      <c r="B22" s="77">
        <v>358.73</v>
      </c>
      <c r="C22" s="77">
        <v>304.5</v>
      </c>
      <c r="D22" s="77">
        <v>256.5</v>
      </c>
      <c r="E22" s="83" t="s">
        <v>75</v>
      </c>
      <c r="F22" s="77">
        <v>350.21999999999997</v>
      </c>
      <c r="G22" s="77">
        <v>252</v>
      </c>
      <c r="H22" s="63"/>
    </row>
    <row r="23" spans="1:13" ht="13.8">
      <c r="A23" s="21" t="s">
        <v>41</v>
      </c>
      <c r="B23" s="77">
        <v>399.53</v>
      </c>
      <c r="C23" s="77">
        <v>311.25</v>
      </c>
      <c r="D23" s="77">
        <v>289.16666666666669</v>
      </c>
      <c r="E23" s="83" t="s">
        <v>75</v>
      </c>
      <c r="F23" s="77">
        <v>382.9666666666667</v>
      </c>
      <c r="G23" s="77">
        <v>309.16666666666669</v>
      </c>
      <c r="H23" s="63"/>
    </row>
    <row r="24" spans="1:13" ht="13.8">
      <c r="A24" s="21" t="s">
        <v>151</v>
      </c>
      <c r="B24" s="77">
        <v>421.21</v>
      </c>
      <c r="C24" s="77">
        <v>318.125</v>
      </c>
      <c r="D24" s="77">
        <v>301.25</v>
      </c>
      <c r="E24" s="83" t="s">
        <v>75</v>
      </c>
      <c r="F24" s="77">
        <v>410.875</v>
      </c>
      <c r="G24" s="77">
        <v>326.25</v>
      </c>
      <c r="H24" s="63"/>
    </row>
    <row r="25" spans="1:13" ht="13.8">
      <c r="A25" s="21" t="s">
        <v>43</v>
      </c>
      <c r="B25" s="164">
        <v>460.45</v>
      </c>
      <c r="C25" s="77">
        <v>333.75</v>
      </c>
      <c r="D25" s="77">
        <v>320</v>
      </c>
      <c r="E25" s="83" t="s">
        <v>75</v>
      </c>
      <c r="F25" s="77">
        <v>454.625</v>
      </c>
      <c r="G25" s="77">
        <v>350</v>
      </c>
      <c r="H25" s="63"/>
    </row>
    <row r="26" spans="1:13" ht="13.8">
      <c r="A26" s="21" t="s">
        <v>45</v>
      </c>
      <c r="B26" s="164">
        <v>493.97500000000002</v>
      </c>
      <c r="C26" s="77">
        <v>345.625</v>
      </c>
      <c r="D26" s="77">
        <v>333.33300000000003</v>
      </c>
      <c r="E26" s="83" t="s">
        <v>75</v>
      </c>
      <c r="F26" s="77">
        <v>487.03750000000002</v>
      </c>
      <c r="G26" s="77">
        <v>392.5</v>
      </c>
      <c r="H26" s="63"/>
    </row>
    <row r="27" spans="1:13" ht="13.8">
      <c r="A27" s="21" t="s">
        <v>46</v>
      </c>
      <c r="B27" s="164">
        <v>475.35999999999996</v>
      </c>
      <c r="C27" s="77">
        <v>355</v>
      </c>
      <c r="D27" s="77">
        <v>321</v>
      </c>
      <c r="E27" s="83" t="s">
        <v>75</v>
      </c>
      <c r="F27" s="77">
        <v>470.77999999999992</v>
      </c>
      <c r="G27" s="77">
        <v>386</v>
      </c>
      <c r="H27" s="63"/>
    </row>
    <row r="28" spans="1:13" ht="13.8">
      <c r="A28" s="21" t="s">
        <v>47</v>
      </c>
      <c r="B28" s="164">
        <v>441.27499999999998</v>
      </c>
      <c r="C28" s="77">
        <v>388.75</v>
      </c>
      <c r="D28" s="77">
        <v>285.625</v>
      </c>
      <c r="E28" s="83" t="s">
        <v>75</v>
      </c>
      <c r="F28" s="77">
        <v>454.5</v>
      </c>
      <c r="G28" s="77">
        <v>351.25</v>
      </c>
      <c r="H28" s="63"/>
    </row>
    <row r="29" spans="1:13" ht="13.8">
      <c r="A29" s="21" t="s">
        <v>49</v>
      </c>
      <c r="B29" s="164">
        <v>445.92499999999995</v>
      </c>
      <c r="C29" s="77">
        <v>383.75</v>
      </c>
      <c r="D29" s="77">
        <v>281.875</v>
      </c>
      <c r="E29" s="83" t="s">
        <v>75</v>
      </c>
      <c r="F29" s="77">
        <v>478.17499999999995</v>
      </c>
      <c r="G29" s="77">
        <v>322.5</v>
      </c>
      <c r="H29" s="63"/>
    </row>
    <row r="30" spans="1:13" ht="13.8">
      <c r="A30" s="21" t="s">
        <v>50</v>
      </c>
      <c r="B30" s="164">
        <v>467.87</v>
      </c>
      <c r="C30" s="77">
        <v>369.5</v>
      </c>
      <c r="D30" s="77">
        <v>268.5</v>
      </c>
      <c r="E30" s="83" t="s">
        <v>75</v>
      </c>
      <c r="F30" s="77">
        <v>501.17999999999995</v>
      </c>
      <c r="G30" s="77">
        <v>351.5</v>
      </c>
      <c r="H30" s="63"/>
    </row>
    <row r="31" spans="1:13" ht="13.8">
      <c r="A31" s="21" t="s">
        <v>51</v>
      </c>
      <c r="B31" s="164">
        <v>510.90000000000009</v>
      </c>
      <c r="C31" s="77">
        <v>405</v>
      </c>
      <c r="D31" s="77">
        <v>255</v>
      </c>
      <c r="E31" s="83" t="s">
        <v>75</v>
      </c>
      <c r="F31" s="77">
        <v>521.52500000000009</v>
      </c>
      <c r="G31" s="77">
        <v>347.5</v>
      </c>
      <c r="H31" s="63"/>
    </row>
    <row r="32" spans="1:13" ht="13.8">
      <c r="A32" s="21" t="s">
        <v>37</v>
      </c>
      <c r="B32" s="165">
        <v>473.93999999999994</v>
      </c>
      <c r="C32" s="77">
        <v>450</v>
      </c>
      <c r="D32" s="77">
        <v>225</v>
      </c>
      <c r="E32" s="83" t="s">
        <v>75</v>
      </c>
      <c r="F32" s="77">
        <v>434.53999999999996</v>
      </c>
      <c r="G32" s="77" t="s">
        <v>75</v>
      </c>
      <c r="H32" s="63"/>
    </row>
    <row r="33" spans="1:10" ht="13.8">
      <c r="A33" s="21"/>
      <c r="B33" s="165"/>
      <c r="C33" s="77"/>
      <c r="D33" s="77"/>
      <c r="E33" s="83"/>
      <c r="F33" s="77"/>
      <c r="G33" s="77"/>
      <c r="H33" s="63"/>
    </row>
    <row r="34" spans="1:10" ht="13.8">
      <c r="A34" s="51" t="s">
        <v>156</v>
      </c>
      <c r="B34" s="165"/>
      <c r="C34" s="77"/>
      <c r="D34" s="77"/>
      <c r="E34" s="83"/>
      <c r="F34" s="77"/>
      <c r="G34" s="77"/>
      <c r="H34" s="63"/>
    </row>
    <row r="35" spans="1:10" ht="13.8">
      <c r="A35" s="21" t="s">
        <v>38</v>
      </c>
      <c r="B35" s="165">
        <v>468.67499999999995</v>
      </c>
      <c r="C35" s="77">
        <v>451.875</v>
      </c>
      <c r="D35" s="77" t="s">
        <v>75</v>
      </c>
      <c r="E35" s="83" t="s">
        <v>75</v>
      </c>
      <c r="F35" s="77">
        <v>409.17499999999995</v>
      </c>
      <c r="G35" s="77" t="s">
        <v>75</v>
      </c>
      <c r="H35" s="63"/>
    </row>
    <row r="36" spans="1:10" ht="13.8">
      <c r="A36" s="21" t="s">
        <v>39</v>
      </c>
      <c r="B36" s="165">
        <v>436.74999999999994</v>
      </c>
      <c r="C36" s="77">
        <v>405</v>
      </c>
      <c r="D36" s="77" t="s">
        <v>75</v>
      </c>
      <c r="E36" s="83" t="s">
        <v>75</v>
      </c>
      <c r="F36" s="77">
        <v>402.99999999999994</v>
      </c>
      <c r="G36" s="77">
        <v>357.5</v>
      </c>
      <c r="H36" s="63"/>
    </row>
    <row r="37" spans="1:10" ht="13.8">
      <c r="A37" s="15" t="s">
        <v>41</v>
      </c>
      <c r="B37" s="166">
        <v>462.85</v>
      </c>
      <c r="C37" s="163">
        <v>390.625</v>
      </c>
      <c r="D37" s="163">
        <v>200</v>
      </c>
      <c r="E37" s="113" t="s">
        <v>75</v>
      </c>
      <c r="F37" s="163">
        <v>437.09999999999997</v>
      </c>
      <c r="G37" s="163">
        <v>368.5</v>
      </c>
      <c r="H37" s="63"/>
    </row>
    <row r="38" spans="1:10" ht="16.2">
      <c r="A38" s="54" t="s">
        <v>152</v>
      </c>
      <c r="B38" s="86"/>
      <c r="C38" s="86"/>
      <c r="D38" s="86"/>
      <c r="E38" s="86"/>
      <c r="F38" s="86"/>
      <c r="G38" s="86"/>
      <c r="I38" s="84"/>
    </row>
    <row r="39" spans="1:10" ht="16.2">
      <c r="A39" s="54" t="s">
        <v>153</v>
      </c>
      <c r="B39" s="87"/>
      <c r="C39" s="87"/>
      <c r="D39" s="87"/>
      <c r="E39" s="87"/>
      <c r="F39" s="87"/>
      <c r="G39" s="87"/>
      <c r="I39" s="84"/>
      <c r="J39" s="84"/>
    </row>
    <row r="40" spans="1:10" ht="14.4">
      <c r="A40" s="17" t="s">
        <v>154</v>
      </c>
      <c r="B40" s="17"/>
      <c r="C40" s="17"/>
      <c r="D40" s="17"/>
      <c r="E40" s="17"/>
      <c r="F40" s="87"/>
      <c r="G40" s="87"/>
      <c r="I40" s="84"/>
      <c r="J40" s="84"/>
    </row>
    <row r="41" spans="1:10" ht="13.8">
      <c r="A41" s="23" t="s">
        <v>56</v>
      </c>
      <c r="B41" s="46">
        <f>Contents!A16</f>
        <v>44578</v>
      </c>
      <c r="C41" s="17"/>
      <c r="D41" s="17"/>
      <c r="E41" s="17"/>
      <c r="F41" s="87"/>
      <c r="G41" s="87"/>
      <c r="I41" s="88"/>
      <c r="J41" s="88"/>
    </row>
    <row r="42" spans="1:10" ht="13.8">
      <c r="F42" s="87"/>
      <c r="G42" s="87"/>
      <c r="I42" s="88"/>
      <c r="J42" s="88"/>
    </row>
    <row r="43" spans="1:10" ht="13.8">
      <c r="F43" s="87"/>
      <c r="G43" s="87"/>
      <c r="I43" s="84"/>
      <c r="J43" s="84"/>
    </row>
    <row r="44" spans="1:10">
      <c r="I44" s="84"/>
      <c r="J44" s="84"/>
    </row>
    <row r="45" spans="1:10">
      <c r="I45" s="84"/>
      <c r="J45" s="84"/>
    </row>
    <row r="46" spans="1:10">
      <c r="I46" s="84"/>
      <c r="J46" s="84"/>
    </row>
    <row r="47" spans="1:10">
      <c r="I47" s="84"/>
      <c r="J47" s="84"/>
    </row>
    <row r="48" spans="1:10">
      <c r="I48" s="84"/>
      <c r="J48" s="84"/>
    </row>
    <row r="50" spans="9:10">
      <c r="I50" s="89"/>
      <c r="J50" s="89"/>
    </row>
    <row r="51" spans="9:10">
      <c r="I51" s="89"/>
      <c r="J51" s="89"/>
    </row>
  </sheetData>
  <phoneticPr fontId="2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987F-3921-46A1-BB9B-E4C68818117B}">
  <dimension ref="A1:H8"/>
  <sheetViews>
    <sheetView zoomScaleNormal="100" workbookViewId="0"/>
  </sheetViews>
  <sheetFormatPr defaultColWidth="9.109375" defaultRowHeight="13.2"/>
  <cols>
    <col min="1" max="1" width="12.6640625" style="126" bestFit="1" customWidth="1"/>
    <col min="2" max="5" width="8.109375" style="126" customWidth="1"/>
    <col min="6" max="6" width="9.109375" style="160"/>
    <col min="7" max="16384" width="9.109375" style="126"/>
  </cols>
  <sheetData>
    <row r="1" spans="1:8" ht="39.6">
      <c r="A1" s="155" t="s">
        <v>155</v>
      </c>
      <c r="B1" s="161" t="s">
        <v>15</v>
      </c>
      <c r="C1" s="161" t="s">
        <v>30</v>
      </c>
      <c r="D1" s="161" t="s">
        <v>21</v>
      </c>
      <c r="E1" s="161" t="s">
        <v>172</v>
      </c>
      <c r="F1" s="157" t="s">
        <v>171</v>
      </c>
    </row>
    <row r="2" spans="1:8">
      <c r="A2" s="156" t="s">
        <v>115</v>
      </c>
      <c r="B2" s="130">
        <v>4735.0385006007273</v>
      </c>
      <c r="C2" s="130">
        <v>2133.7308779136683</v>
      </c>
      <c r="D2" s="130">
        <v>2054.9319999999998</v>
      </c>
      <c r="E2" s="130">
        <v>108.27062268705959</v>
      </c>
      <c r="F2" s="158">
        <v>438.10500000000002</v>
      </c>
      <c r="G2" s="129"/>
      <c r="H2" s="129"/>
    </row>
    <row r="3" spans="1:8">
      <c r="A3" s="156" t="s">
        <v>116</v>
      </c>
      <c r="B3" s="130">
        <v>4880.3122800963401</v>
      </c>
      <c r="C3" s="130">
        <v>1753.4299779624448</v>
      </c>
      <c r="D3" s="130">
        <v>2091.9902999999999</v>
      </c>
      <c r="E3" s="130">
        <v>125.84000213389527</v>
      </c>
      <c r="F3" s="158">
        <v>909.05200000000002</v>
      </c>
      <c r="G3" s="129"/>
      <c r="H3" s="129"/>
    </row>
    <row r="4" spans="1:8">
      <c r="A4" s="156" t="s">
        <v>117</v>
      </c>
      <c r="B4" s="130">
        <v>4476.3405056159772</v>
      </c>
      <c r="C4" s="130">
        <v>1682.8750323994002</v>
      </c>
      <c r="D4" s="130">
        <v>2164.5542</v>
      </c>
      <c r="E4" s="130">
        <v>104.37027321657683</v>
      </c>
      <c r="F4" s="158">
        <v>524.54100000000005</v>
      </c>
      <c r="G4" s="129"/>
      <c r="H4" s="129"/>
    </row>
    <row r="5" spans="1:8">
      <c r="A5" s="156" t="s">
        <v>34</v>
      </c>
      <c r="B5" s="130">
        <v>4760.6579864362348</v>
      </c>
      <c r="C5" s="130">
        <v>2265.8038041324871</v>
      </c>
      <c r="D5" s="130">
        <v>2140.5846999999999</v>
      </c>
      <c r="E5" s="130">
        <v>97.290482303747467</v>
      </c>
      <c r="F5" s="158">
        <v>256.97899999999998</v>
      </c>
      <c r="G5" s="129"/>
      <c r="H5" s="129"/>
    </row>
    <row r="6" spans="1:8">
      <c r="A6" s="156" t="s">
        <v>53</v>
      </c>
      <c r="B6" s="130">
        <v>4738.2710486205597</v>
      </c>
      <c r="C6" s="130">
        <v>2157.6296778962228</v>
      </c>
      <c r="D6" s="130">
        <v>2203.8143</v>
      </c>
      <c r="E6" s="130">
        <v>102.43307072433663</v>
      </c>
      <c r="F6" s="158">
        <v>274.39400000000001</v>
      </c>
      <c r="G6" s="129"/>
      <c r="H6" s="129"/>
    </row>
    <row r="7" spans="1:8">
      <c r="A7" s="142" t="s">
        <v>157</v>
      </c>
      <c r="B7" s="130">
        <v>4634.2800000000007</v>
      </c>
      <c r="C7" s="130">
        <v>2045</v>
      </c>
      <c r="D7" s="130">
        <v>2245</v>
      </c>
      <c r="E7" s="130">
        <v>124.09970249388789</v>
      </c>
      <c r="F7" s="159">
        <v>220</v>
      </c>
    </row>
    <row r="8" spans="1:8">
      <c r="A8" s="142" t="s">
        <v>160</v>
      </c>
      <c r="B8" s="130">
        <v>4565.5169999999998</v>
      </c>
      <c r="C8" s="162">
        <v>1990</v>
      </c>
      <c r="D8" s="130">
        <v>2245</v>
      </c>
      <c r="E8" s="130">
        <v>120.35269749388863</v>
      </c>
      <c r="F8" s="160">
        <v>210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3E0E-E7F8-4B58-88FD-9AE93978AF86}">
  <dimension ref="A1:I269"/>
  <sheetViews>
    <sheetView zoomScaleNormal="100" workbookViewId="0"/>
  </sheetViews>
  <sheetFormatPr defaultColWidth="9.109375" defaultRowHeight="13.2"/>
  <cols>
    <col min="1" max="1" width="13.109375" style="126" customWidth="1"/>
    <col min="2" max="3" width="13.33203125" style="126" customWidth="1"/>
    <col min="4" max="4" width="7.5546875" style="126" bestFit="1" customWidth="1"/>
    <col min="5" max="16384" width="9.109375" style="126"/>
  </cols>
  <sheetData>
    <row r="1" spans="1:9" ht="39.6">
      <c r="A1" s="134" t="s">
        <v>158</v>
      </c>
      <c r="B1" s="134" t="s">
        <v>159</v>
      </c>
      <c r="C1" s="134" t="s">
        <v>173</v>
      </c>
      <c r="D1" s="134" t="s">
        <v>174</v>
      </c>
    </row>
    <row r="2" spans="1:9">
      <c r="A2" s="139">
        <v>44566</v>
      </c>
      <c r="B2" s="137">
        <v>606</v>
      </c>
      <c r="C2" s="137">
        <v>544</v>
      </c>
      <c r="D2" s="128">
        <v>553</v>
      </c>
      <c r="E2" s="129"/>
      <c r="F2" s="129"/>
      <c r="G2" s="129"/>
      <c r="H2" s="129"/>
      <c r="I2" s="129"/>
    </row>
    <row r="3" spans="1:9">
      <c r="A3" s="139">
        <v>44567</v>
      </c>
      <c r="B3" s="137">
        <v>603</v>
      </c>
      <c r="C3" s="137">
        <v>543</v>
      </c>
      <c r="D3" s="128">
        <v>552</v>
      </c>
      <c r="E3" s="129"/>
      <c r="F3" s="129"/>
      <c r="G3" s="129"/>
      <c r="H3" s="129"/>
    </row>
    <row r="4" spans="1:9">
      <c r="A4" s="139">
        <v>44568</v>
      </c>
      <c r="B4" s="137">
        <v>612</v>
      </c>
      <c r="C4" s="137">
        <v>551</v>
      </c>
      <c r="D4" s="128">
        <v>560</v>
      </c>
      <c r="E4" s="129"/>
      <c r="F4" s="129"/>
      <c r="G4" s="129"/>
      <c r="H4" s="129"/>
    </row>
    <row r="5" spans="1:9">
      <c r="A5" s="139">
        <v>44571</v>
      </c>
      <c r="B5" s="137">
        <v>602</v>
      </c>
      <c r="C5" s="137">
        <v>542</v>
      </c>
      <c r="D5" s="128">
        <v>553</v>
      </c>
      <c r="E5" s="129"/>
      <c r="F5" s="129"/>
      <c r="G5" s="129"/>
      <c r="H5" s="129"/>
    </row>
    <row r="6" spans="1:9">
      <c r="A6" s="139">
        <v>44572</v>
      </c>
      <c r="B6" s="137">
        <v>603</v>
      </c>
      <c r="C6" s="137">
        <v>543</v>
      </c>
      <c r="D6" s="128">
        <v>554</v>
      </c>
      <c r="E6" s="129"/>
      <c r="F6" s="129"/>
      <c r="G6" s="129"/>
      <c r="H6" s="129"/>
    </row>
    <row r="7" spans="1:9">
      <c r="A7" s="139">
        <v>44573</v>
      </c>
      <c r="B7" s="137">
        <v>609</v>
      </c>
      <c r="C7" s="137">
        <v>548</v>
      </c>
      <c r="D7" s="128">
        <v>560</v>
      </c>
      <c r="E7" s="129"/>
      <c r="F7" s="129"/>
      <c r="G7" s="129"/>
      <c r="H7" s="129"/>
    </row>
    <row r="8" spans="1:9">
      <c r="A8" s="139">
        <v>44574</v>
      </c>
      <c r="B8" s="137">
        <v>599</v>
      </c>
      <c r="C8" s="137">
        <v>540</v>
      </c>
      <c r="D8" s="128">
        <v>554</v>
      </c>
      <c r="E8" s="129"/>
      <c r="F8" s="129"/>
      <c r="G8" s="129"/>
      <c r="H8" s="129"/>
    </row>
    <row r="9" spans="1:9">
      <c r="A9" s="139">
        <v>44575</v>
      </c>
      <c r="B9" s="137">
        <v>596</v>
      </c>
      <c r="C9" s="137">
        <v>524</v>
      </c>
      <c r="D9" s="128">
        <v>551</v>
      </c>
      <c r="E9" s="129"/>
      <c r="F9" s="129"/>
      <c r="G9" s="129"/>
      <c r="H9" s="129"/>
    </row>
    <row r="10" spans="1:9">
      <c r="A10" s="139">
        <v>44578</v>
      </c>
      <c r="B10" s="137">
        <v>593</v>
      </c>
      <c r="C10" s="137">
        <v>524</v>
      </c>
      <c r="D10" s="128">
        <v>551</v>
      </c>
      <c r="E10" s="129"/>
      <c r="F10" s="129"/>
      <c r="G10" s="129"/>
      <c r="H10" s="129"/>
    </row>
    <row r="11" spans="1:9">
      <c r="A11" s="139">
        <v>44579</v>
      </c>
      <c r="B11" s="137">
        <v>590</v>
      </c>
      <c r="C11" s="137">
        <v>523</v>
      </c>
      <c r="D11" s="130">
        <v>548</v>
      </c>
      <c r="E11" s="129"/>
      <c r="F11" s="129"/>
      <c r="G11" s="129"/>
      <c r="H11" s="129"/>
    </row>
    <row r="12" spans="1:9">
      <c r="A12" s="139">
        <v>44580</v>
      </c>
      <c r="B12" s="138">
        <v>600</v>
      </c>
      <c r="C12" s="137">
        <v>538</v>
      </c>
      <c r="D12" s="130">
        <v>561</v>
      </c>
      <c r="E12" s="129"/>
      <c r="F12" s="129"/>
      <c r="G12" s="129"/>
      <c r="H12" s="129"/>
    </row>
    <row r="13" spans="1:9">
      <c r="A13" s="139">
        <v>44581</v>
      </c>
      <c r="B13" s="137">
        <v>608</v>
      </c>
      <c r="C13" s="137">
        <v>554</v>
      </c>
      <c r="D13" s="128">
        <v>573</v>
      </c>
      <c r="E13" s="129"/>
      <c r="F13" s="129"/>
      <c r="G13" s="129"/>
      <c r="H13" s="129"/>
    </row>
    <row r="14" spans="1:9">
      <c r="A14" s="139">
        <v>44582</v>
      </c>
      <c r="B14" s="137">
        <v>605</v>
      </c>
      <c r="C14" s="137">
        <v>549</v>
      </c>
      <c r="D14" s="128">
        <v>569</v>
      </c>
      <c r="E14" s="129"/>
      <c r="F14" s="129"/>
      <c r="G14" s="129"/>
      <c r="H14" s="129"/>
    </row>
    <row r="15" spans="1:9">
      <c r="A15" s="139">
        <v>44585</v>
      </c>
      <c r="B15" s="137">
        <v>600</v>
      </c>
      <c r="C15" s="137">
        <v>546</v>
      </c>
      <c r="D15" s="128">
        <v>565</v>
      </c>
      <c r="E15" s="129"/>
      <c r="F15" s="129"/>
      <c r="G15" s="129"/>
      <c r="H15" s="129"/>
    </row>
    <row r="16" spans="1:9">
      <c r="A16" s="139">
        <v>44586</v>
      </c>
      <c r="B16" s="137">
        <v>600</v>
      </c>
      <c r="C16" s="137">
        <v>550</v>
      </c>
      <c r="D16" s="128">
        <v>569</v>
      </c>
      <c r="E16" s="129"/>
      <c r="F16" s="129"/>
      <c r="G16" s="129"/>
      <c r="H16" s="129"/>
    </row>
    <row r="17" spans="1:8">
      <c r="A17" s="139">
        <v>44587</v>
      </c>
      <c r="B17" s="137">
        <v>605</v>
      </c>
      <c r="C17" s="137">
        <v>563</v>
      </c>
      <c r="D17" s="128">
        <v>581</v>
      </c>
      <c r="E17" s="129"/>
      <c r="F17" s="129"/>
      <c r="G17" s="129"/>
      <c r="H17" s="129"/>
    </row>
    <row r="18" spans="1:8">
      <c r="A18" s="139">
        <v>44588</v>
      </c>
      <c r="B18" s="137">
        <v>605</v>
      </c>
      <c r="C18" s="137">
        <v>567</v>
      </c>
      <c r="D18" s="128">
        <v>584</v>
      </c>
      <c r="E18" s="129"/>
      <c r="F18" s="129"/>
      <c r="G18" s="129"/>
      <c r="H18" s="129"/>
    </row>
    <row r="19" spans="1:8">
      <c r="A19" s="139">
        <v>44589</v>
      </c>
      <c r="B19" s="137">
        <v>610</v>
      </c>
      <c r="C19" s="137">
        <v>575</v>
      </c>
      <c r="D19" s="128">
        <v>592</v>
      </c>
      <c r="E19" s="129"/>
      <c r="F19" s="129"/>
      <c r="G19" s="129"/>
      <c r="H19" s="129"/>
    </row>
    <row r="20" spans="1:8">
      <c r="A20" s="139">
        <v>44592</v>
      </c>
      <c r="B20" s="137">
        <v>615</v>
      </c>
      <c r="C20" s="137">
        <v>585</v>
      </c>
      <c r="D20" s="128">
        <v>597</v>
      </c>
      <c r="E20" s="129"/>
      <c r="F20" s="129"/>
      <c r="G20" s="129"/>
      <c r="H20" s="129"/>
    </row>
    <row r="21" spans="1:8">
      <c r="A21" s="139">
        <v>44593</v>
      </c>
      <c r="B21" s="137">
        <v>625</v>
      </c>
      <c r="C21" s="137">
        <v>599</v>
      </c>
      <c r="D21" s="128">
        <v>611</v>
      </c>
      <c r="E21" s="129"/>
      <c r="F21" s="129"/>
      <c r="G21" s="129"/>
      <c r="H21" s="129"/>
    </row>
    <row r="22" spans="1:8">
      <c r="A22" s="139">
        <v>44594</v>
      </c>
      <c r="B22" s="137">
        <v>630</v>
      </c>
      <c r="C22" s="137">
        <v>610</v>
      </c>
      <c r="D22" s="128">
        <v>615</v>
      </c>
      <c r="E22" s="129"/>
      <c r="F22" s="129"/>
      <c r="G22" s="129"/>
      <c r="H22" s="129"/>
    </row>
    <row r="23" spans="1:8">
      <c r="A23" s="139">
        <v>44595</v>
      </c>
      <c r="B23" s="137">
        <v>628</v>
      </c>
      <c r="C23" s="137">
        <v>613</v>
      </c>
      <c r="D23" s="128">
        <v>617</v>
      </c>
      <c r="E23" s="129"/>
      <c r="F23" s="129"/>
      <c r="G23" s="129"/>
      <c r="H23" s="129"/>
    </row>
    <row r="24" spans="1:8">
      <c r="A24" s="139">
        <v>44596</v>
      </c>
      <c r="B24" s="137">
        <v>634</v>
      </c>
      <c r="C24" s="137">
        <v>619</v>
      </c>
      <c r="D24" s="128">
        <v>620</v>
      </c>
      <c r="E24" s="129"/>
      <c r="F24" s="129"/>
      <c r="G24" s="129"/>
      <c r="H24" s="129"/>
    </row>
    <row r="25" spans="1:8">
      <c r="A25" s="139">
        <v>44599</v>
      </c>
      <c r="B25" s="137">
        <v>640</v>
      </c>
      <c r="C25" s="137">
        <v>627</v>
      </c>
      <c r="D25" s="128">
        <v>631</v>
      </c>
      <c r="E25" s="129"/>
      <c r="F25" s="129"/>
      <c r="G25" s="129"/>
      <c r="H25" s="129"/>
    </row>
    <row r="26" spans="1:8">
      <c r="A26" s="139">
        <v>44600</v>
      </c>
      <c r="B26" s="137">
        <v>638</v>
      </c>
      <c r="C26" s="137">
        <v>622</v>
      </c>
      <c r="D26" s="128">
        <v>628</v>
      </c>
      <c r="E26" s="129"/>
      <c r="F26" s="129"/>
      <c r="G26" s="129"/>
      <c r="H26" s="129"/>
    </row>
    <row r="27" spans="1:8">
      <c r="A27" s="139">
        <v>44601</v>
      </c>
      <c r="B27" s="137">
        <v>647</v>
      </c>
      <c r="C27" s="137">
        <v>630</v>
      </c>
      <c r="D27" s="128">
        <v>637</v>
      </c>
      <c r="E27" s="129"/>
      <c r="G27" s="129"/>
      <c r="H27" s="129"/>
    </row>
    <row r="28" spans="1:8">
      <c r="A28" s="139">
        <v>44602</v>
      </c>
      <c r="B28" s="137">
        <v>640</v>
      </c>
      <c r="C28" s="137">
        <v>617</v>
      </c>
      <c r="D28" s="128">
        <v>630</v>
      </c>
      <c r="E28" s="129"/>
      <c r="F28" s="129"/>
      <c r="G28" s="129"/>
      <c r="H28" s="129"/>
    </row>
    <row r="29" spans="1:8">
      <c r="A29" s="139">
        <v>44603</v>
      </c>
      <c r="B29" s="137">
        <v>645</v>
      </c>
      <c r="C29" s="137">
        <v>621</v>
      </c>
      <c r="D29" s="128">
        <v>633</v>
      </c>
      <c r="E29" s="129"/>
      <c r="F29" s="129"/>
      <c r="G29" s="129"/>
      <c r="H29" s="129"/>
    </row>
    <row r="30" spans="1:8">
      <c r="A30" s="139">
        <v>44606</v>
      </c>
      <c r="B30" s="137">
        <v>640</v>
      </c>
      <c r="C30" s="137">
        <v>614</v>
      </c>
      <c r="D30" s="128">
        <v>628</v>
      </c>
      <c r="E30" s="129"/>
      <c r="F30" s="129"/>
      <c r="G30" s="129"/>
      <c r="H30" s="129"/>
    </row>
    <row r="31" spans="1:8">
      <c r="A31" s="139">
        <v>44607</v>
      </c>
      <c r="B31" s="137">
        <v>634</v>
      </c>
      <c r="C31" s="137">
        <v>611</v>
      </c>
      <c r="D31" s="128">
        <v>619</v>
      </c>
      <c r="E31" s="129"/>
      <c r="F31" s="129"/>
      <c r="G31" s="129"/>
      <c r="H31" s="129"/>
    </row>
    <row r="32" spans="1:8">
      <c r="A32" s="139">
        <v>44608</v>
      </c>
      <c r="B32" s="137">
        <v>644</v>
      </c>
      <c r="C32" s="137">
        <v>631</v>
      </c>
      <c r="D32" s="128">
        <v>629</v>
      </c>
      <c r="E32" s="129"/>
      <c r="F32" s="129"/>
      <c r="G32" s="129"/>
      <c r="H32" s="129"/>
    </row>
    <row r="33" spans="1:8">
      <c r="A33" s="139">
        <v>44609</v>
      </c>
      <c r="B33" s="137">
        <v>649</v>
      </c>
      <c r="C33" s="137">
        <v>638</v>
      </c>
      <c r="D33" s="128">
        <v>631</v>
      </c>
      <c r="E33" s="129"/>
      <c r="F33" s="129"/>
      <c r="G33" s="129"/>
      <c r="H33" s="129"/>
    </row>
    <row r="34" spans="1:8">
      <c r="A34" s="139">
        <v>44610</v>
      </c>
      <c r="B34" s="137">
        <v>653</v>
      </c>
      <c r="C34" s="137">
        <v>644</v>
      </c>
      <c r="D34" s="128">
        <v>634</v>
      </c>
      <c r="E34" s="129"/>
      <c r="F34" s="129"/>
      <c r="G34" s="129"/>
      <c r="H34" s="129"/>
    </row>
    <row r="35" spans="1:8">
      <c r="A35" s="139">
        <v>44613</v>
      </c>
      <c r="B35" s="137">
        <v>653</v>
      </c>
      <c r="C35" s="137">
        <v>644</v>
      </c>
      <c r="D35" s="128">
        <v>634</v>
      </c>
      <c r="E35" s="129"/>
      <c r="F35" s="129"/>
      <c r="G35" s="129"/>
      <c r="H35" s="129"/>
    </row>
    <row r="36" spans="1:8">
      <c r="A36" s="139">
        <v>44614</v>
      </c>
      <c r="B36" s="137">
        <v>667</v>
      </c>
      <c r="C36" s="137">
        <v>658</v>
      </c>
      <c r="D36" s="128">
        <v>647</v>
      </c>
      <c r="E36" s="129"/>
      <c r="F36" s="129"/>
      <c r="G36" s="129"/>
      <c r="H36" s="129"/>
    </row>
    <row r="37" spans="1:8">
      <c r="A37" s="139">
        <v>44615</v>
      </c>
      <c r="B37" s="137">
        <v>682</v>
      </c>
      <c r="C37" s="137">
        <v>676</v>
      </c>
      <c r="D37" s="128">
        <v>661</v>
      </c>
      <c r="E37" s="129"/>
      <c r="F37" s="129"/>
      <c r="G37" s="129"/>
      <c r="H37" s="129"/>
    </row>
    <row r="38" spans="1:8">
      <c r="A38" s="139">
        <v>44616</v>
      </c>
      <c r="B38" s="137">
        <v>676</v>
      </c>
      <c r="C38" s="137">
        <v>671</v>
      </c>
      <c r="D38" s="128">
        <v>656</v>
      </c>
      <c r="E38" s="129"/>
      <c r="F38" s="129"/>
      <c r="G38" s="129"/>
      <c r="H38" s="129"/>
    </row>
    <row r="39" spans="1:8">
      <c r="A39" s="139">
        <v>44617</v>
      </c>
      <c r="B39" s="137">
        <v>664</v>
      </c>
      <c r="C39" s="137">
        <v>645</v>
      </c>
      <c r="D39" s="128">
        <v>630</v>
      </c>
      <c r="E39" s="129"/>
      <c r="F39" s="129"/>
      <c r="G39" s="129"/>
      <c r="H39" s="129"/>
    </row>
    <row r="40" spans="1:8">
      <c r="A40" s="139">
        <v>44620</v>
      </c>
      <c r="B40" s="137">
        <v>684</v>
      </c>
      <c r="C40" s="137">
        <v>663</v>
      </c>
      <c r="D40" s="128">
        <v>650</v>
      </c>
      <c r="E40" s="129"/>
      <c r="F40" s="129"/>
      <c r="G40" s="129"/>
      <c r="H40" s="129"/>
    </row>
    <row r="41" spans="1:8">
      <c r="A41" s="139">
        <v>44621</v>
      </c>
      <c r="B41" s="137">
        <v>700</v>
      </c>
      <c r="C41" s="137">
        <v>685</v>
      </c>
      <c r="D41" s="128">
        <v>673</v>
      </c>
      <c r="E41" s="129"/>
      <c r="F41" s="129"/>
      <c r="G41" s="129"/>
      <c r="H41" s="129"/>
    </row>
    <row r="42" spans="1:8">
      <c r="A42" s="139">
        <v>44622</v>
      </c>
      <c r="B42" s="137">
        <v>690</v>
      </c>
      <c r="C42" s="137">
        <v>673</v>
      </c>
      <c r="D42" s="128">
        <v>662</v>
      </c>
      <c r="E42" s="129"/>
      <c r="F42" s="129"/>
      <c r="G42" s="129"/>
      <c r="H42" s="129"/>
    </row>
    <row r="43" spans="1:8">
      <c r="A43" s="139">
        <v>44623</v>
      </c>
      <c r="B43" s="137">
        <v>695</v>
      </c>
      <c r="C43" s="137">
        <v>680</v>
      </c>
      <c r="D43" s="128">
        <v>664</v>
      </c>
      <c r="E43" s="129"/>
      <c r="F43" s="129"/>
      <c r="G43" s="129"/>
      <c r="H43" s="129"/>
    </row>
    <row r="44" spans="1:8">
      <c r="A44" s="139">
        <v>44624</v>
      </c>
      <c r="B44" s="137">
        <v>695</v>
      </c>
      <c r="C44" s="137">
        <v>677</v>
      </c>
      <c r="D44" s="128">
        <v>651</v>
      </c>
      <c r="E44" s="129"/>
      <c r="F44" s="129"/>
      <c r="G44" s="129"/>
      <c r="H44" s="129"/>
    </row>
    <row r="45" spans="1:8">
      <c r="A45" s="139">
        <v>44627</v>
      </c>
      <c r="B45" s="137">
        <v>694</v>
      </c>
      <c r="C45" s="137">
        <v>676</v>
      </c>
      <c r="D45" s="128">
        <v>652</v>
      </c>
      <c r="E45" s="129"/>
      <c r="F45" s="129"/>
      <c r="G45" s="129"/>
      <c r="H45" s="129"/>
    </row>
    <row r="46" spans="1:8">
      <c r="A46" s="139">
        <v>44628</v>
      </c>
      <c r="B46" s="137">
        <v>704</v>
      </c>
      <c r="C46" s="137">
        <v>689</v>
      </c>
      <c r="D46" s="128">
        <v>669</v>
      </c>
      <c r="E46" s="129"/>
      <c r="F46" s="129"/>
      <c r="G46" s="129"/>
      <c r="H46" s="129"/>
    </row>
    <row r="47" spans="1:8">
      <c r="A47" s="139">
        <v>44629</v>
      </c>
      <c r="B47" s="137">
        <v>704</v>
      </c>
      <c r="C47" s="137">
        <v>683</v>
      </c>
      <c r="D47" s="128">
        <v>669</v>
      </c>
      <c r="E47" s="129"/>
      <c r="F47" s="129"/>
      <c r="G47" s="129"/>
      <c r="H47" s="129"/>
    </row>
    <row r="48" spans="1:8">
      <c r="A48" s="139">
        <v>44630</v>
      </c>
      <c r="B48" s="137">
        <v>710</v>
      </c>
      <c r="C48" s="137">
        <v>686</v>
      </c>
      <c r="D48" s="128">
        <v>680</v>
      </c>
      <c r="E48" s="129"/>
      <c r="F48" s="129"/>
      <c r="G48" s="129"/>
      <c r="H48" s="129"/>
    </row>
    <row r="49" spans="1:8">
      <c r="A49" s="139">
        <v>44631</v>
      </c>
      <c r="B49" s="137">
        <v>707</v>
      </c>
      <c r="C49" s="137">
        <v>680</v>
      </c>
      <c r="D49" s="128">
        <v>680</v>
      </c>
      <c r="E49" s="129"/>
      <c r="F49" s="129"/>
      <c r="G49" s="129"/>
      <c r="H49" s="129"/>
    </row>
    <row r="50" spans="1:8">
      <c r="A50" s="139">
        <v>44634</v>
      </c>
      <c r="B50" s="137">
        <v>705</v>
      </c>
      <c r="C50" s="137">
        <v>671</v>
      </c>
      <c r="D50" s="128">
        <v>680</v>
      </c>
      <c r="E50" s="129"/>
      <c r="F50" s="129"/>
      <c r="G50" s="129"/>
      <c r="H50" s="129"/>
    </row>
    <row r="51" spans="1:8">
      <c r="A51" s="139">
        <v>44635</v>
      </c>
      <c r="B51" s="137">
        <v>700</v>
      </c>
      <c r="C51" s="137">
        <v>668</v>
      </c>
      <c r="D51" s="128">
        <v>676</v>
      </c>
      <c r="E51" s="129"/>
      <c r="F51" s="129"/>
      <c r="G51" s="129"/>
      <c r="H51" s="129"/>
    </row>
    <row r="52" spans="1:8">
      <c r="A52" s="139">
        <v>44636</v>
      </c>
      <c r="B52" s="137">
        <v>695</v>
      </c>
      <c r="C52" s="137">
        <v>668</v>
      </c>
      <c r="D52" s="128">
        <v>672</v>
      </c>
      <c r="E52" s="129"/>
      <c r="F52" s="129"/>
      <c r="G52" s="129"/>
      <c r="H52" s="129"/>
    </row>
    <row r="53" spans="1:8">
      <c r="A53" s="139">
        <v>44637</v>
      </c>
      <c r="B53" s="137">
        <v>695</v>
      </c>
      <c r="C53" s="137">
        <v>677</v>
      </c>
      <c r="D53" s="128">
        <v>679</v>
      </c>
      <c r="E53" s="129"/>
      <c r="F53" s="129"/>
      <c r="G53" s="129"/>
      <c r="H53" s="129"/>
    </row>
    <row r="54" spans="1:8">
      <c r="A54" s="139">
        <v>44638</v>
      </c>
      <c r="B54" s="126">
        <v>694</v>
      </c>
      <c r="C54" s="126">
        <v>678</v>
      </c>
      <c r="D54" s="128">
        <v>679</v>
      </c>
      <c r="E54" s="129"/>
      <c r="F54" s="129"/>
      <c r="G54" s="129"/>
      <c r="H54" s="129"/>
    </row>
    <row r="55" spans="1:8">
      <c r="A55" s="139">
        <v>44641</v>
      </c>
      <c r="B55" s="126">
        <v>694</v>
      </c>
      <c r="C55" s="126">
        <v>684</v>
      </c>
      <c r="D55" s="126">
        <v>687</v>
      </c>
    </row>
    <row r="56" spans="1:8">
      <c r="A56" s="139">
        <v>44642</v>
      </c>
      <c r="B56" s="126">
        <v>690</v>
      </c>
      <c r="C56" s="126">
        <v>686</v>
      </c>
      <c r="D56" s="126">
        <v>686</v>
      </c>
    </row>
    <row r="57" spans="1:8">
      <c r="A57" s="139">
        <v>44643</v>
      </c>
      <c r="B57" s="126">
        <v>685</v>
      </c>
      <c r="C57" s="126">
        <v>692</v>
      </c>
      <c r="D57" s="126">
        <v>690</v>
      </c>
    </row>
    <row r="58" spans="1:8">
      <c r="A58" s="139">
        <v>44644</v>
      </c>
      <c r="B58" s="126">
        <v>679</v>
      </c>
      <c r="C58" s="126">
        <v>687</v>
      </c>
      <c r="D58" s="126">
        <v>684</v>
      </c>
    </row>
    <row r="59" spans="1:8">
      <c r="A59" s="139">
        <v>44645</v>
      </c>
      <c r="B59" s="126">
        <v>681</v>
      </c>
      <c r="C59" s="126">
        <v>689</v>
      </c>
      <c r="D59" s="126">
        <v>686</v>
      </c>
    </row>
    <row r="60" spans="1:8">
      <c r="A60" s="139">
        <v>44648</v>
      </c>
      <c r="B60" s="126">
        <v>663</v>
      </c>
      <c r="C60" s="126">
        <v>668</v>
      </c>
      <c r="D60" s="126">
        <v>668</v>
      </c>
    </row>
    <row r="61" spans="1:8">
      <c r="A61" s="139">
        <v>44649</v>
      </c>
      <c r="B61" s="126">
        <v>654</v>
      </c>
      <c r="C61" s="126">
        <v>660</v>
      </c>
      <c r="D61" s="126">
        <v>662</v>
      </c>
    </row>
    <row r="62" spans="1:8">
      <c r="A62" s="139">
        <v>44650</v>
      </c>
      <c r="B62" s="126">
        <v>657</v>
      </c>
      <c r="C62" s="126">
        <v>663</v>
      </c>
      <c r="D62" s="126">
        <v>670</v>
      </c>
    </row>
    <row r="63" spans="1:8">
      <c r="A63" s="139">
        <v>44651</v>
      </c>
      <c r="B63" s="126">
        <v>639</v>
      </c>
      <c r="C63" s="126">
        <v>646</v>
      </c>
      <c r="D63" s="126">
        <v>653</v>
      </c>
    </row>
    <row r="64" spans="1:8">
      <c r="A64" s="139">
        <v>44652</v>
      </c>
      <c r="B64" s="126">
        <v>626</v>
      </c>
      <c r="C64" s="126">
        <v>633</v>
      </c>
      <c r="D64" s="126">
        <v>640</v>
      </c>
    </row>
    <row r="65" spans="1:4">
      <c r="A65" s="139">
        <v>44655</v>
      </c>
      <c r="B65" s="126">
        <v>630</v>
      </c>
      <c r="C65" s="126">
        <v>643</v>
      </c>
      <c r="D65" s="126">
        <v>648</v>
      </c>
    </row>
    <row r="66" spans="1:4">
      <c r="A66" s="139">
        <v>44656</v>
      </c>
      <c r="B66" s="126">
        <v>640</v>
      </c>
      <c r="C66" s="126">
        <v>652</v>
      </c>
      <c r="D66" s="126">
        <v>658</v>
      </c>
    </row>
    <row r="67" spans="1:4">
      <c r="A67" s="139">
        <v>44657</v>
      </c>
      <c r="B67" s="126">
        <v>635</v>
      </c>
      <c r="C67" s="126">
        <v>647</v>
      </c>
      <c r="D67" s="126">
        <v>654</v>
      </c>
    </row>
    <row r="68" spans="1:4">
      <c r="A68" s="139">
        <v>44658</v>
      </c>
      <c r="B68" s="126">
        <v>645</v>
      </c>
      <c r="C68" s="126">
        <v>655</v>
      </c>
      <c r="D68" s="126">
        <v>662</v>
      </c>
    </row>
    <row r="69" spans="1:4">
      <c r="A69" s="139">
        <v>44659</v>
      </c>
      <c r="B69" s="126">
        <v>660</v>
      </c>
      <c r="C69" s="126">
        <v>669</v>
      </c>
      <c r="D69" s="126">
        <v>678</v>
      </c>
    </row>
    <row r="70" spans="1:4">
      <c r="A70" s="139">
        <v>44662</v>
      </c>
      <c r="B70" s="126">
        <v>649</v>
      </c>
      <c r="C70" s="126">
        <v>658</v>
      </c>
      <c r="D70" s="126">
        <v>665</v>
      </c>
    </row>
    <row r="71" spans="1:4">
      <c r="A71" s="139">
        <v>44663</v>
      </c>
      <c r="B71" s="126">
        <v>653</v>
      </c>
      <c r="C71" s="126">
        <v>663</v>
      </c>
      <c r="D71" s="126">
        <v>669</v>
      </c>
    </row>
    <row r="72" spans="1:4">
      <c r="A72" s="139">
        <v>44664</v>
      </c>
      <c r="B72" s="126">
        <v>654</v>
      </c>
      <c r="C72" s="126">
        <v>665</v>
      </c>
      <c r="D72" s="126">
        <v>669</v>
      </c>
    </row>
    <row r="73" spans="1:4">
      <c r="A73" s="139">
        <v>44665</v>
      </c>
      <c r="B73" s="126">
        <v>654</v>
      </c>
      <c r="C73" s="126">
        <v>668</v>
      </c>
      <c r="D73" s="126">
        <v>671</v>
      </c>
    </row>
    <row r="74" spans="1:4">
      <c r="A74" s="139">
        <v>44666</v>
      </c>
      <c r="B74" s="126">
        <v>654</v>
      </c>
      <c r="C74" s="126">
        <v>668</v>
      </c>
      <c r="D74" s="126">
        <v>671</v>
      </c>
    </row>
    <row r="75" spans="1:4">
      <c r="A75" s="139">
        <v>44669</v>
      </c>
      <c r="B75" s="126">
        <v>663</v>
      </c>
      <c r="C75" s="126">
        <v>681</v>
      </c>
      <c r="D75" s="126">
        <v>680</v>
      </c>
    </row>
    <row r="76" spans="1:4">
      <c r="A76" s="139">
        <v>44670</v>
      </c>
      <c r="B76" s="126">
        <v>662</v>
      </c>
      <c r="C76" s="126">
        <v>681</v>
      </c>
      <c r="D76" s="126">
        <v>680</v>
      </c>
    </row>
    <row r="77" spans="1:4">
      <c r="A77" s="139">
        <v>44671</v>
      </c>
      <c r="B77" s="126">
        <v>671</v>
      </c>
      <c r="C77" s="126">
        <v>690</v>
      </c>
      <c r="D77" s="126">
        <v>691</v>
      </c>
    </row>
    <row r="78" spans="1:4">
      <c r="A78" s="139">
        <v>44672</v>
      </c>
      <c r="B78" s="126">
        <v>669</v>
      </c>
      <c r="C78" s="126">
        <v>689</v>
      </c>
      <c r="D78" s="126">
        <v>690</v>
      </c>
    </row>
    <row r="79" spans="1:4">
      <c r="A79" s="139">
        <v>44673</v>
      </c>
      <c r="B79" s="126">
        <v>656</v>
      </c>
      <c r="C79" s="126">
        <v>678</v>
      </c>
      <c r="D79" s="126">
        <v>678</v>
      </c>
    </row>
    <row r="80" spans="1:4">
      <c r="A80" s="139">
        <v>44676</v>
      </c>
      <c r="B80" s="126">
        <v>652</v>
      </c>
      <c r="C80" s="126">
        <v>677</v>
      </c>
      <c r="D80" s="126">
        <v>674</v>
      </c>
    </row>
    <row r="81" spans="1:4">
      <c r="A81" s="139">
        <v>44677</v>
      </c>
      <c r="B81" s="126">
        <v>652</v>
      </c>
      <c r="C81" s="126">
        <v>674</v>
      </c>
      <c r="D81" s="126">
        <v>674</v>
      </c>
    </row>
    <row r="82" spans="1:4">
      <c r="A82" s="139">
        <v>44678</v>
      </c>
      <c r="B82" s="126">
        <v>659</v>
      </c>
      <c r="C82" s="126">
        <v>678</v>
      </c>
      <c r="D82" s="126">
        <v>682</v>
      </c>
    </row>
    <row r="83" spans="1:4">
      <c r="A83" s="139">
        <v>44679</v>
      </c>
      <c r="B83" s="126">
        <v>656</v>
      </c>
      <c r="C83" s="126">
        <v>671</v>
      </c>
      <c r="D83" s="126">
        <v>676</v>
      </c>
    </row>
    <row r="84" spans="1:4">
      <c r="A84" s="139">
        <v>44680</v>
      </c>
      <c r="B84" s="126">
        <v>656</v>
      </c>
      <c r="C84" s="126">
        <v>672</v>
      </c>
      <c r="D84" s="126">
        <v>676</v>
      </c>
    </row>
    <row r="85" spans="1:4">
      <c r="A85" s="139">
        <v>44683</v>
      </c>
      <c r="B85" s="126">
        <v>644</v>
      </c>
      <c r="C85" s="126">
        <v>661</v>
      </c>
      <c r="D85" s="126">
        <v>664</v>
      </c>
    </row>
    <row r="86" spans="1:4">
      <c r="A86" s="139">
        <v>44684</v>
      </c>
      <c r="B86" s="126">
        <v>639</v>
      </c>
      <c r="C86" s="126">
        <v>653</v>
      </c>
      <c r="D86" s="126">
        <v>658</v>
      </c>
    </row>
    <row r="87" spans="1:4">
      <c r="A87" s="139">
        <v>44685</v>
      </c>
      <c r="B87" s="126">
        <v>641</v>
      </c>
      <c r="C87" s="126">
        <v>655</v>
      </c>
      <c r="D87" s="126">
        <v>662</v>
      </c>
    </row>
    <row r="88" spans="1:4">
      <c r="A88" s="139">
        <v>44686</v>
      </c>
      <c r="B88" s="126">
        <v>643</v>
      </c>
      <c r="C88" s="126">
        <v>657</v>
      </c>
      <c r="D88" s="126">
        <v>665</v>
      </c>
    </row>
    <row r="89" spans="1:4">
      <c r="A89" s="139">
        <v>44687</v>
      </c>
      <c r="B89" s="126">
        <v>636</v>
      </c>
      <c r="C89" s="126">
        <v>648</v>
      </c>
      <c r="D89" s="126">
        <v>657</v>
      </c>
    </row>
    <row r="90" spans="1:4">
      <c r="A90" s="139">
        <v>44690</v>
      </c>
      <c r="B90" s="126">
        <v>624</v>
      </c>
      <c r="C90" s="126">
        <v>638</v>
      </c>
      <c r="D90" s="126">
        <v>644</v>
      </c>
    </row>
    <row r="91" spans="1:4">
      <c r="A91" s="139">
        <v>44691</v>
      </c>
      <c r="B91" s="126">
        <v>625</v>
      </c>
      <c r="C91" s="126">
        <v>642</v>
      </c>
      <c r="D91" s="126">
        <v>647</v>
      </c>
    </row>
    <row r="92" spans="1:4">
      <c r="A92" s="139">
        <v>44692</v>
      </c>
      <c r="B92" s="126">
        <v>629</v>
      </c>
      <c r="C92" s="126">
        <v>649</v>
      </c>
      <c r="D92" s="126">
        <v>655</v>
      </c>
    </row>
    <row r="93" spans="1:4">
      <c r="A93" s="139">
        <v>44693</v>
      </c>
      <c r="B93" s="126">
        <v>633</v>
      </c>
      <c r="C93" s="126">
        <v>652</v>
      </c>
      <c r="D93" s="126">
        <v>658</v>
      </c>
    </row>
    <row r="94" spans="1:4">
      <c r="A94" s="139">
        <v>44694</v>
      </c>
      <c r="B94" s="126">
        <v>645</v>
      </c>
      <c r="C94" s="126">
        <v>655</v>
      </c>
      <c r="D94" s="126">
        <v>656</v>
      </c>
    </row>
    <row r="95" spans="1:4">
      <c r="A95" s="139">
        <v>44697</v>
      </c>
      <c r="B95" s="126">
        <v>648</v>
      </c>
      <c r="C95" s="126">
        <v>659</v>
      </c>
      <c r="D95" s="126">
        <v>660</v>
      </c>
    </row>
    <row r="96" spans="1:4">
      <c r="A96" s="139">
        <v>44698</v>
      </c>
      <c r="B96" s="126">
        <v>655</v>
      </c>
      <c r="C96" s="126">
        <v>667</v>
      </c>
      <c r="D96" s="126">
        <v>668</v>
      </c>
    </row>
    <row r="97" spans="1:4">
      <c r="A97" s="139">
        <v>44699</v>
      </c>
      <c r="B97" s="126">
        <v>649</v>
      </c>
      <c r="C97" s="126">
        <v>662</v>
      </c>
      <c r="D97" s="126">
        <v>662</v>
      </c>
    </row>
    <row r="98" spans="1:4">
      <c r="A98" s="139">
        <v>44700</v>
      </c>
      <c r="B98" s="126">
        <v>659</v>
      </c>
      <c r="C98" s="126">
        <v>674</v>
      </c>
      <c r="D98" s="126">
        <v>673</v>
      </c>
    </row>
    <row r="99" spans="1:4">
      <c r="A99" s="139">
        <v>44701</v>
      </c>
      <c r="B99" s="126">
        <v>663</v>
      </c>
      <c r="C99" s="126">
        <v>680</v>
      </c>
      <c r="D99" s="126">
        <v>680</v>
      </c>
    </row>
    <row r="100" spans="1:4">
      <c r="A100" s="139">
        <v>44704</v>
      </c>
      <c r="B100" s="126">
        <v>658</v>
      </c>
      <c r="C100" s="126">
        <v>673</v>
      </c>
      <c r="D100" s="126">
        <v>673</v>
      </c>
    </row>
    <row r="101" spans="1:4">
      <c r="A101" s="139">
        <v>44705</v>
      </c>
      <c r="B101" s="126">
        <v>659</v>
      </c>
      <c r="C101" s="126">
        <v>675</v>
      </c>
      <c r="D101" s="126">
        <v>675</v>
      </c>
    </row>
    <row r="102" spans="1:4">
      <c r="A102" s="139">
        <v>44706</v>
      </c>
      <c r="B102" s="126">
        <v>659</v>
      </c>
      <c r="C102" s="126">
        <v>672</v>
      </c>
      <c r="D102" s="126">
        <v>671</v>
      </c>
    </row>
    <row r="103" spans="1:4">
      <c r="A103" s="139">
        <v>44707</v>
      </c>
      <c r="B103" s="126">
        <v>669</v>
      </c>
      <c r="C103" s="126">
        <v>689</v>
      </c>
      <c r="D103" s="126">
        <v>688</v>
      </c>
    </row>
    <row r="104" spans="1:4">
      <c r="A104" s="139">
        <v>44708</v>
      </c>
      <c r="B104" s="126">
        <v>671</v>
      </c>
      <c r="C104" s="126">
        <v>692</v>
      </c>
      <c r="D104" s="126">
        <v>689</v>
      </c>
    </row>
    <row r="105" spans="1:4">
      <c r="A105" s="139">
        <v>44711</v>
      </c>
      <c r="B105" s="126">
        <v>671</v>
      </c>
      <c r="C105" s="126">
        <v>692</v>
      </c>
      <c r="D105" s="126">
        <v>689</v>
      </c>
    </row>
    <row r="106" spans="1:4">
      <c r="A106" s="139">
        <v>44712</v>
      </c>
      <c r="B106" s="126">
        <v>653</v>
      </c>
      <c r="C106" s="126">
        <v>677</v>
      </c>
      <c r="D106" s="126">
        <v>674</v>
      </c>
    </row>
    <row r="107" spans="1:4">
      <c r="A107" s="139">
        <v>44713</v>
      </c>
      <c r="B107" s="126">
        <v>656</v>
      </c>
      <c r="C107" s="126">
        <v>680</v>
      </c>
      <c r="D107" s="126">
        <v>676</v>
      </c>
    </row>
    <row r="108" spans="1:4">
      <c r="A108" s="139">
        <v>44714</v>
      </c>
      <c r="B108" s="126">
        <v>671</v>
      </c>
      <c r="C108" s="126">
        <v>694</v>
      </c>
      <c r="D108" s="126">
        <v>691</v>
      </c>
    </row>
    <row r="109" spans="1:4">
      <c r="A109" s="139">
        <v>44715</v>
      </c>
      <c r="B109" s="126">
        <v>659</v>
      </c>
      <c r="C109" s="126">
        <v>683</v>
      </c>
      <c r="D109" s="126">
        <v>679</v>
      </c>
    </row>
    <row r="110" spans="1:4">
      <c r="A110" s="139">
        <v>44718</v>
      </c>
      <c r="B110" s="126">
        <v>660</v>
      </c>
      <c r="C110" s="126">
        <v>681</v>
      </c>
      <c r="D110" s="126">
        <v>679</v>
      </c>
    </row>
    <row r="111" spans="1:4">
      <c r="A111" s="139">
        <v>44719</v>
      </c>
      <c r="B111" s="126">
        <v>671</v>
      </c>
      <c r="C111" s="126">
        <v>688</v>
      </c>
      <c r="D111" s="126">
        <v>690</v>
      </c>
    </row>
    <row r="112" spans="1:4">
      <c r="A112" s="139">
        <v>44720</v>
      </c>
      <c r="B112" s="126">
        <v>675</v>
      </c>
      <c r="C112" s="126">
        <v>689</v>
      </c>
      <c r="D112" s="126">
        <v>694</v>
      </c>
    </row>
    <row r="113" spans="1:4">
      <c r="A113" s="139">
        <v>44721</v>
      </c>
      <c r="B113" s="126">
        <v>685</v>
      </c>
      <c r="C113" s="126">
        <v>696</v>
      </c>
      <c r="D113" s="126">
        <v>703</v>
      </c>
    </row>
    <row r="114" spans="1:4">
      <c r="A114" s="139">
        <v>44722</v>
      </c>
      <c r="B114" s="126">
        <v>677</v>
      </c>
      <c r="C114" s="126">
        <v>682</v>
      </c>
      <c r="D114" s="126">
        <v>693</v>
      </c>
    </row>
    <row r="115" spans="1:4">
      <c r="A115" s="139">
        <v>44725</v>
      </c>
      <c r="B115" s="126">
        <v>657</v>
      </c>
      <c r="C115" s="126">
        <v>666</v>
      </c>
      <c r="D115" s="126">
        <v>679</v>
      </c>
    </row>
    <row r="116" spans="1:4">
      <c r="A116" s="139">
        <v>44726</v>
      </c>
      <c r="B116" s="126">
        <v>651</v>
      </c>
      <c r="C116" s="126">
        <v>659</v>
      </c>
      <c r="D116" s="126">
        <v>676</v>
      </c>
    </row>
    <row r="117" spans="1:4">
      <c r="A117" s="139">
        <v>44727</v>
      </c>
      <c r="B117" s="126">
        <v>650</v>
      </c>
      <c r="C117" s="126">
        <v>657</v>
      </c>
      <c r="D117" s="126">
        <v>670</v>
      </c>
    </row>
    <row r="118" spans="1:4">
      <c r="A118" s="139">
        <v>44728</v>
      </c>
      <c r="B118" s="126">
        <v>656</v>
      </c>
      <c r="C118" s="126">
        <v>664</v>
      </c>
      <c r="D118" s="126">
        <v>676</v>
      </c>
    </row>
    <row r="119" spans="1:4">
      <c r="A119" s="139">
        <v>44729</v>
      </c>
      <c r="B119" s="126">
        <v>656</v>
      </c>
      <c r="C119" s="126">
        <v>661</v>
      </c>
      <c r="D119" s="126">
        <v>673</v>
      </c>
    </row>
    <row r="120" spans="1:4">
      <c r="A120" s="139">
        <v>44732</v>
      </c>
      <c r="B120" s="126">
        <v>656</v>
      </c>
      <c r="C120" s="126">
        <v>661</v>
      </c>
      <c r="D120" s="126">
        <v>673</v>
      </c>
    </row>
    <row r="121" spans="1:4">
      <c r="A121" s="139">
        <v>44733</v>
      </c>
      <c r="B121" s="126">
        <v>646</v>
      </c>
      <c r="C121" s="126">
        <v>653</v>
      </c>
      <c r="D121" s="126">
        <v>665</v>
      </c>
    </row>
    <row r="122" spans="1:4">
      <c r="A122" s="139">
        <v>44734</v>
      </c>
      <c r="B122" s="126">
        <v>634</v>
      </c>
      <c r="C122" s="126">
        <v>640</v>
      </c>
      <c r="D122" s="126">
        <v>653</v>
      </c>
    </row>
    <row r="123" spans="1:4">
      <c r="A123" s="139">
        <v>44735</v>
      </c>
      <c r="B123" s="126">
        <v>606</v>
      </c>
      <c r="C123" s="126">
        <v>620</v>
      </c>
      <c r="D123" s="126">
        <v>630</v>
      </c>
    </row>
    <row r="124" spans="1:4">
      <c r="A124" s="139">
        <v>44736</v>
      </c>
      <c r="B124" s="126">
        <v>612</v>
      </c>
      <c r="C124" s="126">
        <v>626</v>
      </c>
      <c r="D124" s="126">
        <v>636</v>
      </c>
    </row>
    <row r="125" spans="1:4">
      <c r="A125" s="139">
        <v>44739</v>
      </c>
      <c r="B125" s="126">
        <v>617</v>
      </c>
      <c r="C125" s="126">
        <v>630</v>
      </c>
      <c r="D125" s="126">
        <v>643</v>
      </c>
    </row>
    <row r="126" spans="1:4">
      <c r="A126" s="139">
        <v>44740</v>
      </c>
      <c r="B126" s="126">
        <v>629</v>
      </c>
      <c r="C126" s="126">
        <v>635</v>
      </c>
      <c r="D126" s="126">
        <v>650</v>
      </c>
    </row>
    <row r="127" spans="1:4">
      <c r="A127" s="139">
        <v>44741</v>
      </c>
      <c r="B127" s="126">
        <v>624</v>
      </c>
      <c r="C127" s="126">
        <v>637</v>
      </c>
      <c r="D127" s="126">
        <v>654</v>
      </c>
    </row>
    <row r="128" spans="1:4">
      <c r="A128" s="139">
        <v>44742</v>
      </c>
      <c r="B128" s="126">
        <v>615</v>
      </c>
      <c r="C128" s="126">
        <v>636</v>
      </c>
      <c r="D128" s="126">
        <v>652</v>
      </c>
    </row>
    <row r="129" spans="1:4">
      <c r="A129" s="139">
        <v>44743</v>
      </c>
      <c r="B129" s="126">
        <v>597</v>
      </c>
      <c r="C129" s="126">
        <v>618</v>
      </c>
      <c r="D129" s="126">
        <v>634</v>
      </c>
    </row>
    <row r="130" spans="1:4">
      <c r="A130" s="139">
        <v>44746</v>
      </c>
      <c r="B130" s="126">
        <v>597</v>
      </c>
      <c r="C130" s="126">
        <v>618</v>
      </c>
      <c r="D130" s="126">
        <v>634</v>
      </c>
    </row>
    <row r="131" spans="1:4">
      <c r="A131" s="139">
        <v>44747</v>
      </c>
      <c r="B131" s="126">
        <v>573</v>
      </c>
      <c r="C131" s="126">
        <v>599</v>
      </c>
      <c r="D131" s="126">
        <v>616</v>
      </c>
    </row>
    <row r="132" spans="1:4">
      <c r="A132" s="139">
        <v>44748</v>
      </c>
      <c r="B132" s="126">
        <v>575</v>
      </c>
      <c r="C132" s="126">
        <v>599</v>
      </c>
      <c r="D132" s="126">
        <v>616</v>
      </c>
    </row>
    <row r="133" spans="1:4">
      <c r="A133" s="139">
        <v>44749</v>
      </c>
      <c r="B133" s="126">
        <v>586</v>
      </c>
      <c r="C133" s="126">
        <v>603</v>
      </c>
      <c r="D133" s="126">
        <v>620</v>
      </c>
    </row>
    <row r="134" spans="1:4">
      <c r="A134" s="139">
        <v>44750</v>
      </c>
      <c r="B134" s="126">
        <v>598</v>
      </c>
      <c r="C134" s="126">
        <v>617</v>
      </c>
      <c r="D134" s="126">
        <v>634</v>
      </c>
    </row>
    <row r="135" spans="1:4">
      <c r="A135" s="139">
        <v>44753</v>
      </c>
      <c r="B135" s="126">
        <v>600</v>
      </c>
      <c r="C135" s="126">
        <v>618</v>
      </c>
      <c r="D135" s="126">
        <v>632</v>
      </c>
    </row>
    <row r="136" spans="1:4">
      <c r="A136" s="139">
        <v>44754</v>
      </c>
      <c r="B136" s="126">
        <v>580</v>
      </c>
      <c r="C136" s="126">
        <v>599</v>
      </c>
      <c r="D136" s="126">
        <v>612</v>
      </c>
    </row>
    <row r="137" spans="1:4">
      <c r="A137" s="139">
        <v>44755</v>
      </c>
      <c r="B137" s="126">
        <v>586</v>
      </c>
      <c r="C137" s="126">
        <v>605</v>
      </c>
      <c r="D137" s="126">
        <v>617</v>
      </c>
    </row>
    <row r="138" spans="1:4">
      <c r="A138" s="139">
        <v>44756</v>
      </c>
      <c r="B138" s="126">
        <v>581</v>
      </c>
      <c r="C138" s="126">
        <v>600</v>
      </c>
      <c r="D138" s="126">
        <v>612</v>
      </c>
    </row>
    <row r="139" spans="1:4">
      <c r="A139" s="139">
        <v>44757</v>
      </c>
      <c r="B139" s="126">
        <v>581</v>
      </c>
      <c r="C139" s="126">
        <v>592</v>
      </c>
      <c r="D139" s="126">
        <v>610</v>
      </c>
    </row>
    <row r="140" spans="1:4">
      <c r="A140" s="139">
        <v>44760</v>
      </c>
      <c r="B140" s="126">
        <v>591</v>
      </c>
      <c r="C140" s="126">
        <v>601</v>
      </c>
      <c r="D140" s="126">
        <v>622</v>
      </c>
    </row>
    <row r="141" spans="1:4">
      <c r="A141" s="139">
        <v>44761</v>
      </c>
      <c r="B141" s="126">
        <v>586</v>
      </c>
      <c r="C141" s="126">
        <v>592</v>
      </c>
      <c r="D141" s="126">
        <v>611</v>
      </c>
    </row>
    <row r="142" spans="1:4">
      <c r="A142" s="139">
        <v>44762</v>
      </c>
      <c r="B142" s="126">
        <v>573</v>
      </c>
      <c r="C142" s="126">
        <v>581</v>
      </c>
      <c r="D142" s="126">
        <v>597</v>
      </c>
    </row>
    <row r="143" spans="1:4">
      <c r="A143" s="139">
        <v>44763</v>
      </c>
      <c r="B143" s="126">
        <v>564</v>
      </c>
      <c r="C143" s="126">
        <v>570</v>
      </c>
      <c r="D143" s="126">
        <v>586</v>
      </c>
    </row>
    <row r="144" spans="1:4">
      <c r="A144" s="139">
        <v>44764</v>
      </c>
      <c r="B144" s="126">
        <v>569</v>
      </c>
      <c r="C144" s="126">
        <v>577</v>
      </c>
      <c r="D144" s="126">
        <v>591</v>
      </c>
    </row>
    <row r="145" spans="1:4">
      <c r="A145" s="139">
        <v>44767</v>
      </c>
      <c r="B145" s="126">
        <v>583</v>
      </c>
      <c r="C145" s="126">
        <v>593</v>
      </c>
      <c r="D145" s="126">
        <v>606</v>
      </c>
    </row>
    <row r="146" spans="1:4">
      <c r="A146" s="139">
        <v>44768</v>
      </c>
      <c r="B146" s="126">
        <v>605</v>
      </c>
      <c r="C146" s="126">
        <v>610</v>
      </c>
      <c r="D146" s="126">
        <v>622</v>
      </c>
    </row>
    <row r="147" spans="1:4">
      <c r="A147" s="139">
        <v>44769</v>
      </c>
      <c r="B147" s="126">
        <v>622</v>
      </c>
      <c r="C147" s="126">
        <v>624</v>
      </c>
      <c r="D147" s="126">
        <v>635</v>
      </c>
    </row>
    <row r="148" spans="1:4">
      <c r="A148" s="139">
        <v>44770</v>
      </c>
      <c r="B148" s="126">
        <v>628</v>
      </c>
      <c r="C148" s="126">
        <v>630</v>
      </c>
      <c r="D148" s="126">
        <v>646</v>
      </c>
    </row>
    <row r="149" spans="1:4">
      <c r="A149" s="139">
        <v>44771</v>
      </c>
      <c r="B149" s="126">
        <v>638</v>
      </c>
      <c r="C149" s="126">
        <v>636</v>
      </c>
      <c r="D149" s="126">
        <v>657</v>
      </c>
    </row>
    <row r="150" spans="1:4">
      <c r="A150" s="139">
        <v>44774</v>
      </c>
      <c r="B150" s="126">
        <v>616</v>
      </c>
      <c r="C150" s="126">
        <v>614</v>
      </c>
      <c r="D150" s="126">
        <v>641</v>
      </c>
    </row>
    <row r="151" spans="1:4">
      <c r="A151" s="139">
        <v>44775</v>
      </c>
      <c r="B151" s="126">
        <v>600</v>
      </c>
      <c r="C151" s="126">
        <v>608</v>
      </c>
      <c r="D151" s="126">
        <v>628</v>
      </c>
    </row>
    <row r="152" spans="1:4">
      <c r="A152" s="139">
        <v>44776</v>
      </c>
      <c r="B152" s="126">
        <v>592</v>
      </c>
      <c r="C152" s="126">
        <v>604</v>
      </c>
      <c r="D152" s="126">
        <v>624</v>
      </c>
    </row>
    <row r="153" spans="1:4">
      <c r="A153" s="139">
        <v>44777</v>
      </c>
      <c r="B153" s="126">
        <v>607</v>
      </c>
      <c r="C153" s="126">
        <v>621</v>
      </c>
      <c r="D153" s="126">
        <v>607</v>
      </c>
    </row>
    <row r="154" spans="1:4">
      <c r="A154" s="139">
        <v>44778</v>
      </c>
      <c r="B154" s="126">
        <v>607</v>
      </c>
      <c r="C154" s="126">
        <v>618</v>
      </c>
      <c r="D154" s="126">
        <v>607</v>
      </c>
    </row>
    <row r="155" spans="1:4">
      <c r="A155" s="139">
        <v>44781</v>
      </c>
      <c r="B155" s="126">
        <v>607</v>
      </c>
      <c r="C155" s="126">
        <v>615</v>
      </c>
      <c r="D155" s="126">
        <v>608</v>
      </c>
    </row>
    <row r="156" spans="1:4">
      <c r="A156" s="139">
        <v>44782</v>
      </c>
      <c r="B156" s="126">
        <v>607</v>
      </c>
      <c r="C156" s="126">
        <v>625</v>
      </c>
      <c r="D156" s="126">
        <v>625</v>
      </c>
    </row>
    <row r="157" spans="1:4">
      <c r="A157" s="139">
        <v>44783</v>
      </c>
      <c r="B157" s="126">
        <v>604</v>
      </c>
      <c r="C157" s="126">
        <v>622</v>
      </c>
      <c r="D157" s="126">
        <v>624</v>
      </c>
    </row>
    <row r="158" spans="1:4">
      <c r="A158" s="139">
        <v>44784</v>
      </c>
      <c r="B158" s="126">
        <v>611</v>
      </c>
      <c r="C158" s="126">
        <v>624</v>
      </c>
      <c r="D158" s="126">
        <v>627</v>
      </c>
    </row>
    <row r="159" spans="1:4">
      <c r="A159" s="139">
        <v>44785</v>
      </c>
      <c r="B159" s="126">
        <v>612</v>
      </c>
      <c r="C159" s="126">
        <v>629</v>
      </c>
      <c r="D159" s="126">
        <v>632</v>
      </c>
    </row>
    <row r="160" spans="1:4">
      <c r="A160" s="139">
        <v>44788</v>
      </c>
      <c r="B160" s="126">
        <v>612</v>
      </c>
      <c r="C160" s="126">
        <v>615</v>
      </c>
      <c r="D160" s="126">
        <v>617</v>
      </c>
    </row>
    <row r="161" spans="1:4">
      <c r="A161" s="139">
        <v>44789</v>
      </c>
      <c r="B161" s="126">
        <v>593</v>
      </c>
      <c r="C161" s="126">
        <v>602</v>
      </c>
      <c r="D161" s="126">
        <v>602</v>
      </c>
    </row>
    <row r="162" spans="1:4">
      <c r="A162" s="139">
        <v>44790</v>
      </c>
      <c r="B162" s="126">
        <v>594</v>
      </c>
      <c r="C162" s="126">
        <v>609</v>
      </c>
      <c r="D162" s="126">
        <v>610</v>
      </c>
    </row>
    <row r="163" spans="1:4">
      <c r="A163" s="139">
        <v>44791</v>
      </c>
      <c r="B163" s="126">
        <v>596</v>
      </c>
      <c r="C163" s="126">
        <v>614</v>
      </c>
      <c r="D163" s="126">
        <v>617</v>
      </c>
    </row>
    <row r="164" spans="1:4">
      <c r="A164" s="139">
        <v>44792</v>
      </c>
      <c r="B164" s="126">
        <v>597</v>
      </c>
      <c r="C164" s="126">
        <v>611</v>
      </c>
      <c r="D164" s="126">
        <v>615</v>
      </c>
    </row>
    <row r="165" spans="1:4">
      <c r="A165" s="139">
        <v>44795</v>
      </c>
      <c r="B165" s="126">
        <v>607</v>
      </c>
      <c r="C165" s="126">
        <v>625</v>
      </c>
      <c r="D165" s="126">
        <v>631</v>
      </c>
    </row>
    <row r="166" spans="1:4">
      <c r="A166" s="139">
        <v>44796</v>
      </c>
      <c r="B166" s="126">
        <v>619</v>
      </c>
      <c r="C166" s="126">
        <v>636</v>
      </c>
      <c r="D166" s="126">
        <v>649</v>
      </c>
    </row>
    <row r="167" spans="1:4">
      <c r="A167" s="139">
        <v>44797</v>
      </c>
      <c r="B167" s="126">
        <v>619</v>
      </c>
      <c r="C167" s="126">
        <v>631</v>
      </c>
      <c r="D167" s="126">
        <v>647</v>
      </c>
    </row>
    <row r="168" spans="1:4">
      <c r="A168" s="139">
        <v>44798</v>
      </c>
      <c r="B168" s="126">
        <v>613</v>
      </c>
      <c r="C168" s="126">
        <v>631</v>
      </c>
      <c r="D168" s="126">
        <v>644</v>
      </c>
    </row>
    <row r="169" spans="1:4">
      <c r="A169" s="139">
        <v>44799</v>
      </c>
      <c r="B169" s="126">
        <v>624</v>
      </c>
      <c r="C169" s="126">
        <v>645</v>
      </c>
      <c r="D169" s="126">
        <v>663</v>
      </c>
    </row>
    <row r="170" spans="1:4">
      <c r="A170" s="139">
        <v>44802</v>
      </c>
      <c r="B170" s="126">
        <v>615</v>
      </c>
      <c r="C170" s="126">
        <v>625</v>
      </c>
      <c r="D170" s="126">
        <v>641</v>
      </c>
    </row>
    <row r="171" spans="1:4">
      <c r="A171" s="139">
        <v>44803</v>
      </c>
      <c r="B171" s="126">
        <v>611</v>
      </c>
      <c r="C171" s="126">
        <v>613</v>
      </c>
      <c r="D171" s="126">
        <v>633</v>
      </c>
    </row>
    <row r="172" spans="1:4">
      <c r="A172" s="139">
        <v>44804</v>
      </c>
      <c r="B172" s="126">
        <v>608</v>
      </c>
      <c r="C172" s="126">
        <v>616</v>
      </c>
      <c r="D172" s="126">
        <v>631</v>
      </c>
    </row>
    <row r="173" spans="1:4">
      <c r="A173" s="139">
        <v>44805</v>
      </c>
      <c r="B173" s="126">
        <v>597</v>
      </c>
      <c r="C173" s="126">
        <v>610</v>
      </c>
      <c r="D173" s="126">
        <v>618</v>
      </c>
    </row>
    <row r="174" spans="1:4">
      <c r="A174" s="139">
        <v>44806</v>
      </c>
      <c r="B174" s="126">
        <v>597</v>
      </c>
      <c r="C174" s="126">
        <v>617</v>
      </c>
      <c r="D174" s="126">
        <v>629</v>
      </c>
    </row>
    <row r="175" spans="1:4">
      <c r="A175" s="139">
        <v>44809</v>
      </c>
      <c r="B175" s="126">
        <v>605</v>
      </c>
      <c r="C175" s="126">
        <v>621</v>
      </c>
      <c r="D175" s="126">
        <v>629</v>
      </c>
    </row>
    <row r="176" spans="1:4">
      <c r="A176" s="139">
        <v>44810</v>
      </c>
      <c r="B176" s="126">
        <v>592</v>
      </c>
      <c r="C176" s="126">
        <v>617</v>
      </c>
      <c r="D176" s="126">
        <v>623</v>
      </c>
    </row>
    <row r="177" spans="1:4">
      <c r="A177" s="139">
        <v>44811</v>
      </c>
      <c r="B177" s="126">
        <v>583</v>
      </c>
      <c r="C177" s="126">
        <v>611</v>
      </c>
      <c r="D177" s="126">
        <v>617</v>
      </c>
    </row>
    <row r="178" spans="1:4">
      <c r="A178" s="139">
        <v>44812</v>
      </c>
      <c r="B178" s="126">
        <v>577</v>
      </c>
      <c r="C178" s="126">
        <v>607</v>
      </c>
      <c r="D178" s="126">
        <v>592</v>
      </c>
    </row>
    <row r="179" spans="1:4">
      <c r="A179" s="139">
        <v>44813</v>
      </c>
      <c r="B179" s="126">
        <v>582</v>
      </c>
      <c r="C179" s="126">
        <v>613</v>
      </c>
      <c r="D179" s="126">
        <v>602</v>
      </c>
    </row>
    <row r="180" spans="1:4">
      <c r="A180" s="139">
        <v>44816</v>
      </c>
      <c r="B180" s="126">
        <v>607</v>
      </c>
      <c r="C180" s="126">
        <v>637</v>
      </c>
      <c r="D180" s="126">
        <v>626</v>
      </c>
    </row>
    <row r="181" spans="1:4">
      <c r="A181" s="139">
        <v>44817</v>
      </c>
      <c r="B181" s="126">
        <v>594</v>
      </c>
      <c r="C181" s="126">
        <v>622</v>
      </c>
      <c r="D181" s="126">
        <v>619</v>
      </c>
    </row>
    <row r="182" spans="1:4">
      <c r="A182" s="139">
        <v>44818</v>
      </c>
      <c r="B182" s="126">
        <v>585</v>
      </c>
      <c r="C182" s="126">
        <v>608</v>
      </c>
      <c r="D182" s="126">
        <v>608</v>
      </c>
    </row>
    <row r="183" spans="1:4">
      <c r="A183" s="139">
        <v>44819</v>
      </c>
      <c r="B183" s="126">
        <v>579</v>
      </c>
      <c r="C183" s="126">
        <v>607</v>
      </c>
      <c r="D183" s="126">
        <v>607</v>
      </c>
    </row>
    <row r="184" spans="1:4">
      <c r="A184" s="139">
        <v>44820</v>
      </c>
      <c r="B184" s="126">
        <v>578</v>
      </c>
      <c r="C184" s="126">
        <v>606</v>
      </c>
      <c r="D184" s="126">
        <v>604</v>
      </c>
    </row>
    <row r="185" spans="1:4">
      <c r="A185" s="139">
        <v>44823</v>
      </c>
      <c r="B185" s="126">
        <v>583</v>
      </c>
      <c r="C185" s="126">
        <v>612</v>
      </c>
      <c r="D185" s="126">
        <v>609</v>
      </c>
    </row>
    <row r="186" spans="1:4">
      <c r="A186" s="139">
        <v>44824</v>
      </c>
      <c r="B186" s="126">
        <v>589</v>
      </c>
      <c r="C186" s="126">
        <v>619</v>
      </c>
      <c r="D186" s="126">
        <v>615</v>
      </c>
    </row>
    <row r="187" spans="1:4">
      <c r="A187" s="139">
        <v>44825</v>
      </c>
      <c r="B187" s="126">
        <v>584</v>
      </c>
      <c r="C187" s="126">
        <v>610</v>
      </c>
      <c r="D187" s="126">
        <v>609</v>
      </c>
    </row>
    <row r="188" spans="1:4">
      <c r="A188" s="139">
        <v>44826</v>
      </c>
      <c r="B188" s="126">
        <v>581</v>
      </c>
      <c r="C188" s="126">
        <v>611</v>
      </c>
      <c r="D188" s="126">
        <v>607</v>
      </c>
    </row>
    <row r="189" spans="1:4">
      <c r="A189" s="139">
        <v>44827</v>
      </c>
      <c r="B189" s="126">
        <v>570</v>
      </c>
      <c r="C189" s="126">
        <v>601</v>
      </c>
      <c r="D189" s="126">
        <v>596</v>
      </c>
    </row>
    <row r="190" spans="1:4">
      <c r="A190" s="139">
        <v>44830</v>
      </c>
      <c r="B190" s="126">
        <v>565</v>
      </c>
      <c r="C190" s="126">
        <v>595</v>
      </c>
      <c r="D190" s="126">
        <v>591</v>
      </c>
    </row>
    <row r="191" spans="1:4">
      <c r="A191" s="139">
        <v>44831</v>
      </c>
      <c r="B191" s="126">
        <v>565</v>
      </c>
      <c r="C191" s="126">
        <v>591</v>
      </c>
      <c r="D191" s="126">
        <v>589</v>
      </c>
    </row>
    <row r="192" spans="1:4">
      <c r="A192" s="139">
        <v>44832</v>
      </c>
      <c r="B192" s="126">
        <v>565</v>
      </c>
      <c r="C192" s="126">
        <v>591</v>
      </c>
      <c r="D192" s="126">
        <v>590</v>
      </c>
    </row>
    <row r="193" spans="1:4">
      <c r="A193" s="139">
        <v>44833</v>
      </c>
      <c r="B193" s="126">
        <v>566</v>
      </c>
      <c r="C193" s="126">
        <v>593</v>
      </c>
      <c r="D193" s="126">
        <v>590</v>
      </c>
    </row>
    <row r="194" spans="1:4">
      <c r="A194" s="139">
        <v>44834</v>
      </c>
      <c r="B194" s="126">
        <v>562</v>
      </c>
      <c r="C194" s="126">
        <v>576</v>
      </c>
      <c r="D194" s="126">
        <v>573</v>
      </c>
    </row>
    <row r="195" spans="1:4">
      <c r="A195" s="139">
        <v>44837</v>
      </c>
      <c r="B195" s="126">
        <v>565</v>
      </c>
      <c r="C195" s="126">
        <v>582</v>
      </c>
      <c r="D195" s="126">
        <v>577</v>
      </c>
    </row>
    <row r="196" spans="1:4">
      <c r="A196" s="139">
        <v>44838</v>
      </c>
      <c r="B196" s="126">
        <v>574</v>
      </c>
      <c r="C196" s="126">
        <v>587</v>
      </c>
      <c r="D196" s="126">
        <v>580</v>
      </c>
    </row>
    <row r="197" spans="1:4">
      <c r="A197" s="139">
        <v>44839</v>
      </c>
      <c r="B197" s="126">
        <v>569</v>
      </c>
      <c r="C197" s="126">
        <v>583</v>
      </c>
      <c r="D197" s="126">
        <v>577</v>
      </c>
    </row>
    <row r="198" spans="1:4">
      <c r="A198" s="139">
        <v>44840</v>
      </c>
      <c r="B198" s="126">
        <v>565</v>
      </c>
      <c r="C198" s="126">
        <v>582</v>
      </c>
      <c r="D198" s="126">
        <v>572</v>
      </c>
    </row>
    <row r="199" spans="1:4">
      <c r="A199" s="139">
        <v>44841</v>
      </c>
      <c r="B199" s="126">
        <v>565</v>
      </c>
      <c r="C199" s="126">
        <v>598</v>
      </c>
      <c r="D199" s="126">
        <v>578</v>
      </c>
    </row>
    <row r="200" spans="1:4">
      <c r="A200" s="140">
        <v>44844</v>
      </c>
      <c r="B200" s="126">
        <v>568</v>
      </c>
      <c r="C200" s="126">
        <v>600</v>
      </c>
      <c r="D200" s="126">
        <v>582</v>
      </c>
    </row>
    <row r="201" spans="1:4">
      <c r="A201" s="140">
        <v>44845</v>
      </c>
      <c r="B201" s="126">
        <v>579</v>
      </c>
      <c r="C201" s="126">
        <v>601</v>
      </c>
      <c r="D201" s="126">
        <v>588</v>
      </c>
    </row>
    <row r="202" spans="1:4">
      <c r="A202" s="140">
        <v>44846</v>
      </c>
      <c r="B202" s="126">
        <v>592</v>
      </c>
      <c r="C202" s="126">
        <v>607</v>
      </c>
      <c r="D202" s="126">
        <v>597</v>
      </c>
    </row>
    <row r="203" spans="1:4">
      <c r="A203" s="140">
        <v>44847</v>
      </c>
      <c r="B203" s="126">
        <v>592</v>
      </c>
      <c r="C203" s="126">
        <v>608</v>
      </c>
      <c r="D203" s="126">
        <v>597</v>
      </c>
    </row>
    <row r="204" spans="1:4">
      <c r="A204" s="140">
        <v>44848</v>
      </c>
      <c r="B204" s="126">
        <v>589</v>
      </c>
      <c r="C204" s="126">
        <v>604</v>
      </c>
      <c r="D204" s="126">
        <v>593</v>
      </c>
    </row>
    <row r="205" spans="1:4">
      <c r="A205" s="139">
        <v>44851</v>
      </c>
      <c r="B205" s="126">
        <v>590</v>
      </c>
      <c r="C205" s="126">
        <v>608</v>
      </c>
      <c r="D205" s="126">
        <v>597</v>
      </c>
    </row>
    <row r="206" spans="1:4">
      <c r="A206" s="139">
        <v>44852</v>
      </c>
      <c r="B206" s="126">
        <v>585</v>
      </c>
      <c r="C206" s="126">
        <v>603</v>
      </c>
      <c r="D206" s="126">
        <v>594</v>
      </c>
    </row>
    <row r="207" spans="1:4">
      <c r="A207" s="139">
        <v>44853</v>
      </c>
      <c r="B207" s="126">
        <v>590</v>
      </c>
      <c r="C207" s="126">
        <v>600</v>
      </c>
      <c r="D207" s="126">
        <v>596</v>
      </c>
    </row>
    <row r="208" spans="1:4">
      <c r="A208" s="139">
        <v>44854</v>
      </c>
      <c r="B208" s="126">
        <v>598</v>
      </c>
      <c r="C208" s="126">
        <v>601</v>
      </c>
      <c r="D208" s="126">
        <v>607</v>
      </c>
    </row>
    <row r="209" spans="1:4">
      <c r="A209" s="139">
        <v>44855</v>
      </c>
      <c r="B209" s="126">
        <v>599</v>
      </c>
      <c r="C209" s="126">
        <v>605</v>
      </c>
      <c r="D209" s="126">
        <v>608</v>
      </c>
    </row>
    <row r="210" spans="1:4">
      <c r="A210" s="139">
        <v>44858</v>
      </c>
      <c r="B210" s="126">
        <v>590</v>
      </c>
      <c r="C210" s="126">
        <v>596</v>
      </c>
      <c r="D210" s="126">
        <v>600</v>
      </c>
    </row>
    <row r="211" spans="1:4">
      <c r="A211" s="139">
        <v>44859</v>
      </c>
      <c r="B211" s="126">
        <v>594</v>
      </c>
      <c r="C211" s="126">
        <v>601</v>
      </c>
      <c r="D211" s="126">
        <v>603</v>
      </c>
    </row>
    <row r="212" spans="1:4">
      <c r="A212" s="139">
        <v>44860</v>
      </c>
      <c r="B212" s="126">
        <v>594</v>
      </c>
      <c r="C212" s="126">
        <v>602</v>
      </c>
      <c r="D212" s="126">
        <v>603</v>
      </c>
    </row>
    <row r="213" spans="1:4">
      <c r="A213" s="139">
        <v>44861</v>
      </c>
      <c r="B213" s="126">
        <v>590</v>
      </c>
      <c r="C213" s="126">
        <v>605</v>
      </c>
      <c r="D213" s="126">
        <v>603</v>
      </c>
    </row>
    <row r="214" spans="1:4">
      <c r="A214" s="139">
        <v>44862</v>
      </c>
      <c r="B214" s="126">
        <v>594</v>
      </c>
      <c r="C214" s="126">
        <v>607</v>
      </c>
      <c r="D214" s="126">
        <v>607</v>
      </c>
    </row>
    <row r="215" spans="1:4">
      <c r="A215" s="139">
        <v>44865</v>
      </c>
      <c r="B215" s="126">
        <v>603</v>
      </c>
      <c r="C215" s="126">
        <v>611</v>
      </c>
      <c r="D215" s="126">
        <v>614</v>
      </c>
    </row>
    <row r="216" spans="1:4">
      <c r="A216" s="139">
        <v>44866</v>
      </c>
      <c r="B216" s="126">
        <v>607</v>
      </c>
      <c r="C216" s="126">
        <v>618</v>
      </c>
      <c r="D216" s="126">
        <v>625</v>
      </c>
    </row>
    <row r="217" spans="1:4">
      <c r="A217" s="139">
        <v>44867</v>
      </c>
      <c r="B217" s="126">
        <v>610</v>
      </c>
      <c r="C217" s="126">
        <v>621</v>
      </c>
      <c r="D217" s="126">
        <v>630</v>
      </c>
    </row>
    <row r="218" spans="1:4">
      <c r="A218" s="139">
        <v>44868</v>
      </c>
      <c r="B218" s="126">
        <v>607</v>
      </c>
      <c r="C218" s="126">
        <v>613</v>
      </c>
      <c r="D218" s="126">
        <v>620</v>
      </c>
    </row>
    <row r="219" spans="1:4">
      <c r="A219" s="139">
        <v>44869</v>
      </c>
      <c r="B219" s="126">
        <v>614</v>
      </c>
      <c r="C219" s="126">
        <v>624</v>
      </c>
      <c r="D219" s="126">
        <v>629</v>
      </c>
    </row>
    <row r="220" spans="1:4">
      <c r="A220" s="139">
        <v>44872</v>
      </c>
      <c r="B220" s="126">
        <v>610</v>
      </c>
      <c r="C220" s="126">
        <v>619</v>
      </c>
      <c r="D220" s="126">
        <v>625</v>
      </c>
    </row>
    <row r="221" spans="1:4">
      <c r="A221" s="139">
        <v>44873</v>
      </c>
      <c r="B221" s="126">
        <v>609</v>
      </c>
      <c r="C221" s="126">
        <v>622</v>
      </c>
      <c r="D221" s="126">
        <v>623</v>
      </c>
    </row>
    <row r="222" spans="1:4">
      <c r="A222" s="139">
        <v>44874</v>
      </c>
      <c r="B222" s="126">
        <v>611</v>
      </c>
      <c r="C222" s="126">
        <v>624</v>
      </c>
      <c r="D222" s="126">
        <v>622</v>
      </c>
    </row>
    <row r="223" spans="1:4">
      <c r="A223" s="139">
        <v>44875</v>
      </c>
      <c r="B223" s="126">
        <v>600</v>
      </c>
      <c r="C223" s="126">
        <v>617</v>
      </c>
      <c r="D223" s="126">
        <v>611</v>
      </c>
    </row>
    <row r="224" spans="1:4">
      <c r="A224" s="139">
        <v>44876</v>
      </c>
      <c r="B224" s="126">
        <v>608</v>
      </c>
      <c r="C224" s="126">
        <v>626</v>
      </c>
      <c r="D224" s="126">
        <v>619</v>
      </c>
    </row>
    <row r="225" spans="1:4">
      <c r="A225" s="139">
        <v>44879</v>
      </c>
      <c r="B225" s="126">
        <v>605</v>
      </c>
      <c r="C225" s="126">
        <v>621</v>
      </c>
      <c r="D225" s="126">
        <v>614</v>
      </c>
    </row>
    <row r="226" spans="1:4">
      <c r="A226" s="139">
        <v>44880</v>
      </c>
      <c r="B226" s="126">
        <v>611</v>
      </c>
      <c r="C226" s="126">
        <v>627</v>
      </c>
      <c r="D226" s="126">
        <v>614</v>
      </c>
    </row>
    <row r="227" spans="1:4">
      <c r="A227" s="139">
        <v>44881</v>
      </c>
      <c r="B227" s="126">
        <v>597</v>
      </c>
      <c r="C227" s="126">
        <v>608</v>
      </c>
      <c r="D227" s="126">
        <v>600</v>
      </c>
    </row>
    <row r="228" spans="1:4">
      <c r="A228" s="139">
        <v>44882</v>
      </c>
      <c r="B228" s="126">
        <v>597</v>
      </c>
      <c r="C228" s="126">
        <v>603</v>
      </c>
      <c r="D228" s="126">
        <v>594</v>
      </c>
    </row>
    <row r="229" spans="1:4">
      <c r="A229" s="139">
        <v>44883</v>
      </c>
      <c r="B229" s="126">
        <v>596</v>
      </c>
      <c r="C229" s="126">
        <v>609</v>
      </c>
      <c r="D229" s="126">
        <v>598</v>
      </c>
    </row>
    <row r="230" spans="1:4">
      <c r="A230" s="139">
        <v>44886</v>
      </c>
      <c r="B230" s="126">
        <v>596</v>
      </c>
      <c r="C230" s="126">
        <v>611</v>
      </c>
      <c r="D230" s="126">
        <v>601</v>
      </c>
    </row>
    <row r="231" spans="1:4">
      <c r="A231" s="139">
        <v>44887</v>
      </c>
      <c r="B231" s="126">
        <v>591</v>
      </c>
      <c r="C231" s="126">
        <v>604</v>
      </c>
      <c r="D231" s="126">
        <v>595</v>
      </c>
    </row>
    <row r="232" spans="1:4">
      <c r="A232" s="139">
        <v>44888</v>
      </c>
      <c r="B232" s="126">
        <v>592</v>
      </c>
      <c r="C232" s="126">
        <v>607</v>
      </c>
      <c r="D232" s="126">
        <v>597</v>
      </c>
    </row>
    <row r="233" spans="1:4">
      <c r="A233" s="139">
        <v>44889</v>
      </c>
      <c r="B233" s="126">
        <v>592</v>
      </c>
      <c r="C233" s="126">
        <v>607</v>
      </c>
      <c r="D233" s="126">
        <v>597</v>
      </c>
    </row>
    <row r="234" spans="1:4">
      <c r="A234" s="139">
        <v>44890</v>
      </c>
      <c r="B234" s="126">
        <v>592</v>
      </c>
      <c r="C234" s="126">
        <v>605</v>
      </c>
      <c r="D234" s="126">
        <v>598</v>
      </c>
    </row>
    <row r="235" spans="1:4">
      <c r="A235" s="139">
        <v>44893</v>
      </c>
      <c r="B235" s="126">
        <v>591</v>
      </c>
      <c r="C235" s="126">
        <v>609</v>
      </c>
      <c r="D235" s="126">
        <v>602</v>
      </c>
    </row>
    <row r="236" spans="1:4">
      <c r="A236" s="139">
        <v>44894</v>
      </c>
      <c r="B236" s="126">
        <v>589</v>
      </c>
      <c r="C236" s="126">
        <v>606</v>
      </c>
      <c r="D236" s="126">
        <v>599</v>
      </c>
    </row>
    <row r="237" spans="1:4">
      <c r="A237" s="139">
        <v>44895</v>
      </c>
      <c r="B237" s="126">
        <v>592</v>
      </c>
      <c r="C237" s="126">
        <v>610</v>
      </c>
      <c r="D237" s="126">
        <v>601</v>
      </c>
    </row>
    <row r="238" spans="1:4">
      <c r="A238" s="139">
        <v>44896</v>
      </c>
      <c r="B238" s="126">
        <v>586</v>
      </c>
      <c r="C238" s="126">
        <v>596</v>
      </c>
      <c r="D238" s="126">
        <v>579</v>
      </c>
    </row>
    <row r="239" spans="1:4">
      <c r="A239" s="139">
        <v>44897</v>
      </c>
      <c r="B239" s="126">
        <v>589</v>
      </c>
      <c r="C239" s="126">
        <v>596</v>
      </c>
      <c r="D239" s="126">
        <v>582</v>
      </c>
    </row>
    <row r="240" spans="1:4">
      <c r="A240" s="139">
        <v>44900</v>
      </c>
      <c r="B240" s="126">
        <v>589</v>
      </c>
      <c r="C240" s="126">
        <v>591</v>
      </c>
      <c r="D240" s="126">
        <v>582</v>
      </c>
    </row>
    <row r="241" spans="1:4">
      <c r="A241" s="139">
        <v>44901</v>
      </c>
      <c r="B241" s="126">
        <v>604</v>
      </c>
      <c r="C241" s="126">
        <v>592</v>
      </c>
      <c r="D241" s="126">
        <v>588</v>
      </c>
    </row>
    <row r="242" spans="1:4">
      <c r="A242" s="139">
        <v>44902</v>
      </c>
      <c r="B242" s="126">
        <v>611</v>
      </c>
      <c r="C242" s="126">
        <v>587</v>
      </c>
      <c r="D242" s="126">
        <v>595</v>
      </c>
    </row>
    <row r="243" spans="1:4">
      <c r="A243" s="139">
        <v>44903</v>
      </c>
      <c r="B243" s="126">
        <v>616</v>
      </c>
      <c r="C243" s="126">
        <v>587</v>
      </c>
      <c r="D243" s="126">
        <v>603</v>
      </c>
    </row>
    <row r="244" spans="1:4">
      <c r="A244" s="139">
        <v>44904</v>
      </c>
      <c r="B244" s="126">
        <v>615</v>
      </c>
      <c r="C244" s="126">
        <v>587</v>
      </c>
      <c r="D244" s="126">
        <v>601</v>
      </c>
    </row>
    <row r="245" spans="1:4">
      <c r="A245" s="139">
        <v>44907</v>
      </c>
      <c r="B245" s="126">
        <v>614</v>
      </c>
      <c r="C245" s="126">
        <v>581</v>
      </c>
      <c r="D245" s="126">
        <v>595</v>
      </c>
    </row>
    <row r="246" spans="1:4">
      <c r="A246" s="139">
        <v>44908</v>
      </c>
      <c r="B246" s="126">
        <v>630</v>
      </c>
      <c r="C246" s="126">
        <v>588</v>
      </c>
      <c r="D246" s="126">
        <v>606</v>
      </c>
    </row>
    <row r="247" spans="1:4">
      <c r="A247" s="139">
        <v>44909</v>
      </c>
      <c r="B247" s="126">
        <v>631</v>
      </c>
      <c r="C247" s="126">
        <v>589</v>
      </c>
      <c r="D247" s="126">
        <v>609</v>
      </c>
    </row>
    <row r="248" spans="1:4">
      <c r="A248" s="139">
        <v>44910</v>
      </c>
      <c r="B248" s="126">
        <v>628</v>
      </c>
      <c r="C248" s="126">
        <v>586</v>
      </c>
      <c r="D248" s="126">
        <v>602</v>
      </c>
    </row>
    <row r="249" spans="1:4">
      <c r="A249" s="139">
        <v>44911</v>
      </c>
      <c r="B249" s="126">
        <v>625</v>
      </c>
      <c r="C249" s="126">
        <v>588</v>
      </c>
      <c r="D249" s="126">
        <v>604</v>
      </c>
    </row>
    <row r="250" spans="1:4">
      <c r="A250" s="139">
        <v>44914</v>
      </c>
      <c r="B250" s="126">
        <v>625</v>
      </c>
      <c r="C250" s="126">
        <v>579</v>
      </c>
      <c r="D250" s="126">
        <v>597</v>
      </c>
    </row>
    <row r="251" spans="1:4">
      <c r="A251" s="139">
        <v>44915</v>
      </c>
      <c r="B251" s="126">
        <v>625</v>
      </c>
      <c r="C251" s="126">
        <v>586</v>
      </c>
      <c r="D251" s="126">
        <v>604</v>
      </c>
    </row>
    <row r="252" spans="1:4">
      <c r="A252" s="139">
        <v>44916</v>
      </c>
      <c r="B252" s="126">
        <v>630</v>
      </c>
      <c r="C252" s="126">
        <v>585</v>
      </c>
      <c r="D252" s="126">
        <v>605</v>
      </c>
    </row>
    <row r="253" spans="1:4">
      <c r="A253" s="139">
        <v>44917</v>
      </c>
      <c r="B253" s="126">
        <v>625</v>
      </c>
      <c r="C253" s="126">
        <v>580</v>
      </c>
      <c r="D253" s="126">
        <v>600</v>
      </c>
    </row>
    <row r="254" spans="1:4">
      <c r="A254" s="139">
        <v>44918</v>
      </c>
      <c r="B254" s="126">
        <v>629</v>
      </c>
      <c r="C254" s="126">
        <v>584</v>
      </c>
      <c r="D254" s="126">
        <v>604</v>
      </c>
    </row>
    <row r="255" spans="1:4">
      <c r="A255" s="139">
        <v>44921</v>
      </c>
      <c r="B255" s="126">
        <v>625</v>
      </c>
      <c r="C255" s="126">
        <v>584</v>
      </c>
      <c r="D255" s="126">
        <v>604</v>
      </c>
    </row>
    <row r="256" spans="1:4">
      <c r="A256" s="139">
        <v>44922</v>
      </c>
      <c r="B256" s="126">
        <v>625</v>
      </c>
      <c r="C256" s="126">
        <v>585</v>
      </c>
      <c r="D256" s="126">
        <v>605</v>
      </c>
    </row>
    <row r="257" spans="1:4">
      <c r="A257" s="139">
        <v>44923</v>
      </c>
      <c r="B257" s="126">
        <v>614</v>
      </c>
      <c r="C257" s="126">
        <v>598</v>
      </c>
      <c r="D257" s="126">
        <v>614</v>
      </c>
    </row>
    <row r="258" spans="1:4">
      <c r="A258" s="139">
        <v>44924</v>
      </c>
      <c r="B258" s="126">
        <v>615</v>
      </c>
      <c r="C258" s="126">
        <v>598</v>
      </c>
      <c r="D258" s="126">
        <v>613</v>
      </c>
    </row>
    <row r="259" spans="1:4">
      <c r="A259" s="139">
        <v>44925</v>
      </c>
      <c r="B259" s="126">
        <v>619</v>
      </c>
      <c r="C259" s="126">
        <v>602</v>
      </c>
      <c r="D259" s="126">
        <v>617</v>
      </c>
    </row>
    <row r="260" spans="1:4">
      <c r="A260" s="139">
        <v>44928</v>
      </c>
      <c r="B260" s="126">
        <v>618</v>
      </c>
      <c r="C260" s="126">
        <v>602</v>
      </c>
      <c r="D260" s="126">
        <v>617</v>
      </c>
    </row>
    <row r="261" spans="1:4">
      <c r="A261" s="139">
        <v>44929</v>
      </c>
      <c r="B261" s="126">
        <v>610</v>
      </c>
      <c r="C261" s="126">
        <v>592</v>
      </c>
      <c r="D261" s="126">
        <v>605</v>
      </c>
    </row>
    <row r="262" spans="1:4">
      <c r="A262" s="139">
        <v>44930</v>
      </c>
      <c r="B262" s="126">
        <v>606</v>
      </c>
      <c r="C262" s="126">
        <v>589</v>
      </c>
      <c r="D262" s="126">
        <v>600</v>
      </c>
    </row>
    <row r="263" spans="1:4">
      <c r="A263" s="139"/>
    </row>
    <row r="264" spans="1:4">
      <c r="A264" s="139"/>
    </row>
    <row r="265" spans="1:4">
      <c r="A265" s="139"/>
    </row>
    <row r="266" spans="1:4">
      <c r="A266" s="139"/>
    </row>
    <row r="267" spans="1:4">
      <c r="A267" s="139"/>
    </row>
    <row r="268" spans="1:4">
      <c r="A268" s="139"/>
    </row>
    <row r="269" spans="1:4">
      <c r="A269" s="13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C7B9-80B7-48D1-B009-CCD26EBABEC7}">
  <dimension ref="A1:I93"/>
  <sheetViews>
    <sheetView workbookViewId="0"/>
  </sheetViews>
  <sheetFormatPr defaultColWidth="9.109375" defaultRowHeight="13.2"/>
  <cols>
    <col min="1" max="1" width="29.44140625" style="126" customWidth="1"/>
    <col min="2" max="2" width="13.6640625" style="126" customWidth="1"/>
    <col min="3" max="5" width="13.33203125" style="126" customWidth="1"/>
    <col min="6" max="7" width="10.44140625" style="126" bestFit="1" customWidth="1"/>
    <col min="8" max="16384" width="9.109375" style="126"/>
  </cols>
  <sheetData>
    <row r="1" spans="1:9" ht="26.4">
      <c r="A1" s="143" t="s">
        <v>169</v>
      </c>
      <c r="B1" s="143" t="s">
        <v>162</v>
      </c>
      <c r="C1" s="143" t="s">
        <v>164</v>
      </c>
      <c r="D1" s="143" t="s">
        <v>163</v>
      </c>
      <c r="E1" s="143" t="s">
        <v>165</v>
      </c>
      <c r="F1" s="143" t="s">
        <v>166</v>
      </c>
      <c r="G1" s="143" t="s">
        <v>167</v>
      </c>
      <c r="H1" s="143" t="s">
        <v>168</v>
      </c>
    </row>
    <row r="2" spans="1:9">
      <c r="A2" s="126" t="s">
        <v>170</v>
      </c>
      <c r="B2" s="144">
        <v>0.10037445111931251</v>
      </c>
      <c r="C2" s="144">
        <v>9.9458527518116416E-2</v>
      </c>
      <c r="D2" s="145">
        <v>0.51902337401111676</v>
      </c>
      <c r="E2" s="146">
        <v>9.1664197264800684E-2</v>
      </c>
      <c r="F2" s="145">
        <v>5.1291721666980955E-2</v>
      </c>
      <c r="G2" s="145">
        <v>6.0343201961154058E-2</v>
      </c>
      <c r="H2" s="147">
        <v>7.7844526458518692E-2</v>
      </c>
      <c r="I2" s="147"/>
    </row>
    <row r="3" spans="1:9">
      <c r="A3" s="148" t="s">
        <v>74</v>
      </c>
      <c r="B3" s="154">
        <v>558.9</v>
      </c>
      <c r="C3" s="154">
        <v>553.79999999999995</v>
      </c>
      <c r="D3" s="154">
        <v>2890</v>
      </c>
      <c r="E3" s="154">
        <v>510.4</v>
      </c>
      <c r="F3" s="154">
        <v>285.60000000000002</v>
      </c>
      <c r="G3" s="154">
        <v>336</v>
      </c>
      <c r="H3" s="154">
        <v>433.45</v>
      </c>
      <c r="I3" s="154">
        <f>SUM(B3:H3)</f>
        <v>5568.15</v>
      </c>
    </row>
    <row r="4" spans="1:9">
      <c r="A4" s="148"/>
      <c r="B4" s="144"/>
      <c r="C4" s="144"/>
      <c r="D4" s="144"/>
      <c r="E4" s="144"/>
      <c r="F4" s="144"/>
      <c r="G4" s="144"/>
      <c r="I4" s="149"/>
    </row>
    <row r="5" spans="1:9">
      <c r="A5" s="148"/>
      <c r="B5" s="150"/>
      <c r="C5" s="150"/>
    </row>
    <row r="6" spans="1:9">
      <c r="A6" s="148"/>
      <c r="B6" s="150"/>
      <c r="C6" s="150"/>
    </row>
    <row r="7" spans="1:9">
      <c r="A7" s="148"/>
      <c r="B7" s="150"/>
      <c r="C7" s="150"/>
    </row>
    <row r="8" spans="1:9">
      <c r="A8" s="148"/>
      <c r="B8" s="150"/>
      <c r="C8" s="150"/>
    </row>
    <row r="9" spans="1:9">
      <c r="A9" s="148"/>
      <c r="B9" s="150"/>
      <c r="C9" s="150"/>
    </row>
    <row r="10" spans="1:9">
      <c r="A10" s="148"/>
      <c r="B10" s="150"/>
      <c r="C10" s="150"/>
    </row>
    <row r="11" spans="1:9">
      <c r="A11" s="151"/>
      <c r="B11" s="150"/>
      <c r="C11" s="150"/>
    </row>
    <row r="12" spans="1:9">
      <c r="A12" s="151"/>
      <c r="B12" s="150"/>
      <c r="C12" s="150"/>
    </row>
    <row r="13" spans="1:9">
      <c r="A13" s="148"/>
      <c r="B13" s="150"/>
      <c r="C13" s="150"/>
    </row>
    <row r="14" spans="1:9">
      <c r="A14" s="148"/>
      <c r="B14" s="150"/>
      <c r="C14" s="150"/>
    </row>
    <row r="15" spans="1:9">
      <c r="A15" s="151"/>
      <c r="B15" s="152"/>
      <c r="C15" s="152"/>
    </row>
    <row r="16" spans="1:9">
      <c r="A16" s="151"/>
      <c r="B16" s="152"/>
      <c r="C16" s="152"/>
    </row>
    <row r="17" spans="1:3">
      <c r="A17" s="151"/>
      <c r="B17" s="152"/>
      <c r="C17" s="152"/>
    </row>
    <row r="18" spans="1:3">
      <c r="A18" s="148"/>
      <c r="B18" s="152"/>
      <c r="C18" s="152"/>
    </row>
    <row r="19" spans="1:3">
      <c r="A19" s="148"/>
      <c r="B19" s="152"/>
      <c r="C19" s="152"/>
    </row>
    <row r="20" spans="1:3">
      <c r="A20" s="148"/>
      <c r="B20" s="148"/>
      <c r="C20" s="148"/>
    </row>
    <row r="21" spans="1:3">
      <c r="A21" s="148"/>
      <c r="B21" s="148"/>
      <c r="C21" s="148"/>
    </row>
    <row r="22" spans="1:3">
      <c r="A22" s="148"/>
      <c r="B22" s="148"/>
      <c r="C22" s="148"/>
    </row>
    <row r="23" spans="1:3">
      <c r="A23" s="148"/>
      <c r="B23" s="148"/>
      <c r="C23" s="148"/>
    </row>
    <row r="24" spans="1:3">
      <c r="A24" s="148"/>
      <c r="B24" s="148"/>
      <c r="C24" s="148"/>
    </row>
    <row r="25" spans="1:3">
      <c r="A25" s="148"/>
      <c r="B25" s="148"/>
      <c r="C25" s="148"/>
    </row>
    <row r="26" spans="1:3">
      <c r="A26" s="148"/>
      <c r="B26" s="148"/>
      <c r="C26" s="148"/>
    </row>
    <row r="27" spans="1:3">
      <c r="A27" s="148"/>
      <c r="B27" s="148"/>
      <c r="C27" s="148"/>
    </row>
    <row r="28" spans="1:3">
      <c r="A28" s="148"/>
      <c r="B28" s="148"/>
      <c r="C28" s="148"/>
    </row>
    <row r="29" spans="1:3">
      <c r="A29" s="148"/>
      <c r="B29" s="148"/>
      <c r="C29" s="148"/>
    </row>
    <row r="30" spans="1:3">
      <c r="A30" s="148"/>
      <c r="B30" s="148"/>
      <c r="C30" s="148"/>
    </row>
    <row r="31" spans="1:3">
      <c r="A31" s="148"/>
      <c r="B31" s="148"/>
      <c r="C31" s="148"/>
    </row>
    <row r="32" spans="1:3">
      <c r="A32" s="148"/>
      <c r="B32" s="148"/>
      <c r="C32" s="148"/>
    </row>
    <row r="33" spans="1:3">
      <c r="A33" s="148"/>
      <c r="B33" s="148"/>
      <c r="C33" s="148"/>
    </row>
    <row r="34" spans="1:3">
      <c r="A34" s="148"/>
      <c r="B34" s="148"/>
      <c r="C34" s="148"/>
    </row>
    <row r="35" spans="1:3">
      <c r="A35" s="148"/>
      <c r="B35" s="148"/>
      <c r="C35" s="148"/>
    </row>
    <row r="36" spans="1:3">
      <c r="A36" s="148"/>
      <c r="B36" s="148"/>
      <c r="C36" s="148"/>
    </row>
    <row r="37" spans="1:3">
      <c r="A37" s="148"/>
      <c r="B37" s="148"/>
      <c r="C37" s="148"/>
    </row>
    <row r="38" spans="1:3">
      <c r="A38" s="148"/>
      <c r="B38" s="148"/>
      <c r="C38" s="148"/>
    </row>
    <row r="39" spans="1:3">
      <c r="A39" s="148"/>
      <c r="B39" s="148"/>
      <c r="C39" s="148"/>
    </row>
    <row r="40" spans="1:3">
      <c r="A40" s="148"/>
      <c r="B40" s="148"/>
      <c r="C40" s="148"/>
    </row>
    <row r="41" spans="1:3">
      <c r="A41" s="148"/>
      <c r="B41" s="148"/>
      <c r="C41" s="148"/>
    </row>
    <row r="42" spans="1:3">
      <c r="A42" s="148"/>
      <c r="B42" s="148"/>
      <c r="C42" s="148"/>
    </row>
    <row r="43" spans="1:3">
      <c r="A43" s="148"/>
      <c r="B43" s="148"/>
      <c r="C43" s="148"/>
    </row>
    <row r="44" spans="1:3">
      <c r="A44" s="148"/>
      <c r="B44" s="148"/>
      <c r="C44" s="148"/>
    </row>
    <row r="45" spans="1:3">
      <c r="A45" s="148"/>
      <c r="B45" s="148"/>
      <c r="C45" s="148"/>
    </row>
    <row r="46" spans="1:3">
      <c r="A46" s="148"/>
      <c r="B46" s="148"/>
      <c r="C46" s="148"/>
    </row>
    <row r="47" spans="1:3">
      <c r="A47" s="148"/>
      <c r="B47" s="148"/>
      <c r="C47" s="148"/>
    </row>
    <row r="48" spans="1:3">
      <c r="A48" s="148"/>
      <c r="B48" s="148"/>
      <c r="C48" s="148"/>
    </row>
    <row r="49" spans="1:3">
      <c r="A49" s="148"/>
      <c r="B49" s="148"/>
      <c r="C49" s="148"/>
    </row>
    <row r="50" spans="1:3">
      <c r="A50" s="148"/>
      <c r="B50" s="148"/>
      <c r="C50" s="148"/>
    </row>
    <row r="51" spans="1:3">
      <c r="A51" s="148"/>
      <c r="B51" s="148"/>
      <c r="C51" s="148"/>
    </row>
    <row r="52" spans="1:3">
      <c r="A52" s="148"/>
      <c r="B52" s="148"/>
      <c r="C52" s="148"/>
    </row>
    <row r="53" spans="1:3">
      <c r="A53" s="148"/>
      <c r="B53" s="148"/>
      <c r="C53" s="148"/>
    </row>
    <row r="54" spans="1:3">
      <c r="A54" s="148"/>
      <c r="B54" s="148"/>
      <c r="C54" s="148"/>
    </row>
    <row r="55" spans="1:3">
      <c r="A55" s="148"/>
      <c r="B55" s="148"/>
      <c r="C55" s="148"/>
    </row>
    <row r="56" spans="1:3">
      <c r="A56" s="148"/>
      <c r="B56" s="148"/>
      <c r="C56" s="148"/>
    </row>
    <row r="57" spans="1:3">
      <c r="A57" s="148"/>
      <c r="B57" s="148"/>
      <c r="C57" s="148"/>
    </row>
    <row r="58" spans="1:3">
      <c r="A58" s="148"/>
      <c r="B58" s="148"/>
      <c r="C58" s="148"/>
    </row>
    <row r="59" spans="1:3">
      <c r="A59" s="148"/>
      <c r="B59" s="148"/>
      <c r="C59" s="148"/>
    </row>
    <row r="60" spans="1:3">
      <c r="A60" s="148"/>
      <c r="B60" s="148"/>
      <c r="C60" s="148"/>
    </row>
    <row r="61" spans="1:3">
      <c r="A61" s="148"/>
      <c r="B61" s="148"/>
      <c r="C61" s="148"/>
    </row>
    <row r="62" spans="1:3">
      <c r="A62" s="148"/>
      <c r="B62" s="148"/>
      <c r="C62" s="148"/>
    </row>
    <row r="63" spans="1:3">
      <c r="A63" s="148"/>
      <c r="B63" s="148"/>
      <c r="C63" s="148"/>
    </row>
    <row r="64" spans="1:3">
      <c r="A64" s="148"/>
      <c r="B64" s="148"/>
      <c r="C64" s="148"/>
    </row>
    <row r="65" spans="1:3">
      <c r="A65" s="148"/>
      <c r="B65" s="148"/>
      <c r="C65" s="148"/>
    </row>
    <row r="66" spans="1:3">
      <c r="A66" s="148"/>
      <c r="B66" s="148"/>
      <c r="C66" s="148"/>
    </row>
    <row r="67" spans="1:3">
      <c r="A67" s="148"/>
      <c r="B67" s="148"/>
      <c r="C67" s="148"/>
    </row>
    <row r="68" spans="1:3">
      <c r="A68" s="148"/>
      <c r="B68" s="148"/>
      <c r="C68" s="148"/>
    </row>
    <row r="69" spans="1:3">
      <c r="A69" s="148"/>
      <c r="B69" s="148"/>
      <c r="C69" s="148"/>
    </row>
    <row r="70" spans="1:3">
      <c r="A70" s="148"/>
      <c r="B70" s="148"/>
      <c r="C70" s="148"/>
    </row>
    <row r="71" spans="1:3">
      <c r="A71" s="148"/>
      <c r="B71" s="148"/>
      <c r="C71" s="148"/>
    </row>
    <row r="72" spans="1:3">
      <c r="A72" s="148"/>
      <c r="B72" s="148"/>
      <c r="C72" s="148"/>
    </row>
    <row r="73" spans="1:3">
      <c r="A73" s="148"/>
      <c r="B73" s="148"/>
      <c r="C73" s="148"/>
    </row>
    <row r="74" spans="1:3">
      <c r="A74" s="148"/>
      <c r="B74" s="148"/>
      <c r="C74" s="148"/>
    </row>
    <row r="75" spans="1:3">
      <c r="A75" s="148"/>
      <c r="B75" s="148"/>
      <c r="C75" s="148"/>
    </row>
    <row r="76" spans="1:3">
      <c r="A76" s="148"/>
      <c r="B76" s="148"/>
      <c r="C76" s="148"/>
    </row>
    <row r="77" spans="1:3">
      <c r="A77" s="148"/>
      <c r="B77" s="148"/>
      <c r="C77" s="148"/>
    </row>
    <row r="78" spans="1:3">
      <c r="A78" s="148"/>
      <c r="B78" s="148"/>
      <c r="C78" s="148"/>
    </row>
    <row r="79" spans="1:3">
      <c r="A79" s="148"/>
      <c r="B79" s="148"/>
      <c r="C79" s="148"/>
    </row>
    <row r="80" spans="1:3">
      <c r="A80" s="148"/>
      <c r="B80" s="148"/>
      <c r="C80" s="148"/>
    </row>
    <row r="81" spans="1:3">
      <c r="A81" s="148"/>
      <c r="B81" s="148"/>
      <c r="C81" s="148"/>
    </row>
    <row r="82" spans="1:3">
      <c r="A82" s="148"/>
      <c r="B82" s="148"/>
      <c r="C82" s="148"/>
    </row>
    <row r="83" spans="1:3">
      <c r="A83" s="148"/>
      <c r="B83" s="148"/>
      <c r="C83" s="148"/>
    </row>
    <row r="84" spans="1:3">
      <c r="A84" s="148"/>
      <c r="B84" s="148"/>
      <c r="C84" s="148"/>
    </row>
    <row r="85" spans="1:3">
      <c r="A85" s="148"/>
      <c r="B85" s="148"/>
      <c r="C85" s="148"/>
    </row>
    <row r="86" spans="1:3">
      <c r="A86" s="148"/>
      <c r="B86" s="148"/>
      <c r="C86" s="148"/>
    </row>
    <row r="87" spans="1:3">
      <c r="A87" s="148"/>
      <c r="B87" s="148"/>
      <c r="C87" s="148"/>
    </row>
    <row r="88" spans="1:3">
      <c r="A88" s="148"/>
      <c r="B88" s="148"/>
      <c r="C88" s="148"/>
    </row>
    <row r="89" spans="1:3">
      <c r="A89" s="148"/>
      <c r="B89" s="148"/>
      <c r="C89" s="148"/>
    </row>
    <row r="90" spans="1:3">
      <c r="A90" s="148"/>
      <c r="B90" s="148"/>
      <c r="C90" s="148"/>
    </row>
    <row r="91" spans="1:3">
      <c r="A91" s="148"/>
      <c r="B91" s="148"/>
      <c r="C91" s="148"/>
    </row>
    <row r="92" spans="1:3">
      <c r="A92" s="148"/>
      <c r="B92" s="148"/>
      <c r="C92" s="148"/>
    </row>
    <row r="93" spans="1:3">
      <c r="A93" s="148"/>
      <c r="B93" s="148"/>
      <c r="C93" s="14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1352-61F2-4913-AC75-AC7D57D8D5B0}">
  <dimension ref="A1:G12"/>
  <sheetViews>
    <sheetView zoomScaleNormal="100" workbookViewId="0"/>
  </sheetViews>
  <sheetFormatPr defaultColWidth="9.109375" defaultRowHeight="13.2"/>
  <cols>
    <col min="1" max="1" width="12.6640625" style="126" bestFit="1" customWidth="1"/>
    <col min="2" max="2" width="10.44140625" style="126" customWidth="1"/>
    <col min="3" max="3" width="10.88671875" style="126" customWidth="1"/>
    <col min="4" max="4" width="8.109375" style="126" bestFit="1" customWidth="1"/>
    <col min="5" max="5" width="6.5546875" style="126" bestFit="1" customWidth="1"/>
    <col min="6" max="6" width="13" style="126" customWidth="1"/>
    <col min="7" max="16384" width="9.109375" style="126"/>
  </cols>
  <sheetData>
    <row r="1" spans="1:7" ht="39.6">
      <c r="A1" s="141" t="s">
        <v>155</v>
      </c>
      <c r="B1" s="141" t="s">
        <v>161</v>
      </c>
      <c r="C1" s="141" t="s">
        <v>26</v>
      </c>
      <c r="D1" s="141" t="s">
        <v>27</v>
      </c>
      <c r="E1" s="141" t="s">
        <v>21</v>
      </c>
      <c r="F1" s="141" t="s">
        <v>175</v>
      </c>
      <c r="G1" s="141" t="s">
        <v>30</v>
      </c>
    </row>
    <row r="2" spans="1:7">
      <c r="A2" s="142" t="s">
        <v>113</v>
      </c>
      <c r="B2" s="130">
        <v>27069</v>
      </c>
      <c r="C2" s="130">
        <v>58800</v>
      </c>
      <c r="D2" s="130">
        <v>676</v>
      </c>
      <c r="E2" s="130">
        <v>43267</v>
      </c>
      <c r="F2" s="130">
        <v>6200</v>
      </c>
      <c r="G2" s="130">
        <v>9922</v>
      </c>
    </row>
    <row r="3" spans="1:7">
      <c r="A3" s="142" t="s">
        <v>114</v>
      </c>
      <c r="B3" s="130">
        <v>27156</v>
      </c>
      <c r="C3" s="130">
        <v>55000</v>
      </c>
      <c r="D3" s="130">
        <v>1674</v>
      </c>
      <c r="E3" s="130">
        <v>43309</v>
      </c>
      <c r="F3" s="130">
        <v>6500</v>
      </c>
      <c r="G3" s="130">
        <v>7025</v>
      </c>
    </row>
    <row r="4" spans="1:7">
      <c r="A4" s="142" t="s">
        <v>115</v>
      </c>
      <c r="B4" s="130">
        <v>26996</v>
      </c>
      <c r="C4" s="130">
        <v>37800</v>
      </c>
      <c r="D4" s="130">
        <v>4703</v>
      </c>
      <c r="E4" s="130">
        <v>36933</v>
      </c>
      <c r="F4" s="130">
        <v>6700</v>
      </c>
      <c r="G4" s="130">
        <v>2132</v>
      </c>
    </row>
    <row r="5" spans="1:7">
      <c r="A5" s="142" t="s">
        <v>116</v>
      </c>
      <c r="B5" s="130">
        <v>23734</v>
      </c>
      <c r="C5" s="130">
        <v>55300</v>
      </c>
      <c r="D5" s="130">
        <v>6408</v>
      </c>
      <c r="E5" s="130">
        <v>40567</v>
      </c>
      <c r="F5" s="130">
        <v>6881</v>
      </c>
      <c r="G5" s="130">
        <v>9104</v>
      </c>
    </row>
    <row r="6" spans="1:7">
      <c r="A6" s="142" t="s">
        <v>117</v>
      </c>
      <c r="B6" s="130">
        <v>28890</v>
      </c>
      <c r="C6" s="130">
        <v>48800</v>
      </c>
      <c r="D6" s="130">
        <v>4882</v>
      </c>
      <c r="E6" s="130">
        <v>38770</v>
      </c>
      <c r="F6" s="130">
        <v>7148</v>
      </c>
      <c r="G6" s="130">
        <v>10004</v>
      </c>
    </row>
    <row r="7" spans="1:7">
      <c r="A7" s="142" t="s">
        <v>34</v>
      </c>
      <c r="B7" s="130">
        <v>26650</v>
      </c>
      <c r="C7" s="130">
        <v>46200</v>
      </c>
      <c r="D7" s="130">
        <v>4816</v>
      </c>
      <c r="E7" s="130">
        <v>40162</v>
      </c>
      <c r="F7" s="130">
        <v>7249</v>
      </c>
      <c r="G7" s="130">
        <v>5195</v>
      </c>
    </row>
    <row r="8" spans="1:7">
      <c r="A8" s="142" t="s">
        <v>53</v>
      </c>
      <c r="B8" s="130">
        <v>25060</v>
      </c>
      <c r="C8" s="130">
        <v>43900</v>
      </c>
      <c r="D8" s="130">
        <v>3839</v>
      </c>
      <c r="E8" s="130">
        <v>38825</v>
      </c>
      <c r="F8" s="130">
        <v>7210</v>
      </c>
      <c r="G8" s="130">
        <v>2861</v>
      </c>
    </row>
    <row r="9" spans="1:7">
      <c r="A9" s="142" t="s">
        <v>157</v>
      </c>
      <c r="B9" s="130">
        <v>23903</v>
      </c>
      <c r="C9" s="128">
        <v>49500</v>
      </c>
      <c r="D9" s="128">
        <v>4800</v>
      </c>
      <c r="E9" s="128">
        <v>39750</v>
      </c>
      <c r="F9" s="128">
        <v>7250</v>
      </c>
      <c r="G9" s="128">
        <v>5900</v>
      </c>
    </row>
    <row r="10" spans="1:7">
      <c r="A10" s="142" t="s">
        <v>160</v>
      </c>
      <c r="B10" s="130">
        <v>23903</v>
      </c>
      <c r="C10" s="128">
        <v>45500</v>
      </c>
      <c r="D10" s="128">
        <v>5000</v>
      </c>
      <c r="E10" s="128">
        <v>38000</v>
      </c>
      <c r="F10" s="128">
        <v>7250</v>
      </c>
      <c r="G10" s="128">
        <v>5700</v>
      </c>
    </row>
    <row r="12" spans="1:7">
      <c r="E12" s="128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818c5c2-d41f-4dce-801c-4e3595afcb3f"/>
    <ds:schemaRef ds:uri="c49de858-f9fd-4eb6-bcba-5039664671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 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Boulanger, Stephanie - REE-ERS, Kansas City, MO</cp:lastModifiedBy>
  <cp:revision/>
  <dcterms:created xsi:type="dcterms:W3CDTF">2001-11-13T16:22:15Z</dcterms:created>
  <dcterms:modified xsi:type="dcterms:W3CDTF">2023-01-17T14:14:51Z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